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<sst xmlns="http://schemas.openxmlformats.org/spreadsheetml/2006/main" uniqueCount="21821">
  <si>
    <t>Program</t>
  </si>
  <si>
    <t>Batch</t>
  </si>
  <si>
    <t>Roll Number</t>
  </si>
  <si>
    <t>First Name</t>
  </si>
  <si>
    <t>Middle Name</t>
  </si>
  <si>
    <t>Last Name</t>
  </si>
  <si>
    <t>Name</t>
  </si>
  <si>
    <t>E-mail Address</t>
  </si>
  <si>
    <t>Campus E-mail Address</t>
  </si>
  <si>
    <t>Mobile</t>
  </si>
  <si>
    <t>Gender</t>
  </si>
  <si>
    <t>DOB</t>
  </si>
  <si>
    <t>Marital Status</t>
  </si>
  <si>
    <t>Language</t>
  </si>
  <si>
    <t>Hobby</t>
  </si>
  <si>
    <t>Blood Group</t>
  </si>
  <si>
    <t>Aadhar Nubmer</t>
  </si>
  <si>
    <t>Father</t>
  </si>
  <si>
    <t>Father Mobile</t>
  </si>
  <si>
    <t>Father Occupation</t>
  </si>
  <si>
    <t>Mother</t>
  </si>
  <si>
    <t>Mother Mobile</t>
  </si>
  <si>
    <t>Mother Occupation</t>
  </si>
  <si>
    <t>Address</t>
  </si>
  <si>
    <t>City</t>
  </si>
  <si>
    <t>State</t>
  </si>
  <si>
    <t>Correspondence Address</t>
  </si>
  <si>
    <t>Correspondence City</t>
  </si>
  <si>
    <t>Correspondence State</t>
  </si>
  <si>
    <t>Current CGPA</t>
  </si>
  <si>
    <t>Backlog</t>
  </si>
  <si>
    <t>SSC School</t>
  </si>
  <si>
    <t>SSC Board</t>
  </si>
  <si>
    <t>SSC Joining Date</t>
  </si>
  <si>
    <t>SSC Passing Date</t>
  </si>
  <si>
    <t>SSC Marks</t>
  </si>
  <si>
    <t>SSC CGPA</t>
  </si>
  <si>
    <t>HSC School</t>
  </si>
  <si>
    <t>HSC Board</t>
  </si>
  <si>
    <t>HSC Joining Date</t>
  </si>
  <si>
    <t>HSC Passing Date</t>
  </si>
  <si>
    <t>HSC Marks</t>
  </si>
  <si>
    <t>HSC CGPA</t>
  </si>
  <si>
    <t>Diploma</t>
  </si>
  <si>
    <t>Diploma College</t>
  </si>
  <si>
    <t>Diploma Joining Date</t>
  </si>
  <si>
    <t>Diploma Passing Date</t>
  </si>
  <si>
    <t>Diploma Marks</t>
  </si>
  <si>
    <t>Diploma CGPA</t>
  </si>
  <si>
    <t>Graduation University</t>
  </si>
  <si>
    <t>Graduation College</t>
  </si>
  <si>
    <t>Graduation Joining Date</t>
  </si>
  <si>
    <t>Graduation Passing Date</t>
  </si>
  <si>
    <t>Graduation Marks</t>
  </si>
  <si>
    <t>Graduation CGPA</t>
  </si>
  <si>
    <t>Post Graduation University</t>
  </si>
  <si>
    <t>Post Graduation College</t>
  </si>
  <si>
    <t>Post Graduation Joining Date</t>
  </si>
  <si>
    <t>Post Graduation Passing Date</t>
  </si>
  <si>
    <t>Post Graduation Marks</t>
  </si>
  <si>
    <t>Post Graduation CGPA</t>
  </si>
  <si>
    <t>Technical Skills</t>
  </si>
  <si>
    <t>Work Experience</t>
  </si>
  <si>
    <t>Total Experience</t>
  </si>
  <si>
    <t>Project / Internship Detail</t>
  </si>
  <si>
    <t>Total(weeks)</t>
  </si>
  <si>
    <t>Certifications Details(if any)</t>
  </si>
  <si>
    <t>Profile Picture</t>
  </si>
  <si>
    <t>Intern Counter</t>
  </si>
  <si>
    <t>Job Counter</t>
  </si>
  <si>
    <t>MBA-ACM</t>
  </si>
  <si>
    <t>2024-2026</t>
  </si>
  <si>
    <t>P24700049</t>
  </si>
  <si>
    <t>AASHIRWAD</t>
  </si>
  <si>
    <t>ASHOKRAO</t>
  </si>
  <si>
    <t>GHUGE</t>
  </si>
  <si>
    <t>Aashirwad Ashokrao Ghuge</t>
  </si>
  <si>
    <t>aashirwadghuge@gmail.com</t>
  </si>
  <si>
    <t>p24700049@student.nicmar.ac.in</t>
  </si>
  <si>
    <t>Male</t>
  </si>
  <si>
    <t>23-Jan-2000</t>
  </si>
  <si>
    <t>Single</t>
  </si>
  <si>
    <t>ENGLISH,HINDI</t>
  </si>
  <si>
    <t>Music</t>
  </si>
  <si>
    <t>A+</t>
  </si>
  <si>
    <t>9657 8471 4368</t>
  </si>
  <si>
    <t>ASHOKRAO GHUGE</t>
  </si>
  <si>
    <t>CIVIL ENGINEER</t>
  </si>
  <si>
    <t>ANJALI GHUGE</t>
  </si>
  <si>
    <t>HOMEMAKER</t>
  </si>
  <si>
    <t>Sector G-22,N-4 Cidco, Near High Court, Chhatrapati Sambhajinagar</t>
  </si>
  <si>
    <t>Aurangabad</t>
  </si>
  <si>
    <t>Maharashtra</t>
  </si>
  <si>
    <t>NA</t>
  </si>
  <si>
    <t>NIRMALA CONVENT HIGH SCHOOL</t>
  </si>
  <si>
    <t>S.S.C BOARD FROM NASHIK/MAHARASHTRA</t>
  </si>
  <si>
    <t>2014-Jun</t>
  </si>
  <si>
    <t>2015-Mar</t>
  </si>
  <si>
    <t>DIPLOMA IN CIVIL ENGINEERING</t>
  </si>
  <si>
    <t xml:space="preserve">MGMS POLYTECHNIC FROM AURANGABAD/MAHARASHTRA </t>
  </si>
  <si>
    <t>2015-Aug</t>
  </si>
  <si>
    <t>2018-Jun</t>
  </si>
  <si>
    <t>DR. BABASAHEB AMBEDKAR TECHNOLOGICAL UNIVERSITY</t>
  </si>
  <si>
    <t xml:space="preserve">SHREEYASH COLLEGE OF ENGINEERING AND TECHNOLOGY FROM AURANGABAD/MAHARASHTRA </t>
  </si>
  <si>
    <t>2019-Sep</t>
  </si>
  <si>
    <t>2022-Aug</t>
  </si>
  <si>
    <t>AutoCAD,MS-Office,Ms-Project,AutoCAD3D,Revit Architecture</t>
  </si>
  <si>
    <t>AJAY PARSHURAM PATHRUT  | TRAINEE ENGINEER | AURANGABAD (CHHATRAPATI SAMBHAJINAGAR)  | Jun 2022 | Jul 2022 | 4.1428571428571 Weeks
ECONSTRUCT DESIGN &amp; BUILD PVT. LTD. | BIM AND PROJECT MANAGEMENT  | BANGALORE  | May 2025 | Jul 2025 | 8.5714285714286 Weeks</t>
  </si>
  <si>
    <t>Project Planning using Microsoft Project
NPTEL Online Certification
Quantity Surveying and Project Billing using MS-Excel
Radhai Organic and Agri Equipments
Champions of Behavioural Science
Klystron 2k17
Revit Architecture
AutoCAD 3D
AutoCAD</t>
  </si>
  <si>
    <t>P24700084</t>
  </si>
  <si>
    <t>VISHNU</t>
  </si>
  <si>
    <t>S</t>
  </si>
  <si>
    <t>NAIR</t>
  </si>
  <si>
    <t>Vishnu S Nair</t>
  </si>
  <si>
    <t>p24700084@student.nicmar.ac.in</t>
  </si>
  <si>
    <t>02-Aug-1997</t>
  </si>
  <si>
    <t>ENGLISH,HINDI,MALAYALAM</t>
  </si>
  <si>
    <t>B+</t>
  </si>
  <si>
    <t>2980 3516 6556</t>
  </si>
  <si>
    <t>SADANANDAN KK</t>
  </si>
  <si>
    <t>RETIRED</t>
  </si>
  <si>
    <t>AJITHA P</t>
  </si>
  <si>
    <t>TEACHER</t>
  </si>
  <si>
    <t>Sreesadanam Pariyarakkal Kavanoor P.o</t>
  </si>
  <si>
    <t>Malappuram</t>
  </si>
  <si>
    <t>Kerala</t>
  </si>
  <si>
    <t>AIRPORT SENIOR SECONDARY SCHOOL</t>
  </si>
  <si>
    <t>MALAPPURAM</t>
  </si>
  <si>
    <t>2012-Jun</t>
  </si>
  <si>
    <t>2013-May</t>
  </si>
  <si>
    <t>2014-Jul</t>
  </si>
  <si>
    <t>2015-May</t>
  </si>
  <si>
    <t>APJ ABDUL KALAM TECHNOLOGICAL UNIVERSITY</t>
  </si>
  <si>
    <t>KOLLAM</t>
  </si>
  <si>
    <t>2016-Aug</t>
  </si>
  <si>
    <t>2021-Nov</t>
  </si>
  <si>
    <t>ms office,others</t>
  </si>
  <si>
    <t>Tron Digital | Marketing Strategist | Kerala | Aug 2023 | Jul 2024 | 0Y 11M
BYJU | Associate - Business Development | BANGLORE | Apr 2023 | Jul 2023 | 0Y 3M | 5
Ahalia Group | GRE | Abu dhabi | Dec 2020 | Sep 2022 | 1Y 9M | 9.6</t>
  </si>
  <si>
    <t>3 Years 0 Months</t>
  </si>
  <si>
    <t>KALPATARU PROJECTS INTERNATIONAL LIMITED | CONTRACTS AND PLANNING INTERN | MUMBAI | May 2025 | Jul 2025 | 8.7142857142857 Weeks</t>
  </si>
  <si>
    <t>Microsoft Excel
Marketing Management
Microsoft project
Advanced planning and scheduling with primavera
Lean Six sigma certification
Power BI
Business analytics with excel</t>
  </si>
  <si>
    <t>P24700184</t>
  </si>
  <si>
    <t>MANE</t>
  </si>
  <si>
    <t>AISHWARYA</t>
  </si>
  <si>
    <t>RAVINDRA</t>
  </si>
  <si>
    <t>Mane Aishwarya Ravindra</t>
  </si>
  <si>
    <t>aishwaryamane2905@gmail.com</t>
  </si>
  <si>
    <t>p24700184@student.nicmar.ac.in</t>
  </si>
  <si>
    <t>Female</t>
  </si>
  <si>
    <t>29-May-2000</t>
  </si>
  <si>
    <t>Married</t>
  </si>
  <si>
    <t>ENGLISH, HINDI,MARATHI</t>
  </si>
  <si>
    <t>Reading</t>
  </si>
  <si>
    <t>8641 3799 0401</t>
  </si>
  <si>
    <t>FARMER</t>
  </si>
  <si>
    <t>ANURADHA</t>
  </si>
  <si>
    <t>HOUSEWIFE</t>
  </si>
  <si>
    <t>At-Kanhergaon, Post-Akole (khu), Tal-Madha, Dist-Solapur</t>
  </si>
  <si>
    <t>Solapur</t>
  </si>
  <si>
    <t>NEW ENGLISH SCHOOL, TEMBHURNI</t>
  </si>
  <si>
    <t>MAHARASHTRA STATE BOARD OF SECONDARY AND HIGHER SECONDARY EDUCATION, PUNE</t>
  </si>
  <si>
    <t>2015-Jun</t>
  </si>
  <si>
    <t>2016-Jun</t>
  </si>
  <si>
    <t>ORCHID JUNIOR COLLEGE, SOLAPUR</t>
  </si>
  <si>
    <t xml:space="preserve">MAHARASHTRA STATE BOARD OF SECONDARY AND HIGHER SECONDARY PUNE, </t>
  </si>
  <si>
    <t>2017-Jun</t>
  </si>
  <si>
    <t>2018-May</t>
  </si>
  <si>
    <t xml:space="preserve">CIVIL </t>
  </si>
  <si>
    <t xml:space="preserve">SHRIRAM INSTITUTE OF ENGINEERING AND TECHNOLOGY (POLY), PANIV. </t>
  </si>
  <si>
    <t>2018-Jul</t>
  </si>
  <si>
    <t>2020-Nov</t>
  </si>
  <si>
    <t>PUNYASHLOK AHILYADEVI HOLAKAR UNIVERSITY, SOLAPUR</t>
  </si>
  <si>
    <t>SHRI VITHAL EDUCATION AND RESEARCH INSTITUTE, COLLEGE OF ENGINEERING, PANDHARPUR</t>
  </si>
  <si>
    <t>2020-Jul</t>
  </si>
  <si>
    <t>2023-Jul</t>
  </si>
  <si>
    <t>AutoCAD,MS Office,Other,REVIT</t>
  </si>
  <si>
    <t>Nyati Engineers &amp; Consultants Pvt. Ltd | I have worked on different type of activities such as planning, finishing, development, some part of MEP | Satara | May 2025 | Jul 2025 | 8.7142857142857 Weeks</t>
  </si>
  <si>
    <t>CCC</t>
  </si>
  <si>
    <t>P24700253</t>
  </si>
  <si>
    <t>KHUTALE</t>
  </si>
  <si>
    <t>JAYKUMAR</t>
  </si>
  <si>
    <t>PRAKASH</t>
  </si>
  <si>
    <t>Khutale Jaykumar Prakash</t>
  </si>
  <si>
    <t>p24700253@student.nicmar.ac.in</t>
  </si>
  <si>
    <t>07-Feb-2001</t>
  </si>
  <si>
    <t>Marathi,hindi,english</t>
  </si>
  <si>
    <t>Reading,Music</t>
  </si>
  <si>
    <t>6105 0905 6606</t>
  </si>
  <si>
    <t xml:space="preserve">PRAKASH MADHUKAR KHUTALE </t>
  </si>
  <si>
    <t>MEENA PRAKASH KHUTALE</t>
  </si>
  <si>
    <t xml:space="preserve">A/p- Khanote, Tal- Daund,  Dist- Pune </t>
  </si>
  <si>
    <t>Pune</t>
  </si>
  <si>
    <t xml:space="preserve">FLAT NO-2108, VTP-ALPINE, MAHALUNGE. </t>
  </si>
  <si>
    <t>BHAIRAVNATH VIDYALAYA BHIGWAN</t>
  </si>
  <si>
    <t>SSC MAHARASHTRA</t>
  </si>
  <si>
    <t>2017-Mar</t>
  </si>
  <si>
    <t>VIDYA PRATISHTHAN'S ARTS, SCIENCE &amp; COMMERCE COLLEGE, BARAMATI COLLEGE IN BARAMATI, MAHARASHTRA</t>
  </si>
  <si>
    <t>HSC MAHARASHTRA</t>
  </si>
  <si>
    <t>2019-Feb</t>
  </si>
  <si>
    <t xml:space="preserve">SAVITRIBAI PHULE PUNE UNIVERSITY </t>
  </si>
  <si>
    <t>SMT KASHIBAI NAVALE COLLEGE OF ARCHITECTURE PUNE MAHARASHTRA</t>
  </si>
  <si>
    <t>2019-Aug</t>
  </si>
  <si>
    <t>2024-Jun</t>
  </si>
  <si>
    <t>BEXCEL,Revit,Cost X,3D VISULIZATION</t>
  </si>
  <si>
    <t>Shitesh Agrawal Architects Pvt.Ltd | Intern (Trainee Architect) | Model Colony, Shivajinagar Pune | Jun 2023 | Dec 2023 | 24.285714285714 Weeks
Vanguard Ventures | Strategic Business Development (Sales intern) | Mumbai  | Mar 2025 | Jul 2025 | 16.142857142857 Weeks</t>
  </si>
  <si>
    <t>Participated in competition for designing day to day, interior/exterior spaces on 1ST APRIL, 2023 Geriatric Society Of India.- Pune Chapter
Completed short term course for Medical Architecture for the Elderly in collaboration with Geriatric Society of India in 2023-2024
Fold Unfold 2020- Annual Exhibition &amp; Workshop event on "Architecture &amp; Landscape Architecture"
Startup India- Completed Communication and Confidence Building Course
NPTEL-Ethics in Engineering Practice
Completed Architecture Software Course, by ArchTech Software Training Institute 2023-24
Successfully completed the Finlatics Start-Up Strategist Experience Program. 2025
Digital quality control workshop participation certificate
NPTEL Indian Economy: Some Contemporary Perspectives</t>
  </si>
  <si>
    <t>P24700397</t>
  </si>
  <si>
    <t>RUGVED</t>
  </si>
  <si>
    <t>KISHOR</t>
  </si>
  <si>
    <t>SHEREKAR</t>
  </si>
  <si>
    <t>Rugved Kishor Sherekar</t>
  </si>
  <si>
    <t>p24700397@student.nicmar.ac.in</t>
  </si>
  <si>
    <t>02-Apr-2001</t>
  </si>
  <si>
    <t>Marathi, English,Hindi</t>
  </si>
  <si>
    <t>O+</t>
  </si>
  <si>
    <t>4079 5890 1577</t>
  </si>
  <si>
    <t>GOVERNMENT SERVICE</t>
  </si>
  <si>
    <t>VANDANA</t>
  </si>
  <si>
    <t>Uday Colony No1, Sai Nagar, Amravati, Maharashtra.</t>
  </si>
  <si>
    <t>Amravati</t>
  </si>
  <si>
    <t>1107, B WING VARDHAMAN MOONSTONE, SR NO. 99, OPPOSITE TO JSPM COLLEGE, TATHWADE, PUNE, MAHARASHTRA</t>
  </si>
  <si>
    <t>SHRI SAMARTHA HIGHSCHOOL</t>
  </si>
  <si>
    <t>MAHARASHTRA STATE BOARD OF SECONDARY AND HIGHER SECONDARY EDUCATION , AMRAVATI.</t>
  </si>
  <si>
    <t>CIVIL AND RURAL ENGINEERING</t>
  </si>
  <si>
    <t>DR. PANJABRAO DESHMUKH POLYTECHNIC, AMRAVATI, MAHARASHTRA.</t>
  </si>
  <si>
    <t>2017-Aug</t>
  </si>
  <si>
    <t>SANT GADGE BABA AMRAVATI UNIVERSITY.</t>
  </si>
  <si>
    <t>PROF. RAM MEGHE INSTITUTE OF TECHNOLOGY AND RESEARCH, BADNERA, AMRAVATI, MAHARASHTRA</t>
  </si>
  <si>
    <t>2020-Dec</t>
  </si>
  <si>
    <t>2023-Jun</t>
  </si>
  <si>
    <t>AutoCAD, MS Office, MS Project,Primavera</t>
  </si>
  <si>
    <t>GIRISH NAGPURE &amp; ASSOCIATES | Engineer | Amravati | Jun 2023 | Jun 2024 | 55.428571428571 Weeks
CAD TECH Ltd. | Engineer | Amravati | Jul 2022 | Aug 2022 | 8.7142857142857 Weeks
BALAJI STRUCTURAL CONSULTANCY | Intern  | Amravati | Aug 2021 | Sep 2021 | 6.7142857142857 Weeks
Pune Metro Rail Corporation | Summer Intern | Pune | May 2025 | Jul 2025 | 8.5714285714286 Weeks</t>
  </si>
  <si>
    <t>AutoCAD (2D+3D)
MS-CIT</t>
  </si>
  <si>
    <t>P24700401</t>
  </si>
  <si>
    <t>ANAND</t>
  </si>
  <si>
    <t>LAXMAN</t>
  </si>
  <si>
    <t>PAWAR</t>
  </si>
  <si>
    <t>Anand Laxman Pawar</t>
  </si>
  <si>
    <t>anandpawar212@gmail.com</t>
  </si>
  <si>
    <t>p24700401@student.nicmar.ac.in</t>
  </si>
  <si>
    <t>22-Sep-1998</t>
  </si>
  <si>
    <t>ENGLISH, HINDI</t>
  </si>
  <si>
    <t>3507 8862 9217</t>
  </si>
  <si>
    <t>LAXMAN RAMHARI PAWAR</t>
  </si>
  <si>
    <t>KALPANA LAXMAN PAWAR</t>
  </si>
  <si>
    <t>At Post Loni Gurav Teh Khamgaon,Dist Buldhan-444303</t>
  </si>
  <si>
    <t>Buldhana</t>
  </si>
  <si>
    <t>NEW VISION ENGLISH HIGH SCHOOL, BALAPUR</t>
  </si>
  <si>
    <t>MAHARASHTRA STATE BOARD OF SECONDARY AND HIGHER SECONDARY BOARD PUNE</t>
  </si>
  <si>
    <t>2012-Jul</t>
  </si>
  <si>
    <t>DIPLOMA IN CIVIL AND RURAL ENGINEERING</t>
  </si>
  <si>
    <t>ACHARYA SHRIMANNARAYAN POLYTECHNIC PIPRI WARDHA</t>
  </si>
  <si>
    <t>2014-Aug</t>
  </si>
  <si>
    <t>UNIVERSITY OF MUMBAI</t>
  </si>
  <si>
    <t>PILLAI HOC COLLEGE OF ENGINEERING AND TECHNOLOGY RASAYANI, PANVEL</t>
  </si>
  <si>
    <t>AutoCAD,MS Office</t>
  </si>
  <si>
    <t>PRISM JOHNSON LIMITED | Sr Executive Assistant | Pune | Apr 2024 | Jul 2024 | 0Y 3M | 7.00
 NCC Limited | QA/QC Engineer | Mumbai | Nov 2022 | Apr 2024 | 1Y 5M | 5.05
HCC Limited | QA/QC Engineer | Maharashtra | Jul 2021 | Oct 2022 | 1Y 3M | 3.00</t>
  </si>
  <si>
    <t>Avia Construction Group Pvt Ltd | Civil Site Engineer | Amravati | Apr 2019 | May 2019 | 5.7142857142857 Weeks
CIDCO | Civil Site Engineer | Navi Mumbai | Jun 2019 | Jul 2019 | 2.8571428571429 Weeks
MILLENNIUM ENGINEERS &amp; CONTRACTORS PVT.LTD. | Planning | Pune | May 2025 | Jul 2025 | 8.7142857142857 Weeks</t>
  </si>
  <si>
    <t>AutoCAD
Primavera P6</t>
  </si>
  <si>
    <t>P24700528</t>
  </si>
  <si>
    <t>NEDURI</t>
  </si>
  <si>
    <t>NESSY</t>
  </si>
  <si>
    <t>CHAND</t>
  </si>
  <si>
    <t>Neduri Nessy Chand</t>
  </si>
  <si>
    <t>ncn.civilengineer@gmail.com</t>
  </si>
  <si>
    <t>p24700528@student.nicmar.ac.in</t>
  </si>
  <si>
    <t>04-Apr-2001</t>
  </si>
  <si>
    <t>English, Telugu</t>
  </si>
  <si>
    <t>Designing</t>
  </si>
  <si>
    <t>8793 8049 7489</t>
  </si>
  <si>
    <t>NEDURI RAJA RAO</t>
  </si>
  <si>
    <t>ADVOCATE</t>
  </si>
  <si>
    <t>NEDURI SUJATHA</t>
  </si>
  <si>
    <t>HOUSE WIFE</t>
  </si>
  <si>
    <t>D.NO 3-30,RAAVI CHETTU STREET, Z.MEDAPADU, MANDAPETA MANDAL.</t>
  </si>
  <si>
    <t>Konaseema</t>
  </si>
  <si>
    <t>Andhra Pradesh</t>
  </si>
  <si>
    <t>SRI CHAITANYA ENGLISH MEDIUM</t>
  </si>
  <si>
    <t>ANDHRAPRADESH BOARD</t>
  </si>
  <si>
    <t>2016-Apr</t>
  </si>
  <si>
    <t>SRI GAYATRI JUNIOR COLLEGE</t>
  </si>
  <si>
    <t>2018-Mar</t>
  </si>
  <si>
    <t>JAWAHARLAL NEHRU TECHNOLOGICAL UNIVERSITY</t>
  </si>
  <si>
    <t>SASI INSTITUTE OF TECHNOLOGY AND ENGINEERING</t>
  </si>
  <si>
    <t>2022-Jun</t>
  </si>
  <si>
    <t>AutoCAD,MS Office,MS Project,Primavera,Other,BIM</t>
  </si>
  <si>
    <t>A1 Projects | Site Engineer | Visakhapatnam | Apr 2023 | May 2024 | 1Y 1M | 2.04</t>
  </si>
  <si>
    <t>1 Year 1 Month</t>
  </si>
  <si>
    <t>MADHURI ENGINEERS AND CONSTRUCTIONS | QUALITY ENGINEER | PUNE | May 2025 | Jul 2025 | 8.7142857142857 Weeks</t>
  </si>
  <si>
    <t>Udemy ( Basics of Construction Methodology )
RS &amp; GIS</t>
  </si>
  <si>
    <t>P24700529</t>
  </si>
  <si>
    <t>AASHISH</t>
  </si>
  <si>
    <t>BHALERAO</t>
  </si>
  <si>
    <t>Aashish Bhalerao</t>
  </si>
  <si>
    <t>theashish0710@gmail.com</t>
  </si>
  <si>
    <t>p24700529@student.nicmar.ac.in</t>
  </si>
  <si>
    <t>05-Nov-2000</t>
  </si>
  <si>
    <t>MARATHI, HINDI</t>
  </si>
  <si>
    <t>3684 6338 5924</t>
  </si>
  <si>
    <t xml:space="preserve">SHESHARAJ </t>
  </si>
  <si>
    <t>PEON</t>
  </si>
  <si>
    <t>ANITA</t>
  </si>
  <si>
    <t xml:space="preserve">HOUSEWIFE </t>
  </si>
  <si>
    <t xml:space="preserve">At Post - Chinawal, Tal - Raver, Dist- Jalgaon, MH </t>
  </si>
  <si>
    <t>Jalgaon</t>
  </si>
  <si>
    <t xml:space="preserve">201, SINHGAD VRINDAVAN, NEAR SINHGAD LAW COLLEGE, WADGAON CAMPUS, PUNE, MH </t>
  </si>
  <si>
    <t xml:space="preserve">JAWAHAR NAVODAYA VIDYALAYA, JALGAON, MH </t>
  </si>
  <si>
    <t>CENTRAL BOARD OF SECONDARY EDUCATION</t>
  </si>
  <si>
    <t>2019-May</t>
  </si>
  <si>
    <t>SINHGAD COLLEGE OF ARCHITECTURE, PUNE, MH</t>
  </si>
  <si>
    <t>2019-Jul</t>
  </si>
  <si>
    <t>AutoCAD,MS Office,MS Project,Primavera,Other,SketchUp</t>
  </si>
  <si>
    <t>SMJ ARCHITECTS AND INTERIOR DESIGNERS | INTERN | KOTHRUD, PUNE | Jun 2023 | Dec 2023 | 25.142857142857 Weeks
N. V. RATHOD CIVIL ENGINEER &amp; GOVT CONTRACTOR | PLANNING INTERN | LATUR, MH | May 2025 | Jul 2025 | 8.7142857142857 Weeks</t>
  </si>
  <si>
    <t>P24700537</t>
  </si>
  <si>
    <t>BHUSHAN</t>
  </si>
  <si>
    <t>RAMDAS</t>
  </si>
  <si>
    <t>INGLE</t>
  </si>
  <si>
    <t>Bhushan Ramdas Ingle</t>
  </si>
  <si>
    <t>inglebhushan95@gmail.com</t>
  </si>
  <si>
    <t>p24700537@student.nicmar.ac.in</t>
  </si>
  <si>
    <t>07-Apr-1995</t>
  </si>
  <si>
    <t>English, Marathi</t>
  </si>
  <si>
    <t>Trekking</t>
  </si>
  <si>
    <t>2817 8226 1690</t>
  </si>
  <si>
    <t>RAMDAS INGLE</t>
  </si>
  <si>
    <t>FARMING</t>
  </si>
  <si>
    <t>ASHA INGLE</t>
  </si>
  <si>
    <t>B/20 Emerald Enclave, Akoli Khurd,</t>
  </si>
  <si>
    <t>Akola</t>
  </si>
  <si>
    <t>JUBILEE ENGLISH HIGH SCHOOL</t>
  </si>
  <si>
    <t>MAHARASHTRA STATE BOARD OF SECONDARY AND HIGHER SECONDARY SCHOOL, PUNE</t>
  </si>
  <si>
    <t>2010-May</t>
  </si>
  <si>
    <t>2011-Mar</t>
  </si>
  <si>
    <t>BHONSLA POLYTECHNIC</t>
  </si>
  <si>
    <t>2011-Jul</t>
  </si>
  <si>
    <t>SANT GADGE BABA AMRAVATI UNIVERSITY</t>
  </si>
  <si>
    <t>BHONSLA COLLEGE OF ENGINEERING AND RESEARCH, AKOLA</t>
  </si>
  <si>
    <t>2015-Jul</t>
  </si>
  <si>
    <t>AutoCAD,MS Office,MS Project,Primavera,Other</t>
  </si>
  <si>
    <t>Vision Infrastructure | Civil Engineer | Maharashtra | Feb 2021 | Jan 2024 | 2Y 11M | 3.0</t>
  </si>
  <si>
    <t>2 Years 11 Months</t>
  </si>
  <si>
    <t>SS CONSTRUCTION &amp; GOVT. CONTRACTOR | PROJECT MANAGMENT INTERN | AKOLA | May 2025 | Jul 2025 | 8.7142857142857 Weeks</t>
  </si>
  <si>
    <t>P24700624</t>
  </si>
  <si>
    <t>AKSHAY</t>
  </si>
  <si>
    <t>DHANAJI</t>
  </si>
  <si>
    <t>YADAV</t>
  </si>
  <si>
    <t>Akshay Dhanaji Yadav</t>
  </si>
  <si>
    <t>ay4051592@gmail.com</t>
  </si>
  <si>
    <t>p24700624@student.nicmar.ac.in</t>
  </si>
  <si>
    <t>15-May-2002</t>
  </si>
  <si>
    <t>English,Hindi</t>
  </si>
  <si>
    <t>AB+</t>
  </si>
  <si>
    <t>7306 5755 6879</t>
  </si>
  <si>
    <t>NANDINI</t>
  </si>
  <si>
    <t>A/P Tavashi, Tal-Pandharpur</t>
  </si>
  <si>
    <t>SADHANA VIDHYALAYA TAVASHI</t>
  </si>
  <si>
    <t>PANDHARPUR</t>
  </si>
  <si>
    <t>B.H.CHATE JR.COLLEGE,GAUD-DARA,PUNE</t>
  </si>
  <si>
    <t>SECONDARY AND HIGHER SECONDARY EDUCATION, PUNE</t>
  </si>
  <si>
    <t>2019-Jan</t>
  </si>
  <si>
    <t>2020-Feb</t>
  </si>
  <si>
    <t>SAVITRIBAI PHULE PUNE UNIVERSITY</t>
  </si>
  <si>
    <t>AISSMS COLLEGE OF ENGINEERING ,PUNE</t>
  </si>
  <si>
    <t>2021-Jan</t>
  </si>
  <si>
    <t>AutoCAD,MS Office,MS Project</t>
  </si>
  <si>
    <t>Sobha Limited-India | Construction Management Trainee | Gurugram | May 2025 | Jul 2025 | 8.5714285714286 Weeks</t>
  </si>
  <si>
    <t>P24700701</t>
  </si>
  <si>
    <t>MIHIR</t>
  </si>
  <si>
    <t>MAHENDRA</t>
  </si>
  <si>
    <t>BHALGAT</t>
  </si>
  <si>
    <t>Mihir Mahendra Bhalgat</t>
  </si>
  <si>
    <t>mbhalgat07@gmail.com</t>
  </si>
  <si>
    <t>p24700701@student.nicmar.ac.in</t>
  </si>
  <si>
    <t>16-Dec-2000</t>
  </si>
  <si>
    <t>HINDI, ENGLISH</t>
  </si>
  <si>
    <t>Playing cricket</t>
  </si>
  <si>
    <t>3134 9593 2393</t>
  </si>
  <si>
    <t>BUSINESS MAN</t>
  </si>
  <si>
    <t>Indira Market Road, In Front Of Axis Bank, Malgujaripura, Wardha</t>
  </si>
  <si>
    <t>Wardha</t>
  </si>
  <si>
    <t>BHALGAT MIHIR MAHENDRA</t>
  </si>
  <si>
    <t>CENTRAL BOARD OF SECONDARY EDUCATION WARDHA MAHARASHTRA</t>
  </si>
  <si>
    <t>ACHARYA SHRIMANNARAYAN POLYTECHNIC PIPRI, WARDHA MAHARASHTRA</t>
  </si>
  <si>
    <t>2017-Jul</t>
  </si>
  <si>
    <t>DR. BABASAHEB AMBEDKAR TECHNOLOGICAL UNIVERSITY, LONERE RAIGAD MAHARASHTRA</t>
  </si>
  <si>
    <t>BAJAJ INSTITUTE OF TECHNOLOGY, WARDHA MAHARASHTRA</t>
  </si>
  <si>
    <t>2023-Aug</t>
  </si>
  <si>
    <t>AutoCAD,MS Office,MS Project,Other,REVIT</t>
  </si>
  <si>
    <t>AVANISH GROUP RAIPUR | CIVIL INTERNSHIP | RAIPUR | Mar 2023 | Aug 2023 | 21.714285714286 Weeks
J.P ENTERPRISES | ROAD WORKS | WARDHA | Apr 2019 | Jun 2019 | 8.1428571428571 Weeks
PRESTIGE ENCLAVE PVT. LTD | CONSTRUCTION FIRM | WARDHA | Nov 2023 | Apr 2024 | 21.714285714286 Weeks
NEW CONSOLIDATED CONSTRUCTION CO. LTD. | SITE EXECUTION | MUMBAI | May 2025 | Jul 2025 | 8.7142857142857 Weeks</t>
  </si>
  <si>
    <t>INTRODUCTION TO STRUCTURAL ANALYSIS SOFTWARE
REVIT ARCHITECTURE</t>
  </si>
  <si>
    <t>P24700707</t>
  </si>
  <si>
    <t>TANAY</t>
  </si>
  <si>
    <t>VIJAY</t>
  </si>
  <si>
    <t>KAPSE</t>
  </si>
  <si>
    <t>Tanay Vijay Kapse</t>
  </si>
  <si>
    <t>kapsetanay30@gmail.com</t>
  </si>
  <si>
    <t>p24700707@student.nicmar.ac.in</t>
  </si>
  <si>
    <t>30-Dec-2002</t>
  </si>
  <si>
    <t xml:space="preserve">ENGLISH , HINDI </t>
  </si>
  <si>
    <t>Photography,Chess,Video Editing</t>
  </si>
  <si>
    <t>5875 2657 6942</t>
  </si>
  <si>
    <t>VIJAY KAPSE</t>
  </si>
  <si>
    <t xml:space="preserve">ASSOCIATE PROFESSOR </t>
  </si>
  <si>
    <t>PRARTHANA KAPSE</t>
  </si>
  <si>
    <t>8/3,Sudhavihar Apartment ,Wanjari Nagar ,Nagpur</t>
  </si>
  <si>
    <t>Nagpur</t>
  </si>
  <si>
    <t>MONTFORT SENIOR SECONDARY SCHOOL</t>
  </si>
  <si>
    <t>NAGPUR,MAHARASHTRA</t>
  </si>
  <si>
    <t>ST.XAVIER'S HIGH SCHOOL HINGNA</t>
  </si>
  <si>
    <t>2019-Mar</t>
  </si>
  <si>
    <t>RASHTRASANT TUKADOJI MAHARAJ NAGPUR UNIVERSITY</t>
  </si>
  <si>
    <t>YESHWANTRAO CHAVAN COLLEGE OF ENGINEERING, NAGPUR ,MAHARASHTRA</t>
  </si>
  <si>
    <t>2020-May</t>
  </si>
  <si>
    <t>2024-May</t>
  </si>
  <si>
    <t xml:space="preserve">AutoCAD,MS Project,Primavera,Revit </t>
  </si>
  <si>
    <t>DR. SWAPNIL WANJARI (ASSOCIATE PROFESSOR AT VNIT NAGPUR) | TRAINEE AND SITE ENGINEER | NAGPUR | Jan 2024 | Apr 2024 | 17.142857142857 Weeks
Impact Infraheights Pvt. Ltd. | Procurement team and Project Coordinator | Pune | May 2025 | Jul 2025 | 7.7142857142857 Weeks</t>
  </si>
  <si>
    <t>P24700768</t>
  </si>
  <si>
    <t>SAKSHI</t>
  </si>
  <si>
    <t>DAYANAND</t>
  </si>
  <si>
    <t>SHIRAL</t>
  </si>
  <si>
    <t>Sakshi Dayanand Shiral</t>
  </si>
  <si>
    <t>sakshidshiral80@gmail.com</t>
  </si>
  <si>
    <t>p24700768@student.nicmar.ac.in</t>
  </si>
  <si>
    <t>31-Aug-2001</t>
  </si>
  <si>
    <t>Travelling,Drawing,Listening Music,Dancing</t>
  </si>
  <si>
    <t>5708 9466 3657</t>
  </si>
  <si>
    <t>DAYANAND SHIRAL</t>
  </si>
  <si>
    <t>SANGITA SHIRAL</t>
  </si>
  <si>
    <t>138/4 Jijau Nagar Barshi Naka, Osmanabad</t>
  </si>
  <si>
    <t>Osmanabad</t>
  </si>
  <si>
    <t>SHRIPATRAO BHOSALE HIGHSCHOOL, OSMANABAD</t>
  </si>
  <si>
    <t xml:space="preserve">MAHARASHTRA STATE BOARD OF SECONDARY AND HIGHER SECONDARY EDUCATION, PUNE, MAHARASHTRA </t>
  </si>
  <si>
    <t>SHRIPATRAO BHOSALE JUNIOR COLLEGE , OSMANABAD</t>
  </si>
  <si>
    <t>2019-Jun</t>
  </si>
  <si>
    <t>CIVIL ENGINEERING</t>
  </si>
  <si>
    <t xml:space="preserve">A.G. PATIL POLYTECHNIC INSTITUTE, SOLAPUR, MAHARASHTRA </t>
  </si>
  <si>
    <t>2021-Aug</t>
  </si>
  <si>
    <t>PUNYASHLOK AHILYADEVI HOLKAR SOLAPUR UNIVERSITY, SOLAPUR</t>
  </si>
  <si>
    <t xml:space="preserve">WALCHAND INSTITUTE TECHNOLOGY (WIT), SOLAPUR, MAHARASHTRA </t>
  </si>
  <si>
    <t>AutoCAD,MS Office,MS Project,Primavera,RIB CostX,Revit,BEXEL MANAGER</t>
  </si>
  <si>
    <t>Rajeshri Developers | Vocational Trainee | Jule Solapur, Solapur | Mar 2023 | Mar 2023 | 2.1428571428571 Weeks
New Consolidated Construction Co. Ltd. | Site Execution, Planning and Project Co-ordination | Mumbai | May 2025 | Jul 2025 | 8.7142857142857 Weeks</t>
  </si>
  <si>
    <t>MBA-REUIM</t>
  </si>
  <si>
    <t>P24702047</t>
  </si>
  <si>
    <t>ADITYA</t>
  </si>
  <si>
    <t>ANIL</t>
  </si>
  <si>
    <t>TOPE</t>
  </si>
  <si>
    <t>Aditya Anil Tope</t>
  </si>
  <si>
    <t>p24702047@student.nicmar.ac.in</t>
  </si>
  <si>
    <t>08-Jun-2000</t>
  </si>
  <si>
    <t>ENGLISH, HINDI,Marathi</t>
  </si>
  <si>
    <t>2984 8583 8227</t>
  </si>
  <si>
    <t>ANIL TOPE</t>
  </si>
  <si>
    <t>DHANASHRI</t>
  </si>
  <si>
    <t>Sahyadri Nagar Hudco Colony Lonavala</t>
  </si>
  <si>
    <t>DON BOSCO HIGH SCHOOL &amp; JR.COLLEGE</t>
  </si>
  <si>
    <t>MAHARASHTRA STATE BOARD OF SECONDARY AND HIGHER SECONDARY EDUCATION,PUNE</t>
  </si>
  <si>
    <t>2016-Mar</t>
  </si>
  <si>
    <t>2018-Feb</t>
  </si>
  <si>
    <t>DR, DY PATIL SCHOOL OF ENGINEERING AMBI,PUNE</t>
  </si>
  <si>
    <t>Ms-Office,Ms-Project,Primavera,Candy</t>
  </si>
  <si>
    <t>GODREJ PROPERTIES  | OPERATIONS  | MAHALUNGE PUNE | May 2023 | Jul 2023 | 7.7142857142857 Weeks
ADITYA SUNIL PALEKAR ENGINEERS AND CONTRACTORS | PROJECT CO-ORDINATOR | LONAVALA  | Aug 2023 | Jan 2024 | 21.857142857143 Weeks</t>
  </si>
  <si>
    <t>Using Google Forms to Analyze User Research Data
Emotional intelligence and leadership
Real estate financial modelling
Real estate development: building Value in your community
Indian Economy: Some Contemporary Perspectives</t>
  </si>
  <si>
    <t>P24702050</t>
  </si>
  <si>
    <t>ALAVANI</t>
  </si>
  <si>
    <t>MITALI</t>
  </si>
  <si>
    <t>MILIND</t>
  </si>
  <si>
    <t>Alavani Mitali Milind</t>
  </si>
  <si>
    <t>p24702050@student.nicmar.ac.in</t>
  </si>
  <si>
    <t>17-Oct-1999</t>
  </si>
  <si>
    <t>Marathi,Hindi,English</t>
  </si>
  <si>
    <t>4098 6131 0617</t>
  </si>
  <si>
    <t>MILIND MADHUKAR ALAVANI</t>
  </si>
  <si>
    <t>PRIVATE JOB</t>
  </si>
  <si>
    <t>MANASI</t>
  </si>
  <si>
    <t>38/B, Senadatta Peth Off L.B.S. Road Near Navachaitanya Krida Sangh</t>
  </si>
  <si>
    <t>N.M.V. GIRLS HIGH SCHOOL, PUNE</t>
  </si>
  <si>
    <t>MAHARASHTRA STATE BOARD OF SECONDARY AND HIGHER SECONDARY EDUCATION</t>
  </si>
  <si>
    <t>2014-Apr</t>
  </si>
  <si>
    <t>GARWARE COLLEGE OF COMMERCE, PUNE</t>
  </si>
  <si>
    <t>2017-May</t>
  </si>
  <si>
    <t>DR. BHANUBEN NANAVATI COLLEGE OF ARCHITECTURE, PUNE</t>
  </si>
  <si>
    <t>2022-Jul</t>
  </si>
  <si>
    <t>Power BI</t>
  </si>
  <si>
    <t>Design 11 architects | Junior Architect | Pune | Dec 2023 | Jul 2024 | 0Y 6M | 1.8</t>
  </si>
  <si>
    <t>0 Years 6 Months</t>
  </si>
  <si>
    <t>PankARCH Architects | Intern | Rajasthan | Sep 2022 | Nov 2022 | 12.857142857143 Weeks
MNM Architects  | Intern | Pune | Jun 2021 | Nov 2021 | 22.714285714286 Weeks
Navkar Architects | Intern | Pune | Nov 2021 | Feb 2022 | 14 Weeks
SOBHA LIMITED-INDIA | SUMMER INTERN- PLANNING | BANGALORE | May 2025 | Jul 2025 | 8.5714285714286 Weeks</t>
  </si>
  <si>
    <t>Real Estate Development: Building Value in Your Community
Career Catalyst: Advisory
Commercial Real Estate
Discounted Cash Flow Modeling
Create a Financial Statement using Microsoft Excel
Real Estate Financial Modeling
Company Valuation and Financial Modelling</t>
  </si>
  <si>
    <t>P24702133</t>
  </si>
  <si>
    <t>AKARSH</t>
  </si>
  <si>
    <t>GRANDHI</t>
  </si>
  <si>
    <t>Akarsh Grandhi</t>
  </si>
  <si>
    <t>p24702133@student.nicmar.ac.in</t>
  </si>
  <si>
    <t>10-Dec-2000</t>
  </si>
  <si>
    <t>Hindi,English</t>
  </si>
  <si>
    <t>7618 9231 6655</t>
  </si>
  <si>
    <t>MANMOHAN GRANDHI</t>
  </si>
  <si>
    <t>BUSINESS</t>
  </si>
  <si>
    <t>SARITA GRANDHI</t>
  </si>
  <si>
    <t>Rajniwas, Pl No 60, Hno 246/c, Mohideen Estate, Alto Dabolim.</t>
  </si>
  <si>
    <t>South Goa</t>
  </si>
  <si>
    <t>Goa</t>
  </si>
  <si>
    <t>KENDRIYA VIDYALAYA</t>
  </si>
  <si>
    <t>SOUTH GOA</t>
  </si>
  <si>
    <t>2015-Apr</t>
  </si>
  <si>
    <t>2021-Mar</t>
  </si>
  <si>
    <t>MES COLLEGE, GOA UNIVERSITY</t>
  </si>
  <si>
    <t>2021-Jul</t>
  </si>
  <si>
    <t>2024-Mar</t>
  </si>
  <si>
    <t xml:space="preserve"> MS Project, Primavera,Ms office</t>
  </si>
  <si>
    <t>RITIKA PACKAGING PVT LTD | PRODUCTION INTERN TRAINEE | SOUTH GOA | May 2022 | Jul 2022 | 5.7142857142857 Weeks
MUSHROOMS STAY &amp; CAFE | Operations Intern | SOUTH GOA | May 2023 | Jul 2023 | 10.142857142857 Weeks
GSIDC | SITE EXECUTION | GOA | May 2025 | Jul 2025 | 7.7142857142857 Weeks</t>
  </si>
  <si>
    <t>Indian Business History
Housing Policy &amp; Planning</t>
  </si>
  <si>
    <t>P24702141</t>
  </si>
  <si>
    <t>JANHAVI</t>
  </si>
  <si>
    <t>PRAVIN</t>
  </si>
  <si>
    <t>NITNAWARE</t>
  </si>
  <si>
    <t>Janhavi Pravin Nitnaware</t>
  </si>
  <si>
    <t>p24702141@student.nicmar.ac.in</t>
  </si>
  <si>
    <t>23-Jun-1999</t>
  </si>
  <si>
    <t>4364 0228 9351</t>
  </si>
  <si>
    <t>PRAVIN NITNAWARE</t>
  </si>
  <si>
    <t>PROFESSOR</t>
  </si>
  <si>
    <t>SMITA NITNAWARE</t>
  </si>
  <si>
    <t>C-305, Reflections Society, Behind Shell Petrol Pump, Laxman Nagar, Dange Chowk, Wakad, Pune-411033</t>
  </si>
  <si>
    <t>Ahmednagar</t>
  </si>
  <si>
    <t>C. M. S. ENGLISH MEDIUM HIGH SCHOOL, PRADHIKARAN, AKURDI, PUNE</t>
  </si>
  <si>
    <t>MAHARASTRA STATE BOARD OF SECONDARY AND HIGHER SECONDARY EDUCATION</t>
  </si>
  <si>
    <t>SANT DNYANESHWAR HIGH SCHOOL, KHARADI, PUNE</t>
  </si>
  <si>
    <t>2016-May</t>
  </si>
  <si>
    <t>DR. D. Y. PATIL COLLEGE OF ARCHITECTURE, AKURDI, PUNE</t>
  </si>
  <si>
    <t>Revit 3D,Lumion,Sketchup</t>
  </si>
  <si>
    <t>TEAL TINTS DESIGN STUDIO | INTERN | CHINCHWAD, PUNE | Jul 2023 | Nov 2023 | 17.428571428571 Weeks
	EZ REALTY | REAL ESTATE CONSULTING INTERN | KHARADI, PUNE | May 2025 | Jul 2025 | 8.7142857142857 Weeks</t>
  </si>
  <si>
    <t>National Services Scheme
Photoshop
Sketch-Up
Lumion
Revit
Using Google Forms to Analyze User Research Data 
Real Estate Development: Building Value in your Community
Emotional Intelligence in Leadership
Real Estate Financial Modelling
NPTEL Indian Economy: Some Contemporary Perspectives</t>
  </si>
  <si>
    <t>P24702008</t>
  </si>
  <si>
    <t>YASH</t>
  </si>
  <si>
    <t>KUMBALWAR</t>
  </si>
  <si>
    <t>Yash Kishor Kumbalwar</t>
  </si>
  <si>
    <t>p24702008@student.nicmar.ac.in</t>
  </si>
  <si>
    <t>14-Dec-2000</t>
  </si>
  <si>
    <t>Hindi, English</t>
  </si>
  <si>
    <t>2680 8997 3530</t>
  </si>
  <si>
    <t>KISHOR KUMBALWAR</t>
  </si>
  <si>
    <t>ASAWARI KUMBALWAR</t>
  </si>
  <si>
    <t>80. EWS, QT NO. 04, BUDHWAR BAZAR ROAD,SOMWARI QUARTER, SAKKARDARA, NAGPUR</t>
  </si>
  <si>
    <t>PRERNA CONVENT, NAGPUR</t>
  </si>
  <si>
    <t>MAHARASHTRA STATE BOARD</t>
  </si>
  <si>
    <t xml:space="preserve"> DIPLOMA IN AUTOMOBILE ENGINEERING</t>
  </si>
  <si>
    <t>GOVERMENT POLYTECHNIC, NAGPUR</t>
  </si>
  <si>
    <t>RASHTRASANT TUKDOJI MAHARAJ UNIVERSITY, NAGPUR</t>
  </si>
  <si>
    <t>PRIYADARSHINI COLLEGE OF ENGINEERING, NAGPUR</t>
  </si>
  <si>
    <t>2023-Dec</t>
  </si>
  <si>
    <t>Minitab 17,Ms office,Ms Project</t>
  </si>
  <si>
    <t xml:space="preserve">	TRUST ENGINEERING SOLUTIONS |  Management Trainee | NAGPUR | Dec 2023 | Mar 2024 | 13.714285714286 Weeks
ELEGANZ INTERIORS LTD | PROJECT MANAGEMENT (MEP) | BANGALORE | May 2025 | Jul 2025 | 7.2857142857143 Weeks</t>
  </si>
  <si>
    <t>MBA-NBS</t>
  </si>
  <si>
    <t>P24703012</t>
  </si>
  <si>
    <t>PIYUSH</t>
  </si>
  <si>
    <t>DIWAKAR</t>
  </si>
  <si>
    <t>KHOBRAGADE</t>
  </si>
  <si>
    <t>Piyush Diwakar Khobragade</t>
  </si>
  <si>
    <t>pkhobragade640@gmail.com</t>
  </si>
  <si>
    <t>p24703012@student.nicmar.ac.in</t>
  </si>
  <si>
    <t>06-Jun-2000</t>
  </si>
  <si>
    <t>NEWS,GEOPOLITICS,CURRENT AFFAIRS</t>
  </si>
  <si>
    <t>3785 0191 6230</t>
  </si>
  <si>
    <t>DIWAKAR KHOBRAGADE</t>
  </si>
  <si>
    <t>RETIRED GOVT OFFICER</t>
  </si>
  <si>
    <t>JAYA KHOBRAGADE</t>
  </si>
  <si>
    <t>GANESH NAGAR, ARJUNI MORGAON</t>
  </si>
  <si>
    <t>Gondia</t>
  </si>
  <si>
    <t>MAITREYA, NEAR GOLD CINEMA</t>
  </si>
  <si>
    <t>MANOHARBHAI PATEL MILITARY SCHOOL, GONDIA</t>
  </si>
  <si>
    <t>MAHARASHTRA STATE BOARD OF SECONDARY AND HIGHER SECONDARY EDUCATION, GONDIA, MAHARASHTRA</t>
  </si>
  <si>
    <t>ST. PAUL SCIENCE &amp; COMMERCE JUNIOR COLLEGE, NAGPUR</t>
  </si>
  <si>
    <t>MAHARASHTRA STATE BOARD OF SECONDARY AND HIGHER SECONDARY EDUCATION, NAGPUR, MAHARASHTRA</t>
  </si>
  <si>
    <t>NATWARLAL MANIKLAL DALAL COLLEGE, GONDIA, MAHARASHTRA</t>
  </si>
  <si>
    <t>2018-Sep</t>
  </si>
  <si>
    <t>2022-Apr</t>
  </si>
  <si>
    <t>Ms-office</t>
  </si>
  <si>
    <t>BSE INDIA (BOMBAY STOCK EXCHANGE) | FINANCE, OPERATIONS AND DATABASE INTERN | MUMBAI | May 2025 | Jul 2025 | 7.4285714285714 Weeks</t>
  </si>
  <si>
    <t>P24703014</t>
  </si>
  <si>
    <t>PISHE</t>
  </si>
  <si>
    <t>PRATHMESH</t>
  </si>
  <si>
    <t>Pishe Prathmesh Prakash</t>
  </si>
  <si>
    <t>p24703014@student.nicmar.ac.in</t>
  </si>
  <si>
    <t>10-Dec-2001</t>
  </si>
  <si>
    <t>6343 2619 8101</t>
  </si>
  <si>
    <t>723/1/12A, Alipur Road, Near Nene Nursing Home, Barshi, Solapur, Maharatshtra.413411</t>
  </si>
  <si>
    <t>SULAKHE HIGHSCHOOL , BARSHI</t>
  </si>
  <si>
    <t xml:space="preserve"> MAHARASHTRA STATE BOARD OF SECONDARY AND HIGHER SECONDARY EDUCATION, PUNE</t>
  </si>
  <si>
    <t>RAJARSHI SHAHU MAHAVIDYALAYA, LATUR</t>
  </si>
  <si>
    <t>MODERN COLLEGE OF ARTS, COMMERCE AND SCIENCE, GANESHKHIND, PUNE.</t>
  </si>
  <si>
    <t>2023-Apr</t>
  </si>
  <si>
    <t>Ms Office</t>
  </si>
  <si>
    <t>BANK OF MAHARASHTRA | BANKING AND OPERATIONS | PUNE | May 2025 | Jul 2025 | 8.5714285714286 Weeks</t>
  </si>
  <si>
    <t>Google Ads Free Course 2022
Company Secretary Executive Pre-Exam ( Module 2)
Company Secretary Entrance Exam
Coursera Human Resource Analytics
NISM - Security Markets Foundation Certification</t>
  </si>
  <si>
    <t>P24703017</t>
  </si>
  <si>
    <t>KARTHIK</t>
  </si>
  <si>
    <t>KUMAR</t>
  </si>
  <si>
    <t>AGIRISETTI</t>
  </si>
  <si>
    <t>Karthik Kumar Agirisetti</t>
  </si>
  <si>
    <t>p24703017@student.nicmar.ac.in</t>
  </si>
  <si>
    <t>10-Jul-2000</t>
  </si>
  <si>
    <t>Hindi, English,Telugu</t>
  </si>
  <si>
    <t>3804 6286 7941</t>
  </si>
  <si>
    <t>AGIRISETTI RAJESHWAR</t>
  </si>
  <si>
    <t>REAL ESTATE</t>
  </si>
  <si>
    <t>AGIRISETTI ANITHA</t>
  </si>
  <si>
    <t>LADIES TAILOR</t>
  </si>
  <si>
    <t>Plot No 48, New Gayatri Nagar, Jillelguda, K.v. Rangareddy, Telangana</t>
  </si>
  <si>
    <t>Hyderabad</t>
  </si>
  <si>
    <t>Telangana</t>
  </si>
  <si>
    <t>RAVINDRA BHARATHI SCHOOL</t>
  </si>
  <si>
    <t>BOARD OF SECONDARY EDUCATION TELANGANA</t>
  </si>
  <si>
    <t>NARAYANA JUNIOR COLLEGE</t>
  </si>
  <si>
    <t>TELANGANA STATE BOARD OF INTERMEDIATE EDUCATION</t>
  </si>
  <si>
    <t>JAWAHARLAL NEHRU TECHNOLOGICAL UNIVERSITY HYDERABAD</t>
  </si>
  <si>
    <t>SREYAS INSTITUTE OF ENGINEERING AND TECHNOLOGY</t>
  </si>
  <si>
    <t>2022-Dec</t>
  </si>
  <si>
    <t>Revit,3Ds max,Staadpro</t>
  </si>
  <si>
    <t>NCL BUILDTEK LTD | GRADUATE ENGINEER TRAINEE | HYDERABAD | Sep 2023 | Jul 2024 | 0Y 9M |  2.40</t>
  </si>
  <si>
    <t>0 Years 9 Months</t>
  </si>
  <si>
    <t>NEW CONSOLIDATED CONSTRUCTION CO. LTD. | PLANNING, PROJECT CO-ORDINATION AND SITE EXECUTION | MUMBAI | May 2025 | Jul 2025 | 8.7142857142857 Weeks</t>
  </si>
  <si>
    <t>Master in Civil CADD (Auto CAD, Staadpro, Revit, 3Ds Max, Primavera)
Construction Management Foundations
Microsoft Project in Construction</t>
  </si>
  <si>
    <t>P24703018</t>
  </si>
  <si>
    <t>RUTURAJ</t>
  </si>
  <si>
    <t>TAWARE</t>
  </si>
  <si>
    <t>Ruturaj Anand Taware</t>
  </si>
  <si>
    <t>p24703018@student.nicmar.ac.in</t>
  </si>
  <si>
    <t>25-Dec-2000</t>
  </si>
  <si>
    <t>Marathi, Hindi</t>
  </si>
  <si>
    <t>9573 0280 8982</t>
  </si>
  <si>
    <t>ANAND ANKUSH TAWARE</t>
  </si>
  <si>
    <t>SUJATA ANAND TAWARE</t>
  </si>
  <si>
    <t>Srno 36/2, Tukaram Nagar
Kharadi,Pune-411014</t>
  </si>
  <si>
    <t>STELLA MARIS HIGH SCHOOL</t>
  </si>
  <si>
    <t>SHRI SHIVAJI PREPORATORY MILITARY SCHOOL</t>
  </si>
  <si>
    <t xml:space="preserve">AJEENKYA DY PATIL SCHOOL OF ENGINEERING </t>
  </si>
  <si>
    <t>2018-Aug</t>
  </si>
  <si>
    <t>Auto Cad,Ms Office</t>
  </si>
  <si>
    <t>Eka mobility |  GET : Supply Chain Management | Pune | Dec 2023 | Jun 2024 | 0Y 5M | 3</t>
  </si>
  <si>
    <t>0 Years 5 Months</t>
  </si>
  <si>
    <t>ECLATE STAFFING SOLUTIONS | SAP INTERN | PUNE | May 2025 | Jul 2025 | 8.7142857142857 Weeks</t>
  </si>
  <si>
    <t>Catia V3
Autocad
SAP MM
KPMG lean six sigma green belt</t>
  </si>
  <si>
    <t>P24703019</t>
  </si>
  <si>
    <t>SHUBHAM</t>
  </si>
  <si>
    <t>BAGADE</t>
  </si>
  <si>
    <t>Shubham Vijay Bagade</t>
  </si>
  <si>
    <t>p24703019@student.nicmar.ac.in</t>
  </si>
  <si>
    <t>01-May-1994</t>
  </si>
  <si>
    <t>3502 3096 1305</t>
  </si>
  <si>
    <t>MANAGER</t>
  </si>
  <si>
    <t>VAISHNAVI</t>
  </si>
  <si>
    <t>HOME MAKER</t>
  </si>
  <si>
    <t>Flat No.206, 2nd Floor, Sumangal Apartment, Niwara Corner, Takli Road, Kopargaon</t>
  </si>
  <si>
    <t xml:space="preserve">MAHARISH VIDYA MANDIR </t>
  </si>
  <si>
    <t>CBSE BET-KOPARGAON AHMEDNAGAR MAHARASHTRA</t>
  </si>
  <si>
    <t>2009-Jun</t>
  </si>
  <si>
    <t xml:space="preserve">SANT J S M MAHARISHI VIDYA MANDIR </t>
  </si>
  <si>
    <t>2011-Jun</t>
  </si>
  <si>
    <t>2012-May</t>
  </si>
  <si>
    <t xml:space="preserve">D Y PATIL UNIVERSITY </t>
  </si>
  <si>
    <t>SCHOOL OF HOSPITALITY &amp; TOURISM STUDIES NAVI MUMBAI</t>
  </si>
  <si>
    <t>2012-Aug</t>
  </si>
  <si>
    <t>MS Office,Business Development,Client Relationship Management,Customer Engagement,Sales Coordination,Lead Handling,Negotiation Skills,CRM &amp; Reporting ,Problem Solving,Cross-fuctional Corrdination,Team Leadership</t>
  </si>
  <si>
    <t>Neptune Hospitality &amp; Management Services |  F&amp;B Assistant | Maharashtra, Goa, Gujarat, Rajasthan, New Delhi, Uttar Pradesh, Jammu &amp; Kashmir, Nagaland | Dec 2014 | Dec 2015 | 1Y 0M | 1.17
Jubilant FoodWorks Limited | Assistant Guest Delight Manager | Mumbai | Jan 2016 | Nov 2016 | 0Y 10M | 2.29
Soul Konnect Hosptality LLP | Operations Manager | Mumbai | Feb 2017 | Jul 2024 | 7Y 4M | 4.20</t>
  </si>
  <si>
    <t>9 Years 3 Months</t>
  </si>
  <si>
    <t>Supply Chain Digitization
KPMG Green Belt Lean Six Sigma Certificate
Primary &amp; Secondary Markets &amp; Career in Securities Market
Finlatics Equity Markets Analyst
Business Analyst</t>
  </si>
  <si>
    <t>P24703025</t>
  </si>
  <si>
    <t>JAIDEEP</t>
  </si>
  <si>
    <t>BHASKAR</t>
  </si>
  <si>
    <t>BHAWAR</t>
  </si>
  <si>
    <t>Jaideep Bhaskar Bhawar</t>
  </si>
  <si>
    <t>p24703025@student.nicmar.ac.in</t>
  </si>
  <si>
    <t>04-Oct-2002</t>
  </si>
  <si>
    <t>9476 4761 0486</t>
  </si>
  <si>
    <t>DOCTOR</t>
  </si>
  <si>
    <t>SUJATA</t>
  </si>
  <si>
    <t>Saideep , Malpaninagar, Ghulewadi, Sangamner</t>
  </si>
  <si>
    <t>DR BHANUDAS G DERE ENGLISH MEDIUM SCHOOL</t>
  </si>
  <si>
    <t>2017-Apr</t>
  </si>
  <si>
    <t>DR BHANUDAS G DERE JUNIOR COLLEGE</t>
  </si>
  <si>
    <t>MIT WORLD PEACE UNIVERSITY PUNE</t>
  </si>
  <si>
    <t>2020-Aug</t>
  </si>
  <si>
    <t>2023-May</t>
  </si>
  <si>
    <t>Ms Office,Ms Project,Advanced Excel (pivot,Lookup,Dashboards,Cost Tracking &amp; Reporting, SAP BW (Basic),Python</t>
  </si>
  <si>
    <t>TENET COMPUTER AND COMMUNICATION PVT.LTD | ASSOCIATE MARKETING INTERN | NAGPUR | May 2022 | Jul 2022 | 8.7142857142857 Weeks
	TECHNOTRAK ENGINEERS | SUPPLYCHAIN INTERN | AHILYANAGAR,MAHARASHTRA | May 2025 | Jul 2025 | 7.4285714285714 Weeks</t>
  </si>
  <si>
    <t>P24703028</t>
  </si>
  <si>
    <t>SHRIKANT</t>
  </si>
  <si>
    <t>GONDKAR</t>
  </si>
  <si>
    <t>Shrikant Gondkar</t>
  </si>
  <si>
    <t>p24703028@student.nicmar.ac.in</t>
  </si>
  <si>
    <t>06-Jul-2001</t>
  </si>
  <si>
    <t>6868 4113 2967</t>
  </si>
  <si>
    <t xml:space="preserve">ANNASAHEB </t>
  </si>
  <si>
    <t>VAISHALI</t>
  </si>
  <si>
    <t>Sai Hari Prasad Niwas, Beroba Road,sathbhai Mala,shirdi</t>
  </si>
  <si>
    <t xml:space="preserve">DHRUV ACADEMY </t>
  </si>
  <si>
    <t>CBSE SANGAMNER</t>
  </si>
  <si>
    <t>K.B.ROHMARE JR. COLLEGE OF ARTS, COMMERCE AND SCIENCE</t>
  </si>
  <si>
    <t xml:space="preserve">HSE KOPERGAON </t>
  </si>
  <si>
    <t>2020-Jun</t>
  </si>
  <si>
    <t xml:space="preserve">SYMBIOSIS COLLEGE OF ARTS AND COMMERCE AN AUTONOMUS COLLEGE UNDER SAVITRIBAI PHULE PUNE UNIVERSITY </t>
  </si>
  <si>
    <t>SYMBIOSIS COLLEGE OF ARTS AND COMMERCE</t>
  </si>
  <si>
    <t>2024-Apr</t>
  </si>
  <si>
    <t>Tally ERP,MS Office</t>
  </si>
  <si>
    <t>VED PRASAD AND CO. | Accounts and Audit Assistant | Shirdi, Maharashtra | Sep 2021 | Feb 2022 | 23.285714285714 Weeks
	Bank of Maharashtra | Banking &amp; Operations | Balewadi | May 2025 | Jul 2025 | 8.7142857142857 Weeks</t>
  </si>
  <si>
    <t>Accounts and Audit Assistant
Investment Banking Virtual Experience
Data Analytics Consulting Virtual Internship
Google Fundamentals Of Digital Marketing
EDUYOUTH MEET
Financial Modeling</t>
  </si>
  <si>
    <t>P24703035</t>
  </si>
  <si>
    <t>HIMANSHU</t>
  </si>
  <si>
    <t>Himanshu Yadav</t>
  </si>
  <si>
    <t>p24703035@student.nicmar.ac.in</t>
  </si>
  <si>
    <t>26-Jan-1994</t>
  </si>
  <si>
    <t>Music,Reading</t>
  </si>
  <si>
    <t>2696 0909 7765</t>
  </si>
  <si>
    <t>RAJESH KUMAR</t>
  </si>
  <si>
    <t>SCIENTIST</t>
  </si>
  <si>
    <t xml:space="preserve">SHOBHA </t>
  </si>
  <si>
    <t>HOME-MAKER</t>
  </si>
  <si>
    <t>FLAT NO-504, PAARTH APARTMENT, GH-66, SECTOR-55, GURGAON</t>
  </si>
  <si>
    <t>Gurugram</t>
  </si>
  <si>
    <t>Haryana</t>
  </si>
  <si>
    <t>FLAT NO -B-12, TOWER - 2, TYPE- 5, EAST KIDWAI NAGAR, NEW DELHI</t>
  </si>
  <si>
    <t>South West Delhi</t>
  </si>
  <si>
    <t>Delhi</t>
  </si>
  <si>
    <t>DELHI PUBLIC SCHOOL</t>
  </si>
  <si>
    <t>2009-Feb</t>
  </si>
  <si>
    <t>2010-Apr</t>
  </si>
  <si>
    <t>2011-Feb</t>
  </si>
  <si>
    <t>2012-Mar</t>
  </si>
  <si>
    <t>DAYAL SINGH COLLEGE, NEW DELHI</t>
  </si>
  <si>
    <t>UNIVERSITY OF DELHI</t>
  </si>
  <si>
    <t>2015-Dec</t>
  </si>
  <si>
    <t>CENTRAL UNIVERSITY OF HARYANA</t>
  </si>
  <si>
    <t>MAHENDERGARH,HARYANA</t>
  </si>
  <si>
    <t>2016-Jul</t>
  </si>
  <si>
    <t>MS Office</t>
  </si>
  <si>
    <t>National Institute of Construction Management and Research | Office Assistant | Delhi-NCR and Pune | Sep 2019 | May 2023 | 3Y 8M | 5.31</t>
  </si>
  <si>
    <t>3 Years 8 Months</t>
  </si>
  <si>
    <t>MARUTI SUZUKI INDIA LIMITED | Management  Intern  (Direct Taxation Department) | GURGAON | May 2025 | Jul 2025 | 10 Weeks</t>
  </si>
  <si>
    <t>Foundations of Digital Marketing and E-commence by Google</t>
  </si>
  <si>
    <t>P24703038</t>
  </si>
  <si>
    <t>SHARDUL</t>
  </si>
  <si>
    <t>KONDE</t>
  </si>
  <si>
    <t>Shardul Konde</t>
  </si>
  <si>
    <t>p24703038@student.nicmar.ac.in</t>
  </si>
  <si>
    <t>24-Jun-2001</t>
  </si>
  <si>
    <t>3262 9933 5113</t>
  </si>
  <si>
    <t>MANOHAR</t>
  </si>
  <si>
    <t>Plot No. 10 Kadu Layout Panchawati Katol, Nagpur 441302</t>
  </si>
  <si>
    <t>MOUNT CARMEL CONVENT SCHOOL KATOL</t>
  </si>
  <si>
    <t>DHARAMPETH M.P DEO MEMORIAL SCIENCE COLLEGE</t>
  </si>
  <si>
    <t>STATE BOARD OF MAHARASHTRA</t>
  </si>
  <si>
    <t>G.H RAISONI INSTITUTE OF ENGINEERING AND TECHNOLOGY NAGPUR</t>
  </si>
  <si>
    <t xml:space="preserve">	B2B Genie | Product Development Intern | Pune | May 2025 | Jul 2025 | 8.7142857142857 Weeks</t>
  </si>
  <si>
    <t>Financial Analyst | Udemy
The Fundamentals of Digital Marketing | Google</t>
  </si>
  <si>
    <t>P24703042</t>
  </si>
  <si>
    <t>KAMAL</t>
  </si>
  <si>
    <t>SURESH</t>
  </si>
  <si>
    <t>VAISHNAV</t>
  </si>
  <si>
    <t>Kamal Suresh Vaishnav</t>
  </si>
  <si>
    <t>p24703042@student.nicmar.ac.in</t>
  </si>
  <si>
    <t>08-Sep-2001</t>
  </si>
  <si>
    <t>Hindi,English, Marathi,Gujarati</t>
  </si>
  <si>
    <t>8733 7474 1360</t>
  </si>
  <si>
    <t>SERVICE</t>
  </si>
  <si>
    <t>NIRMALADEVI</t>
  </si>
  <si>
    <t>D/310 SHREE TULSIDHAM CHS LTD, TALAV ROAD CROSS NAVHAR ROAD, BHAYANDER EAST, THANE</t>
  </si>
  <si>
    <t>Thane</t>
  </si>
  <si>
    <t>ST. FRANCIS HIGH SCHOOL</t>
  </si>
  <si>
    <t>S.V.P JR COLLEGE OF SCIENCE AND COMMERCE</t>
  </si>
  <si>
    <t>VIDYAVARDHINI'S COLLEGE OF ENGINEERING AND TECHNOLOGY, VASAI</t>
  </si>
  <si>
    <t>SHREEJI CONSTRUCTION ENGINEERS AND CONTRACTORS | INTERN | PALGHAR | Dec 2021 | Jan 2022 | 5 Weeks
SHREE ASHOKA BUILDCON | INTERN | NALASOPARA, PALGHAR | Aug 2021 | Jan 2022 | 21.857142857143 Weeks
	Tricity Realty LLP | Purchase Coordinator | Navi Mumbai | May 2025 | Jul 2025 | 8.7142857142857 Weeks</t>
  </si>
  <si>
    <t>Lean Six sigma certification</t>
  </si>
  <si>
    <t>P24703048</t>
  </si>
  <si>
    <t>RAJARSHI</t>
  </si>
  <si>
    <t>MALLICK</t>
  </si>
  <si>
    <t>Rajarshi Mallick</t>
  </si>
  <si>
    <t>p24703048@student.nicmar.ac.in</t>
  </si>
  <si>
    <t>09-Nov-2001</t>
  </si>
  <si>
    <t>6578 9561 4307</t>
  </si>
  <si>
    <t>SAHADEB MALLICK</t>
  </si>
  <si>
    <t>PIYALI MALLICK</t>
  </si>
  <si>
    <t>Vill,po-Khatul
Post - Khatul
District - Hooghly</t>
  </si>
  <si>
    <t>Hooghly</t>
  </si>
  <si>
    <t>West Bengal</t>
  </si>
  <si>
    <t>SAMANTA KHANDA H.K ROY HIGH SCHOOL (HS)</t>
  </si>
  <si>
    <t>WEST BENGAL BOARD OF SECONDARY EDUCATION</t>
  </si>
  <si>
    <t>2016-Jan</t>
  </si>
  <si>
    <t>WEST BENGAL BOARD OF HIGHER SECONDARY EDUCATION</t>
  </si>
  <si>
    <t xml:space="preserve">THE UNIVERSITY OF BURDWAN </t>
  </si>
  <si>
    <t>NETAJI MAHAVIDYALAYA ARAMBAGH</t>
  </si>
  <si>
    <t>MS Office, Ms Project,Power BI,Tableau</t>
  </si>
  <si>
    <t xml:space="preserve">	Vanguard Ventures | Sales Intern (Real Estate &amp; Market Development) | Thane | May 2025 | Jul 2025 | 7.4285714285714 Weeks</t>
  </si>
  <si>
    <t>P24703050</t>
  </si>
  <si>
    <t>RUSHIKESH</t>
  </si>
  <si>
    <t>KAUTIKRAO</t>
  </si>
  <si>
    <t>WAGH</t>
  </si>
  <si>
    <t>Rushikesh Kautikrao Wagh</t>
  </si>
  <si>
    <t>hrishiwagh.17@gmail.com</t>
  </si>
  <si>
    <t>p24703050@student.nicmar.ac.in</t>
  </si>
  <si>
    <t>17-Jun-1999</t>
  </si>
  <si>
    <t>Hindi ,English,Marathi</t>
  </si>
  <si>
    <t>Football ,Music</t>
  </si>
  <si>
    <t>4654 9453 9962</t>
  </si>
  <si>
    <t>KAUTIK SAYAJIRAO WAGH</t>
  </si>
  <si>
    <t>RETIRED GOVT. EMPLOYEE</t>
  </si>
  <si>
    <t>KAVITA KAUTIKRAO WAGH</t>
  </si>
  <si>
    <t>SOCIAL WORKER</t>
  </si>
  <si>
    <t>Hs No. 5 Prithvi Nagar Satara Parisar
Beed By Pass Auranagabd</t>
  </si>
  <si>
    <t>BHASKARACHARYA VIDYANIKETAN</t>
  </si>
  <si>
    <t xml:space="preserve">MAHARASHTRA STATE BOARD OF SECONDARY AND HIGHER SECONDARY EDUCATION, PUNE </t>
  </si>
  <si>
    <t>DR. R. P. NATH JR. COLLEGE</t>
  </si>
  <si>
    <t>OSMANIA UNIVERSITY</t>
  </si>
  <si>
    <t>ST. PAUL'S DEGREE AND PG. COLLEGE HYDERABAD</t>
  </si>
  <si>
    <t>MS Office,Data Dashboard(Streamlit.io),Power BI,Project Documetation &amp; Reporting</t>
  </si>
  <si>
    <t>AGRIVIJAY  | PROJECT INTERN | PUNE | May 2025 | Jul 2025 | 7.7142857142857 Weeks</t>
  </si>
  <si>
    <t>P24703052</t>
  </si>
  <si>
    <t>HARSH</t>
  </si>
  <si>
    <t>Harsh Pawar</t>
  </si>
  <si>
    <t>harshpawar839@gmail.com</t>
  </si>
  <si>
    <t>p24703052@student.nicmar.ac.in</t>
  </si>
  <si>
    <t>15-Jun-2002</t>
  </si>
  <si>
    <t>hindi,English,Marathi</t>
  </si>
  <si>
    <t>Reading ,Music</t>
  </si>
  <si>
    <t>9937 7060 2293</t>
  </si>
  <si>
    <t>BAPUSAHEB PAWAR</t>
  </si>
  <si>
    <t>SUNITA PAWAR</t>
  </si>
  <si>
    <t>802, Aman Society, Bhosalenagar, Shivajinagar</t>
  </si>
  <si>
    <t>DHRUV ACADEMY, SANGAMNER</t>
  </si>
  <si>
    <t>MAHATMA PHULE JUNIOR COLLEGE</t>
  </si>
  <si>
    <t>MAHARASHTRA BOARD OF SECONDARY AND HIGHER SECONDARY EDUCATION</t>
  </si>
  <si>
    <t>DR. VISHVANATH KARAD MIT WORLD PEACE UNIVERSITY</t>
  </si>
  <si>
    <t>Tableau,Python,R Studio,Power BI,MS Office ,MS Project</t>
  </si>
  <si>
    <t>AGILE CAPITAL SERVICES | BUSINESS DEVELOPMENT INTERN | NEW DELHI | Oct 2021 | Dec 2021 | 10.142857142857 Weeks
CUMMINS INDIA (KEP) | Supply Chain &amp; Operations Intern | PUNE | Jun 2025 | Aug 2025 | 8.5714285714286 Weeks</t>
  </si>
  <si>
    <t>P24703055</t>
  </si>
  <si>
    <t>ANKITA</t>
  </si>
  <si>
    <t>SINGH</t>
  </si>
  <si>
    <t>Ankita Singh</t>
  </si>
  <si>
    <t>ankitasingh4764@gmail.com</t>
  </si>
  <si>
    <t>p24703055@student.nicmar.ac.in</t>
  </si>
  <si>
    <t>27-Nov-2001</t>
  </si>
  <si>
    <t>2204 4405 3563</t>
  </si>
  <si>
    <t>SANJAY KUMAR</t>
  </si>
  <si>
    <t>BUSINESSMAN</t>
  </si>
  <si>
    <t>SAROJ</t>
  </si>
  <si>
    <t xml:space="preserve">SAIDPUR KOTHIA,KURJEE
VIKASH NAGAR,
PS-DIGHA,PATNA,BIHAR,INDIA </t>
  </si>
  <si>
    <t>Patna</t>
  </si>
  <si>
    <t>Bihar</t>
  </si>
  <si>
    <t xml:space="preserve">ST. MICHAEL’S HIGH SCHOOL </t>
  </si>
  <si>
    <t xml:space="preserve"> CENTRAL BOARD OF SECONDARY EDUCATION , PATNA, BIHAR</t>
  </si>
  <si>
    <t>ST.MICHAEL’S HIGH SCHOO</t>
  </si>
  <si>
    <t>UNIVERSITY OF CALCUTTA</t>
  </si>
  <si>
    <t xml:space="preserve">SHRI SHIKSHAYATAN COLLEGE </t>
  </si>
  <si>
    <t>NUMERO UNO CLOTHING LIMITED | Human Resources Department  | Paras Trade Centre, 6th Floor, Sector-2, Gwal Pahari, Gurugram Faridabad Toll Road, Gurugram-122003 Haryana (INDIA)  | May 2025 | Jul 2025 | 8.1428571428571 Weeks
BMW  | Account Executive  | Kolkata  | Mar 2021 | Sep 2021 | 27.714285714286 Weeks</t>
  </si>
  <si>
    <t>P24703056</t>
  </si>
  <si>
    <t>TANISHQ</t>
  </si>
  <si>
    <t>DURAPHE</t>
  </si>
  <si>
    <t>Tanishq Duraphe</t>
  </si>
  <si>
    <t>duraphet@gmail.com</t>
  </si>
  <si>
    <t>p24703056@student.nicmar.ac.in</t>
  </si>
  <si>
    <t>01-Oct-2000</t>
  </si>
  <si>
    <t>English,Hindi,Marathi</t>
  </si>
  <si>
    <t>9869 8354 6001</t>
  </si>
  <si>
    <t>NITIN DURAPHE</t>
  </si>
  <si>
    <t>ENGINEER</t>
  </si>
  <si>
    <t>PREETI DURAPHE</t>
  </si>
  <si>
    <t>Kotputli Ultratech Cement Works, A-1</t>
  </si>
  <si>
    <t>Jaipur</t>
  </si>
  <si>
    <t>Rajasthan</t>
  </si>
  <si>
    <t>THE LOVEDALE SCHOOL, SATNA</t>
  </si>
  <si>
    <t xml:space="preserve">CENTRAL BOARD OF EDUCATION, SATNA, MADHYA PRADESH </t>
  </si>
  <si>
    <t xml:space="preserve">G.D GOENKA PUBLIC SCHOOL, </t>
  </si>
  <si>
    <t>CENTRAL BOARD OF EDUCATION, GREATER NOIDA, UTTAR PRADES</t>
  </si>
  <si>
    <t>NOIDA INTERNATIONAL UNIVERSITY</t>
  </si>
  <si>
    <t>NOIDA INTERNATIONAL UNIVERSITY, NOIDA, UTTAR PRADESH</t>
  </si>
  <si>
    <t>2022-Sep</t>
  </si>
  <si>
    <t>Adobe Premier pro,FI Studio,Canva,Content creation,Brand Logo Designing</t>
  </si>
  <si>
    <t>ULTRATECH CEMENT | TRAINEE IN HR MANAGEMENT | KOTPUTLI | Mar 2024 | May 2024 | 8.5714285714286 Weeks
ULTRATECH CEMENT | INTERN | ULTRATECH CEMENT LIMITED, NYATI EMPRESS, VIMAN NAGAR PUNE, MAHARASHTRA | May 2025 | Jul 2025 | 8.7142857142857 Weeks</t>
  </si>
  <si>
    <t>P24703057</t>
  </si>
  <si>
    <t>AMAL</t>
  </si>
  <si>
    <t>SREEVALSAN</t>
  </si>
  <si>
    <t>Amal Sreevalsan</t>
  </si>
  <si>
    <t>p24703057@student.nicmar.ac.in</t>
  </si>
  <si>
    <t>12-Sep-2000</t>
  </si>
  <si>
    <t>Engli,Hindi ,Malayalam</t>
  </si>
  <si>
    <t>Playing Footbal ,Gym,Cooking</t>
  </si>
  <si>
    <t>7988 2969 6681</t>
  </si>
  <si>
    <t xml:space="preserve">SREEVALSAN TE </t>
  </si>
  <si>
    <t>EX MILITARY</t>
  </si>
  <si>
    <t xml:space="preserve">SUMANGALA NCR </t>
  </si>
  <si>
    <t>STATE GOVERNMENT EMPLOYEE</t>
  </si>
  <si>
    <t>'Sreevalsam' Mocheri,Mavilayi P.o Mundalur,Kannur,Kerala</t>
  </si>
  <si>
    <t>Kannur</t>
  </si>
  <si>
    <t>LAKSHMI GANAPATI PG,PATIL WASTI,PATIL NAGAR,BELEWADI,PUNE,MAHARASHTRA</t>
  </si>
  <si>
    <t xml:space="preserve">ARMY PUBLIC SCHOOL </t>
  </si>
  <si>
    <t>CENTRAL BOARD OF SECONDARY EDUCATION, NEW DELHI</t>
  </si>
  <si>
    <t>MANGALORE UNIVERSITY</t>
  </si>
  <si>
    <t>SHRI DHARMASTHALA MANJUNATHESHWARA COLLEGE OF BUSINESS MANAGEMENT, MANGALURU, KARNATAKA</t>
  </si>
  <si>
    <t>2021-Dec</t>
  </si>
  <si>
    <t>Power BI ,MS Office</t>
  </si>
  <si>
    <t>B2B GENIE PVT LTD | Business Development &amp; Market Research Inte | PUNE | May 2025 | Jul 2025 | 8.7142857142857 Weeks</t>
  </si>
  <si>
    <t>P24703060</t>
  </si>
  <si>
    <t>MOHIT</t>
  </si>
  <si>
    <t>TEJRAO</t>
  </si>
  <si>
    <t>KADAM</t>
  </si>
  <si>
    <t>Mohit Tejrao Kadam</t>
  </si>
  <si>
    <t>p24703060@student.nicmar.ac.in</t>
  </si>
  <si>
    <t>21-Jan-2003</t>
  </si>
  <si>
    <t>English,hindi,Marathi</t>
  </si>
  <si>
    <t>Playing Harmonium</t>
  </si>
  <si>
    <t>2272 8900 0940</t>
  </si>
  <si>
    <t>SELF EMPLOYED</t>
  </si>
  <si>
    <t>RUKHMINI</t>
  </si>
  <si>
    <t>101, D Wing, Chaitanya Villa, Warulwadi, Narayangaon</t>
  </si>
  <si>
    <t>G. R. P. SABNIS VIDYAMANDIR, NARAYANGAON</t>
  </si>
  <si>
    <t>SSC BOARD</t>
  </si>
  <si>
    <t>2017-Jan</t>
  </si>
  <si>
    <t>G. R. P. SABNIS JUNIOR COLLEGE, NARAYANGA</t>
  </si>
  <si>
    <t>HSC BOARD</t>
  </si>
  <si>
    <t>MAHATMA PHULE AGRICULTURE UNIVERSITY, RAHURI</t>
  </si>
  <si>
    <t>DR. D. Y. PATIL COLLEGE OF AGRI BUSINESS MANAGEMEN</t>
  </si>
  <si>
    <t>2020-Sep</t>
  </si>
  <si>
    <t>Ms Office Suite(Advanced Excel/word/power Point),Power Bi,MySQL,Market Reasearch,Lead Generation</t>
  </si>
  <si>
    <t>SYNGENTA FOUNDATION INDIA | Field Research and Stakeholder Collaboration  | PUNE | May 2025 | Jul 2025 | 8.7142857142857 Weeks</t>
  </si>
  <si>
    <t>P24703045</t>
  </si>
  <si>
    <t>PANDEY</t>
  </si>
  <si>
    <t>Piyush Pandey</t>
  </si>
  <si>
    <t>piyushpandey2255@gmail.com</t>
  </si>
  <si>
    <t>p24703045@student.nicmar.ac.in</t>
  </si>
  <si>
    <t>24-Feb-2003</t>
  </si>
  <si>
    <t>hindi,English</t>
  </si>
  <si>
    <t>9877 8516 8097</t>
  </si>
  <si>
    <t>DEEPAK PANDEY</t>
  </si>
  <si>
    <t>ACCOUNTANT</t>
  </si>
  <si>
    <t>ARTI PANDEY</t>
  </si>
  <si>
    <t>P-33 Rishipuram, Phase-2 BDA Road Khajuri Kalan Huzur, Awadhpuri</t>
  </si>
  <si>
    <t>Bhopal</t>
  </si>
  <si>
    <t>Madhya Pradesh</t>
  </si>
  <si>
    <t xml:space="preserve">FLAT NO. 402, FLOOR NO. 4TH FLOOR, TARANGAN BUILDING, MAHALUNGE </t>
  </si>
  <si>
    <t>ST.PAULCO-ED SCHOOL ANAND NAGAR BHOPAL M.P.</t>
  </si>
  <si>
    <t>CENTRAL BOARD OF SECONDARY EDUCATION, DELHI</t>
  </si>
  <si>
    <t>ST. PAULCO-ED SCHOOL ANAND NAGAR BHOPAL M.P.</t>
  </si>
  <si>
    <t>2020-Mar</t>
  </si>
  <si>
    <t>DEVI AHILYA VISHWAVIDYALAYA, INDORE</t>
  </si>
  <si>
    <t>SHRI VAISHNAV INSTITUTE OF MANAGEMENT, INDORE</t>
  </si>
  <si>
    <t>2024-Aug</t>
  </si>
  <si>
    <t>MS office,Tally ERP 9,canva</t>
  </si>
  <si>
    <t>VIRASHA INFRASTRUCTURES | Management Trainee | BHOPAL | Jun 2024 | Jul 2024 | 0Y 0M
MAGESTIC REALTIES | SALES | KOTHRUD, PUNE  | May 2025 | Jul 2025 | 0Y 1M</t>
  </si>
  <si>
    <t>0 Years 2 Months</t>
  </si>
  <si>
    <t>P24703072</t>
  </si>
  <si>
    <t>SHIVLAL</t>
  </si>
  <si>
    <t>AGRAWAL</t>
  </si>
  <si>
    <t>Sakshi Shivlal Agrawal</t>
  </si>
  <si>
    <t>sakshiagrawal1916@gmail.com</t>
  </si>
  <si>
    <t>p24703072@student.nicmar.ac.in</t>
  </si>
  <si>
    <t>19-Sep-2002</t>
  </si>
  <si>
    <t>English,Hindi ,MARATHI</t>
  </si>
  <si>
    <t>Reading,music</t>
  </si>
  <si>
    <t>2602 4521 4351</t>
  </si>
  <si>
    <t>DEEPALI</t>
  </si>
  <si>
    <t xml:space="preserve">HOME MAKER </t>
  </si>
  <si>
    <t>Bharadi,TQ.sillod ,dist.sambhajinagar ,431113</t>
  </si>
  <si>
    <t>S.B.HIGH SCHOOL BHARADI,TQ.SILLOD,DIST.SAMBHAJINAGAR</t>
  </si>
  <si>
    <t xml:space="preserve">MAHARASHTRA </t>
  </si>
  <si>
    <t xml:space="preserve">SBES COLLEGE OF ARTS AND COMMERCE </t>
  </si>
  <si>
    <t xml:space="preserve">MMCC COLLEGE OF PUNE, MAHARASHTRA </t>
  </si>
  <si>
    <t>Ms- office ,canva ,tally</t>
  </si>
  <si>
    <t>AGRIVIJAY | MARKETING | PUNE | May 2025 | Jul 2025 | 7.8571428571429 Weeks
ROHAN BADALE &amp; ASSOCIATES | FINANCE | SILLOD | Nov 2022 | Dec 2022 | 8.5714285714286 Weeks</t>
  </si>
  <si>
    <t>M-PLAN</t>
  </si>
  <si>
    <t>P24704005</t>
  </si>
  <si>
    <t>JISKAR</t>
  </si>
  <si>
    <t>RUTUJA</t>
  </si>
  <si>
    <t>PRABHAKAR</t>
  </si>
  <si>
    <t>Jiskar Rutuja Prabhakar</t>
  </si>
  <si>
    <t>p24704005@student.nicmar.ac.in</t>
  </si>
  <si>
    <t>15-May-2000</t>
  </si>
  <si>
    <t>9585 8935 9614</t>
  </si>
  <si>
    <t>GOVERNMENT SERVANT</t>
  </si>
  <si>
    <t>SAVITA</t>
  </si>
  <si>
    <t>Shrivihar Colony New Rathi Nagar, Dhamangaon Rly</t>
  </si>
  <si>
    <t>SETH FATTELAL LABHCHAND HIGH SCHOOL AND JUNIOR COLLEGE</t>
  </si>
  <si>
    <t xml:space="preserve">SMT. MANORAMABAI MUNDALE COLLEGE OF ARCHITECTURE, NAGPUR </t>
  </si>
  <si>
    <t>AutoCAD,MS Office,Sketchup,Lumion,Revit,Photoshop</t>
  </si>
  <si>
    <t xml:space="preserve">	Vka architecture | Architecture | Pune | Feb 2022 | Oct 2022 | 37.428571428571 Weeks
	DIRECTORATE OF TOWN PLANNING &amp; VALUATION, MAHARASHTRA STATE | Planning Intern | PUNE | May 2025 | Jul 2025 | 9.5714285714286 Weeks</t>
  </si>
  <si>
    <t>UI/UX Certification
Sketchup , Vray, Lumion
Photoshop , Revit
Studying Cities: Social Science Methods for Urban Research
Sustainable Regional Principles, Planning and Transportation
AI and Disaster Management</t>
  </si>
  <si>
    <t>P24704008</t>
  </si>
  <si>
    <t>AKSHATA</t>
  </si>
  <si>
    <t>PIRAJI</t>
  </si>
  <si>
    <t>FARAKATE</t>
  </si>
  <si>
    <t>Akshata Piraji Farakate</t>
  </si>
  <si>
    <t>p24704008@student.nicmar.ac.in</t>
  </si>
  <si>
    <t>4134 4732 5438</t>
  </si>
  <si>
    <t>PSI (MUMBAI POLICE)</t>
  </si>
  <si>
    <t>SMITA</t>
  </si>
  <si>
    <t>PROPERTY DEALER</t>
  </si>
  <si>
    <t>Room No-401, A1(Yogesh), Shree Ganesh Chs, Plot No-1, Sector-28, Nerul (West), Navi Mumbai-400706</t>
  </si>
  <si>
    <t>Mumbai City</t>
  </si>
  <si>
    <t>ST. AUGUSTINE'S HIGH SCHOOL</t>
  </si>
  <si>
    <t>MAHARASHTRA STATE BOARD OF SECONDARY AND HIGHER EDUCATION</t>
  </si>
  <si>
    <t>2013-Jun</t>
  </si>
  <si>
    <t>2014-Mar</t>
  </si>
  <si>
    <t>S.S. HIGH SCHOOL AND JUNIOR COLLEGE</t>
  </si>
  <si>
    <t>2016-Feb</t>
  </si>
  <si>
    <t>SYMBIOSIS SKILLS AND PROFESSIONAL UNIVERSITY, PUNE</t>
  </si>
  <si>
    <t>2022-May</t>
  </si>
  <si>
    <t>AutoCAD,Ms Office, SketchUP, Photoshop, Lumion, Canva, ArcGIS</t>
  </si>
  <si>
    <t>AVINASH NAIK AND ASSOCIATES | ARCHITECT INTERN | KOLHAPUR | Aug 2021 | Dec 2021 | 20.142857142857 Weeks
PUNE METROPOLITAN REGION DEVELOPMENT AUTHORITY (PMRDA) | URBAN PLANNING INTERN | PIMPRI CHINCHWAD | May 2025 | Jul 2025 | 8.5714285714286 Weeks
Archatelie India Pvt. Ltd. | Architectural Designer | Mumbai | Feb 2023 | Sep 2023 | 29.428571428571 Weeks
	Mauli Infrastructure | Architectural Designer &amp; Project Coordinator | Navi Mumbai | Jun 2022 | Jun 2023 | 55.428571428571 Weeks</t>
  </si>
  <si>
    <t>Yoga and Positive Psychology for Managing Career and Life
Studying Cities: Social Science Methods for Urban Research
AI and Disaster Management
Sustainable Regional Principles, Planning and Transportation</t>
  </si>
  <si>
    <t>P24704013</t>
  </si>
  <si>
    <t>VIRESH</t>
  </si>
  <si>
    <t>HARESH</t>
  </si>
  <si>
    <t>KOLI</t>
  </si>
  <si>
    <t>Viresh Haresh Koli</t>
  </si>
  <si>
    <t>p24704013@student.nicmar.ac.in</t>
  </si>
  <si>
    <t>05-May-2000</t>
  </si>
  <si>
    <t>7186 1738 5801</t>
  </si>
  <si>
    <t>HARESH KOLI</t>
  </si>
  <si>
    <t>JANKI KOLI</t>
  </si>
  <si>
    <t>S/O: Haresh Koli, House No-50-1, Mora Road,
 Near I.N.S Tunir, Uran, Boripakhadi, PO:
 Uran, DIST: Raigarh, 
Maharashtra - 400702</t>
  </si>
  <si>
    <t>Raigad</t>
  </si>
  <si>
    <t>ROOM NO. 21, OM CHS, RAM NAGAR COLONY, BAVDHAN, 411021</t>
  </si>
  <si>
    <t>BHARATI VIDYAPEETH ENGLISH MEDIUM SCHOOL</t>
  </si>
  <si>
    <t>CENTRAL BORAD OF SECONDARY EDUCATION</t>
  </si>
  <si>
    <t>BHARATI VIDYAPEETH PRASHALA AND JUNIOR COLLEGE</t>
  </si>
  <si>
    <t>HSC MAHARASHTRA BOARD</t>
  </si>
  <si>
    <t>MUMBAI UNIVERSITY</t>
  </si>
  <si>
    <t>VISHWANIKETAN'S INSTITUTE OF MANAGEMENT ENTREPRENEURSHIP AND ENGINEERING TECHNOLOGY</t>
  </si>
  <si>
    <t>AutoCAD, MS Office, Revit, QGIS</t>
  </si>
  <si>
    <t>L&amp;T Construction- Building &amp; Factories IC. | Site Engineer - Civil Execution | Navi Mumbai  | Jan 2023 | May 2024 | 1Y 3M | 3.12</t>
  </si>
  <si>
    <t>1 Year 3 Months</t>
  </si>
  <si>
    <t>VAIBHAV CONSTRUCTION | INTERN | NAVI MUMBAI | Sep 2022 | Jan 2023 | 18.428571428571 Weeks
CIDCO (CITY AND INDUSTRIAL DEVELOPMENT CORPORATION OF MAHARASHTRA) | CITY PLANNING INTERN | NAVI MUMBAI | May 2025 | Jul 2025 | 8.4285714285714 Weeks</t>
  </si>
  <si>
    <t>Sustainable Regional Principles, Planning and Transportation
Studying Cities: Social Science Methods for Urban Research
AI and Disaster Management
Revit
AutoCAD</t>
  </si>
  <si>
    <t>P24704015</t>
  </si>
  <si>
    <t>VILAS</t>
  </si>
  <si>
    <t>MEKARTA</t>
  </si>
  <si>
    <t>Manasi Vilas Mekarta</t>
  </si>
  <si>
    <t>p24704015@student.nicmar.ac.in</t>
  </si>
  <si>
    <t>25-Dec-2001</t>
  </si>
  <si>
    <t>No Uploaded</t>
  </si>
  <si>
    <t>P24704017</t>
  </si>
  <si>
    <t>PRASAD</t>
  </si>
  <si>
    <t>BAPUSAHEB</t>
  </si>
  <si>
    <t>DAGADE</t>
  </si>
  <si>
    <t>Prasad Bapusaheb Dagade</t>
  </si>
  <si>
    <t>prasaddagade2002@gmail.com</t>
  </si>
  <si>
    <t>p24704017@student.nicmar.ac.in</t>
  </si>
  <si>
    <t>23-Nov-2002</t>
  </si>
  <si>
    <t>Marathi,English,Hindi</t>
  </si>
  <si>
    <t>3802 8242 0120</t>
  </si>
  <si>
    <t>4/30, Vitthal Rakhumai Housing Soceity,Hingane Khurd Aapte Colony, Modern Sweet Lane, Sinhgad Road Pune-51</t>
  </si>
  <si>
    <t>SILVER CREST HIGH SCHOOL</t>
  </si>
  <si>
    <t>GOVERNMENT POLYTENHNIC,PUNE</t>
  </si>
  <si>
    <t>2021-Sep</t>
  </si>
  <si>
    <t>SAVITRIBAI PULE PUNE UNIVERSITY</t>
  </si>
  <si>
    <t>RMD SINHGAD TECHICAL INSTITUTE CAMPUS,WARJE</t>
  </si>
  <si>
    <t>Qgis,ArcGISPro,Canva,BIM/Revit</t>
  </si>
  <si>
    <t>Pune Municipal Corporation. | Urban Planner | Pune | May 2025 | Jul 2025 | 8.4285714285714 Weeks</t>
  </si>
  <si>
    <t>P24704024</t>
  </si>
  <si>
    <t>NAVYA</t>
  </si>
  <si>
    <t>SREE</t>
  </si>
  <si>
    <t>AKULA</t>
  </si>
  <si>
    <t>Navya Sree Akula</t>
  </si>
  <si>
    <t>p24704024@student.nicmar.ac.in</t>
  </si>
  <si>
    <t>11-Mar-2002</t>
  </si>
  <si>
    <t>VIDYA VANI HIGH SCHOOL</t>
  </si>
  <si>
    <t>BOARD OF SECONDARY EDUCATION TELANGANA STATE, INDIA</t>
  </si>
  <si>
    <t>2019-Apr</t>
  </si>
  <si>
    <t>JAWAHARLAL NEHRU TECHNOLOGICAL UNIVERSITY, HYDERABAD</t>
  </si>
  <si>
    <t>INSTITUTE OF AERONAUTICAL ENGINEERING, DUNDIGAL, HYDERABAD</t>
  </si>
  <si>
    <t>Sketchup ,QGIS,Revit</t>
  </si>
  <si>
    <t>CENTRAL WATER COMMISSION | INTERN | HYDERABAD | Feb 2023 | Mar 2023 | 6.4285714285714 Weeks
NESTUP SPACE PVT LTD | DESIGNER | HYDERABAD | Apr 2024 | Jun 2024 | 12.857142857143 Weeks
National Institute of Urban Management (NIUM)  | INTERN | HYDERABAD | May 2025 | Jul 2025 | 7.7142857142857 Weeks</t>
  </si>
  <si>
    <t>P24704028</t>
  </si>
  <si>
    <t>VARSHA</t>
  </si>
  <si>
    <t>SHETTY</t>
  </si>
  <si>
    <t>Varsha Shetty S</t>
  </si>
  <si>
    <t>varshashetty32@gmail.com</t>
  </si>
  <si>
    <t>p24704028@student.nicmar.ac.in</t>
  </si>
  <si>
    <t>03-Jun-2000</t>
  </si>
  <si>
    <t>Kannada,Hindi,English</t>
  </si>
  <si>
    <t>Painting &amp; sketching,Crochet,Watching TV shows &amp; Movies,Listening Music &amp; Podcast,Baking</t>
  </si>
  <si>
    <t>5945 7243 0676</t>
  </si>
  <si>
    <t>SURESH M</t>
  </si>
  <si>
    <t>LAKSHMI</t>
  </si>
  <si>
    <t>779/780 13th CROSS 23RD MAIN 2ND PHASE JP NAGAR BANAGLORE 560078</t>
  </si>
  <si>
    <t>Bangalore Urban</t>
  </si>
  <si>
    <t>Karnataka</t>
  </si>
  <si>
    <t>BETHANY HIGH SCHOOL</t>
  </si>
  <si>
    <t>INDIAN CERTIFICATE OF SECONDARY EDUCATION</t>
  </si>
  <si>
    <t>NEHRU SMARKA VIDYALAYA</t>
  </si>
  <si>
    <t>VISVESVARAYA TECHNOLOGICAL UNIVERSITY</t>
  </si>
  <si>
    <t>SJB SCHOOL OF ARCHITECTURE AND PLANNING</t>
  </si>
  <si>
    <t>2023-Mar</t>
  </si>
  <si>
    <t>Sketchup,Enscape,Limion,Rhino,Grasshopper,QGIS,ARC GIS,ARC MAP,SPSS,Mendeley</t>
  </si>
  <si>
    <t>STUDIO 69  | INTERN  | JAYNAGAR BANAGLORE | Aug 2022 | Dec 2022 | 16 Weeks
TECH COMM URBAN MANAGEMENT AND CONSULTANCY  | INTERN  | PUNE  | May 2025 | Jul 2025 | 8.7142857142857 Weeks</t>
  </si>
  <si>
    <t>P24704030</t>
  </si>
  <si>
    <t>Sumathi</t>
  </si>
  <si>
    <t>Aishwarya Sumathi</t>
  </si>
  <si>
    <t>28aishwaryas@gmail.com</t>
  </si>
  <si>
    <t>p24704030@student.nicmar.ac.in</t>
  </si>
  <si>
    <t>28-Dec-1999</t>
  </si>
  <si>
    <t>Kannada,English,Hindi</t>
  </si>
  <si>
    <t>Cooking,Music,Watching Shows</t>
  </si>
  <si>
    <t>8063 3372 2013</t>
  </si>
  <si>
    <t>0000000000</t>
  </si>
  <si>
    <t>SUMATHI</t>
  </si>
  <si>
    <t>81, "Sathya's Mansion", 1st A Cross, 2nd B Main, Classic Pleasant Villa Layout, Kembattahalli, JP Nagar 8th Phase, Bangalore - 560083</t>
  </si>
  <si>
    <t>THE OXFORD ENGLISH SCHOOL</t>
  </si>
  <si>
    <t>ICSE BOARD, BANGALORE URBAN</t>
  </si>
  <si>
    <t>BANGALORE INTERNATIONAL ACADEMY</t>
  </si>
  <si>
    <t>CBSE BOARD, BANGALORE URBAN</t>
  </si>
  <si>
    <t>VISHVESVARAYA TECHNOLOGICAL UNIVERSITY</t>
  </si>
  <si>
    <t>RNS SCHOOL OF ARCHITECTURE, BANGALORE URBAN</t>
  </si>
  <si>
    <t>SketchUP,Photoshop,QGIS,Mendeley,VosViewer,InfraNodus,SPSS,ArcMAp</t>
  </si>
  <si>
    <t>Siddhi Architects and Interior Designers  | Architectural Intern | Yelachenahalli, Bangalore  | Aug 2022 | Dec 2022 | 18.285714285714 Weeks
TECHCOMM URBAN MANGEMENT CONSULTANTS &amp; SERVICE PROVIDER	 | URBAN PLANNING INTERN | PUNE | May 2025 | Jul 2026 | 60.714285714286 Weeks</t>
  </si>
  <si>
    <t>MBA-SEM</t>
  </si>
  <si>
    <t>P24706002</t>
  </si>
  <si>
    <t>BHOLE</t>
  </si>
  <si>
    <t>KAUMUDI</t>
  </si>
  <si>
    <t>VIVEK</t>
  </si>
  <si>
    <t>Bhole Kaumudi Vivek</t>
  </si>
  <si>
    <t>p24706002@student.nicmar.ac.in</t>
  </si>
  <si>
    <t>13-Mar-1999</t>
  </si>
  <si>
    <t>2340 9926 4993</t>
  </si>
  <si>
    <t>VIVEK DATTATRAY BHOLE</t>
  </si>
  <si>
    <t>YOGITA VIVEK BHOLE</t>
  </si>
  <si>
    <t>HOUSE NUMBER 886,887, CHAVDAR TALE, MAHAD, RAIGAD</t>
  </si>
  <si>
    <t>MILLENIUM GIRLS HOSTEL, NICMAR UNIVERSITY, BANER, PUNE</t>
  </si>
  <si>
    <t xml:space="preserve"> KONKAN EDUCATION SOCIETY'S PARVATIBAI MAHADEV THERVAL KANYA VIDYALAYA, MAHAD, RAIGAD</t>
  </si>
  <si>
    <t>SECONDARY SCHOOL CERTIFICATE MAHARASHTRA BOARD</t>
  </si>
  <si>
    <t>LAXMANRAO APTE JUNIOR COLLEGE, SHIVAJINAGAR, PUNE</t>
  </si>
  <si>
    <t>HIGHER SECONDARY CERTIFICATE MAHARASHTRA BOARD</t>
  </si>
  <si>
    <t>FERGUSSON COLLEGE, PUNE</t>
  </si>
  <si>
    <t>2021-Jun</t>
  </si>
  <si>
    <t>MIT WORLD PEACE UNIVERSITY, KOTHRUD, PUNE</t>
  </si>
  <si>
    <t xml:space="preserve"> MIT WORLD PEACE UNIVERSITY, KOTHRUD, PUNE</t>
  </si>
  <si>
    <t>2023-Sep</t>
  </si>
  <si>
    <t>MS Office,Primavera</t>
  </si>
  <si>
    <t>Swastik Edustart | GIS Intern | Delhi | May 2025 | Jul 2025 | 8.7142857142857 Weeks
GIS VISION INDIA | GIS Trainee | Assam | Apr 2023 | Jun 2023 | 12.857142857143 Weeks</t>
  </si>
  <si>
    <t>P24706005</t>
  </si>
  <si>
    <t>AJAY</t>
  </si>
  <si>
    <t>KIRAN</t>
  </si>
  <si>
    <t>BORRA</t>
  </si>
  <si>
    <t>Ajay Kiran Borra</t>
  </si>
  <si>
    <t>p24706005@student.nicmar.ac.in</t>
  </si>
  <si>
    <t>30-Apr-2001</t>
  </si>
  <si>
    <t>English</t>
  </si>
  <si>
    <t>5690 6461 9810</t>
  </si>
  <si>
    <t>B APPA RAO</t>
  </si>
  <si>
    <t>EXPIRED</t>
  </si>
  <si>
    <t>B AMMAJAMMA</t>
  </si>
  <si>
    <t>H NO 2-2-80/1;Kotturu Narasingrao Peta; Anakapalli Mandalam; Visakhapatnam</t>
  </si>
  <si>
    <t>Visakhapatnam</t>
  </si>
  <si>
    <t>GOOD SHEPHERD ENGLISH MEDIUM SCHOOL</t>
  </si>
  <si>
    <t>COUNCIL FOR THE INDIAN SCHOOL CERTIFICATE EXAMINATIONS, NEW DELHI</t>
  </si>
  <si>
    <t>SRI CHAITANYA JUNIOR COLLEGE</t>
  </si>
  <si>
    <t>BOARD OF INTERMEDIATE EDUCATION, ANDHRA PRADESH</t>
  </si>
  <si>
    <t>JAWAHARLAL NEHRU TECHNOLOGICAL UNIVERSITY, VIZIANAGARAM</t>
  </si>
  <si>
    <t>BABA INSTITUTE OF TECHNOLOGY &amp; SCIENCES</t>
  </si>
  <si>
    <t>2024-Feb</t>
  </si>
  <si>
    <t>Auto CAD,MS Office,Primavera,C Programming</t>
  </si>
  <si>
    <t>URALUNGAL LABOUR CONTRACT CO-OPERATIVE SOCIETY (ULCCS) LTD | ENERGY MANAGEMENT INTERN | KOZHIKODE,KERALA | May 2025 | Jul 2025 | 8.7142857142857 Weeks</t>
  </si>
  <si>
    <t>Master Class On Python Programming
Manufacturing-CNC-Turning
AutoCAD 2D &amp; 3D</t>
  </si>
  <si>
    <t>P24706012</t>
  </si>
  <si>
    <t>RUCHI</t>
  </si>
  <si>
    <t>PRAVINKUMAR</t>
  </si>
  <si>
    <t>MALPANI</t>
  </si>
  <si>
    <t>Ruchi Pravinkumar Malpani</t>
  </si>
  <si>
    <t>p24706012@student.nicmar.ac.in</t>
  </si>
  <si>
    <t>28-Oct-2000</t>
  </si>
  <si>
    <t>French,Marathi</t>
  </si>
  <si>
    <t>5760 7220 6629</t>
  </si>
  <si>
    <t>PRAVINKUMAR MALPANI</t>
  </si>
  <si>
    <t>ARCHITECT AND INTERIOR DESIGNER</t>
  </si>
  <si>
    <t>SUSHAMA MALPANI</t>
  </si>
  <si>
    <t>Plot No.10 , Omsparshh Momentum Bungalow, Vivekanand Nagar, Behind Madhur Food Plaza, Pipeline Road, Gangapur Road</t>
  </si>
  <si>
    <t>Nashik</t>
  </si>
  <si>
    <t>KILBIL ST.JOSEPH'S HIGH SCHOOL</t>
  </si>
  <si>
    <t>MAHARASHTRA STATE BOARD, NASHIK</t>
  </si>
  <si>
    <t>H.P.T ARTS AND R.Y.K SCIENCE COLLEGE</t>
  </si>
  <si>
    <t>MET'S SCHOOL OF ARCHITECTURE AND INTERIOR DESIGN, NASHIK, MAHARASHTRA</t>
  </si>
  <si>
    <t>AutoCAD,Ms Office, Primavera,other</t>
  </si>
  <si>
    <t>Hundreddesigns | Architectural Intern | Surat | Jun 2022 | Nov 2022 | 23 Weeks
PRASURMA DESIGNS | Junior Architect | NASHIK | Jun 2023 | Jun 2024 | 54.428571428571 Weeks
GRATTITUDE SYNERGY LLP |  SUSTAINABILITY ADVISORY INTERN | PUNE | May 2025 | Jul 2025 | 8.7142857142857 Weeks</t>
  </si>
  <si>
    <t>Linkedin Learning - What is Generative AI ?
Dronalaya - 10 day residential career skills booster program
NPTEL Online Certification - Technologies for Clean and Renewable Energy Production
Energy Audits conducted by Schneider Electric University
NPTEL Online Certification - Design Thinking (IIT Madras)
Council of Architecture (COA) Registration</t>
  </si>
  <si>
    <t>P24706013</t>
  </si>
  <si>
    <t>ARPAN</t>
  </si>
  <si>
    <t>TEWARI</t>
  </si>
  <si>
    <t>Arpan Tewari</t>
  </si>
  <si>
    <t>p24706013@student.nicmar.ac.in</t>
  </si>
  <si>
    <t>24-Jul-1995</t>
  </si>
  <si>
    <t>Hindi</t>
  </si>
  <si>
    <t>5036 8087 6833</t>
  </si>
  <si>
    <t>ASHWANI TEWARI</t>
  </si>
  <si>
    <t>RETIRED DEPUTY DIRECTOR DGCA</t>
  </si>
  <si>
    <t>MANISHA TEWARI</t>
  </si>
  <si>
    <t>RETIRED JOINT DIRECTOR LOK SABHA</t>
  </si>
  <si>
    <t>D-21, Shyam Vihar Phase 1, Road Number 5, Street Number 7, Najafgarh, NCT Delhi</t>
  </si>
  <si>
    <t>SHANTI GYAN NIKETAN SENIOR SECONDARY PUBLIC SCHOOL</t>
  </si>
  <si>
    <t>CENTRAL BOARD OF SECONDARY EDUCATION (CBSE), DELHI</t>
  </si>
  <si>
    <t>2014-May</t>
  </si>
  <si>
    <t>LOVELY PROFESSIONAL UNIVERSITY, PUNJAB</t>
  </si>
  <si>
    <t>LOVELY SCHOOL OF ARCHITECTURE AND DESIGN, LOVELY PROFESSIONAL UNIVERSITY, PUNJAB</t>
  </si>
  <si>
    <t>AutoCADMS Office,Primavera,other</t>
  </si>
  <si>
    <t xml:space="preserve"> Chapman Taylor India LLP | Architect and BIM Coordinator | Safdarjung, New Delhi | Aug 2023 | Mar 2024 | 0Y 7M | 7.92
Tekton Studio | Senior Architect | Daryaganj, New Delhi | Oct 2020 | Dec 2022 | 2Y 1M | 3
Creative Group LLP | BIM Architect | Description: Roles &amp; Responsibilities: Projects: Gwalior Airport, Faridabad Railway Station, Howrah Railway Station Redevelopment, Rajkot Airport and NIT Patna Prepared architectural and working drawings, coordinated building services, and managed site an | Dec 2022 | Aug 2023 | 0Y 7M | 4.44</t>
  </si>
  <si>
    <t>3 Years 4 Months</t>
  </si>
  <si>
    <t>Renu Khanna and Associates |  Architecture Internship | Panchkula, Chandigarh | Jan 2019 | May 2019 | 17.714285714286 Weeks
Ecoboard Industries Limited | Summer Intern | Erandwane, Pune, Maharashtra | May 2025 | Jul 2025 | 8 Weeks</t>
  </si>
  <si>
    <t>Business Analyst
Technologies for Clean and Renewable Energy Production
IIT Madras - Design Thinking
Craste Internship Certification</t>
  </si>
  <si>
    <t>P24706014</t>
  </si>
  <si>
    <t>GIRISH</t>
  </si>
  <si>
    <t>UKIDAVE</t>
  </si>
  <si>
    <t>Janhavi Girish Ukidave</t>
  </si>
  <si>
    <t>p24706014@student.nicmar.ac.in</t>
  </si>
  <si>
    <t>23-Feb-2000</t>
  </si>
  <si>
    <t>Hindi,Marathi</t>
  </si>
  <si>
    <t>2080 1494 8980</t>
  </si>
  <si>
    <t>UMA</t>
  </si>
  <si>
    <t>Flat No 4, Bldg No 1, Tapovan CHS, Tapodham Rd,Warje,Pune</t>
  </si>
  <si>
    <t>BHARATIYA VIDYA BHAVAN PARANJAPE VIDYA MANDIR</t>
  </si>
  <si>
    <t>THE MAHARASHTRA STATE BOARD OF SECONDARY &amp; HIGHER SECONDARY EDUCATION</t>
  </si>
  <si>
    <t>MES ABASAHEB GARWARE COLLEGE, PUNE</t>
  </si>
  <si>
    <t>DR .B . N. COLLEGE OF ARCHITECTURE, PUNE</t>
  </si>
  <si>
    <t>Studio G+A |  Junior Architect | Pune | Jul 2023 | May 2024 | 0Y 10M | 2.05</t>
  </si>
  <si>
    <t>0 Years 10 Months</t>
  </si>
  <si>
    <t>Footprints E.A.R.T.H | Architectural Intern | Ahmedabad,Gujrat | May 2022 | Nov 2022 | 26.571428571429 Weeks
SHASHWAT Green Building Consultants | Green building Intern | Pune | May 2025 | Jul 2025 | 8.7142857142857 Weeks</t>
  </si>
  <si>
    <t>PGD-QSCM</t>
  </si>
  <si>
    <t>2025-2026</t>
  </si>
  <si>
    <t>P25600022</t>
  </si>
  <si>
    <t>GAURAV</t>
  </si>
  <si>
    <t>SHARMA</t>
  </si>
  <si>
    <t>Gaurav Sharma</t>
  </si>
  <si>
    <t>p25600022@student.nicmar.ac.in</t>
  </si>
  <si>
    <t>10-Dec-1995</t>
  </si>
  <si>
    <t>4282 7251 5035</t>
  </si>
  <si>
    <t xml:space="preserve">SUDHIR SHARMA </t>
  </si>
  <si>
    <t xml:space="preserve">DOCTOR </t>
  </si>
  <si>
    <t>SUSHMA SHARMA</t>
  </si>
  <si>
    <t xml:space="preserve">TEACHER </t>
  </si>
  <si>
    <t>Rajmahal Colony Kawardha Ward No 09</t>
  </si>
  <si>
    <t>Kabirdham</t>
  </si>
  <si>
    <t>Chhattisgarh</t>
  </si>
  <si>
    <t xml:space="preserve">THE HOLY KINGDOM </t>
  </si>
  <si>
    <t>CHHATTISGARH</t>
  </si>
  <si>
    <t>2010-Jun</t>
  </si>
  <si>
    <t>THE HOLY KINGDOM</t>
  </si>
  <si>
    <t>2013-Mar</t>
  </si>
  <si>
    <t>CHHATTISGARH SWAMI VIVEKANAND TECHNICAL UNIVERSITY</t>
  </si>
  <si>
    <t>RUNGTA ENGINEERING COLLEGE</t>
  </si>
  <si>
    <t>2013-Aug</t>
  </si>
  <si>
    <t>AutoCAD,Ms Office</t>
  </si>
  <si>
    <t>P25600086</t>
  </si>
  <si>
    <t>HARAN</t>
  </si>
  <si>
    <t>SURYA</t>
  </si>
  <si>
    <t>Haran Surya S</t>
  </si>
  <si>
    <t>P25600086@student.nicmar.ac.in</t>
  </si>
  <si>
    <t>09-May-1999</t>
  </si>
  <si>
    <t>Tamil,MALAYALAM</t>
  </si>
  <si>
    <t>5894 5536 3088</t>
  </si>
  <si>
    <t>SHAJIMON B</t>
  </si>
  <si>
    <t>PRIVATE EMPLOYEE</t>
  </si>
  <si>
    <t>SUSAN</t>
  </si>
  <si>
    <t>NURSING ASSISTANT</t>
  </si>
  <si>
    <t>HARANS,MANNANCHERRY, PO ALAPPUZHA</t>
  </si>
  <si>
    <t>Alappuzha</t>
  </si>
  <si>
    <t>ST.JOSEPH' HIGHER SECONDARY SCHOOL PULINKUNNU</t>
  </si>
  <si>
    <t>BOARD OF PUBLIC EXAMINATIONS,KERALA</t>
  </si>
  <si>
    <t>LAJANATHUL MUHAMMADIYA HIGHER SECONDARY SCHOOL ALAPPUZHA</t>
  </si>
  <si>
    <t xml:space="preserve">BOARD OF PUBLIC EXAMINATIONS,KERALA </t>
  </si>
  <si>
    <t xml:space="preserve"> COCHIN UNIVERSITY OF SCIENCE AND TECHNOLOGY</t>
  </si>
  <si>
    <t>COCHIN UNIVERSITY COLLEGE OF ENGINEERING KUTTANADU,ALAPPUZHA</t>
  </si>
  <si>
    <t>AutoCAD,MS Office,MS Project,Advanced Excel,Calquan</t>
  </si>
  <si>
    <t xml:space="preserve">	IREL(INDIA)LIMITED | Engineer Intern | KOLLAM,KERALA | Sep 2021 | Sep 2021 | 2.2857142857143 Weeks</t>
  </si>
  <si>
    <t>2025-2027</t>
  </si>
  <si>
    <t>P25700031</t>
  </si>
  <si>
    <t>AKHIL</t>
  </si>
  <si>
    <t>RAJABOINA</t>
  </si>
  <si>
    <t>Akhil Rajaboina</t>
  </si>
  <si>
    <t>akhilrajaboina.ce@gmail.com</t>
  </si>
  <si>
    <t>p25700031@student.nicmar.ac.in</t>
  </si>
  <si>
    <t>24-May-2001</t>
  </si>
  <si>
    <t>Telugu, English, Hindi</t>
  </si>
  <si>
    <t>O+ve</t>
  </si>
  <si>
    <t>3872 9242 9817</t>
  </si>
  <si>
    <t>RAJU</t>
  </si>
  <si>
    <t>RAMA</t>
  </si>
  <si>
    <t>1-30/2, Vill: Shayampet (H), Mdl: Geesugonda, Dist: Warangal, Telangana, India - 506330.</t>
  </si>
  <si>
    <t>Warangal</t>
  </si>
  <si>
    <t>Z P P SECONDARY SCHOOL DHARMARAM</t>
  </si>
  <si>
    <t>BOARD OF SECONDARY EDUCATION, TELANGANA</t>
  </si>
  <si>
    <t>RAJIV GANDHI UNIVERSITY OF KNOWLEDGE TECHNOLOGIES, BASAR</t>
  </si>
  <si>
    <t>AutoCAD,MS Office,MS Project,Primavera,Power BI,STAAD.Pro,CostX,Revit</t>
  </si>
  <si>
    <t>Navayuga Engineering Company Limited | Project Monitoring and Control | Silkyara - Barkot, Uttarakhand | Jul 2024 | Jun 2025 | 0Y 11M | 3.1</t>
  </si>
  <si>
    <t>0 Years 11 Months</t>
  </si>
  <si>
    <t>Masin Projects Private Limited | Delay/Quantum | Mumbai | May 2026 | Jul 2026 | 8.7142857142857 Weeks | Campus Internship
Roads and Buildings Department, Telangana State | Site Supervision | Nizamabad, Telangana State | May 2023 | Jun 2023 | 5.5714285714286 Weeks</t>
  </si>
  <si>
    <t>P25700556</t>
  </si>
  <si>
    <t>POOJITHA SAI</t>
  </si>
  <si>
    <t>BASATI</t>
  </si>
  <si>
    <t>Poojitha Sai Basati</t>
  </si>
  <si>
    <t>poojithasaibasati@gmail.com</t>
  </si>
  <si>
    <t>p25700556@student.nicmar.ac.in</t>
  </si>
  <si>
    <t>23-Oct-2003</t>
  </si>
  <si>
    <t>A+ve</t>
  </si>
  <si>
    <t>4432 8553 1307</t>
  </si>
  <si>
    <t>BASATI KOTESWARA RAO</t>
  </si>
  <si>
    <t>GOVT TEACHER</t>
  </si>
  <si>
    <t>YADAVALLI VS PARVATHI</t>
  </si>
  <si>
    <t>1-48/2 Seetha Gardens,sanivarapu Peta 534003_x000D_
Eluru,Andhra Pradesh</t>
  </si>
  <si>
    <t>Eluru</t>
  </si>
  <si>
    <t>BHASHYAM E/M HIGH SCHOOL, N.R PET ELURU</t>
  </si>
  <si>
    <t>BOARD OF SECONDARY EDUCATION ANDHRA PRADESH, INDIA</t>
  </si>
  <si>
    <t>2018-Apr</t>
  </si>
  <si>
    <t>ADITYA JUNIOR COLLEGE , PUNADIPADU ANDHRA PRADESH</t>
  </si>
  <si>
    <t>BOARD OF INTERMEDIATE EDUCATION , ANDHRA PRADESH INDIA</t>
  </si>
  <si>
    <t>ACHARYA NAGARJUNA UNIVERSITY</t>
  </si>
  <si>
    <t>R.V.R &amp; J.C COLLEGE OF ENGINEERING , CHOWDAVARAM ANDHRA PRADESH</t>
  </si>
  <si>
    <t>AutoCAD,MS Office,MS Project,Primavera,Project documentation,Scheduling basics,Report preparation</t>
  </si>
  <si>
    <t>Godrej Properties Limited | Operations - Intern | Bangalore | May 2026 | Jul 2026 | 8.7142857142857 Weeks | Campus Internship
SV ASSOCIATES PATTABHIPURAM, GUNTUR 522006 | PLANNING &amp; DESIGNING | GUNTUR | Jan 2024 | May 2024 | 16.285714285714 Weeks</t>
  </si>
  <si>
    <t>P25700173</t>
  </si>
  <si>
    <t>BHAVISHA</t>
  </si>
  <si>
    <t>MANOJ</t>
  </si>
  <si>
    <t>BORDE</t>
  </si>
  <si>
    <t>Bhavisha Manoj Borde</t>
  </si>
  <si>
    <t>bhavishamborde@gmail.com</t>
  </si>
  <si>
    <t>p25700173@student.nicmar.ac.in</t>
  </si>
  <si>
    <t>14-Nov-1999</t>
  </si>
  <si>
    <t>English, Hindi, Marathi, Marawadi.</t>
  </si>
  <si>
    <t>B+ve</t>
  </si>
  <si>
    <t>8653 8712 2679</t>
  </si>
  <si>
    <t>MANOJ BORDE</t>
  </si>
  <si>
    <t>LIASONING OFFICER</t>
  </si>
  <si>
    <t>NISHA BORDE</t>
  </si>
  <si>
    <t>A/30 SINDHU KUNJ, GAURAKSHAN ROAD , AKOLA</t>
  </si>
  <si>
    <t>MOUNT CARMEL SECONDARY AND HIGHERSECONDARY SCHOOL</t>
  </si>
  <si>
    <t>MAHARASHTRA STATE BOARD, AMRAVATI DIVISIONAL BOARD, PUNE</t>
  </si>
  <si>
    <t>LATE JYOTI JANOLKAR COLLEGE , AKOLA.</t>
  </si>
  <si>
    <t>2017-Feb</t>
  </si>
  <si>
    <t>SAVITRIBAI PHULE UNIVERSITY ,PUNE</t>
  </si>
  <si>
    <t>SB PATIL COLLEGE OF ARCHITECTURE AND DESIGN.</t>
  </si>
  <si>
    <t>AutoCAD, MS Office, MS Project, Primavera,Revit, Navisworks, Autodesk contruction cloud, Sketchup, Lumion, Enscape, Photoshop, Archicad, 3Ds Max, Power BI, RIB CostX, GAMMA AR</t>
  </si>
  <si>
    <t>10D Design Services, Pune | BIM Consultant | Hyderabad | Apr 2024 | Jun 2025 | 1Y 2M | 3.6
Godha Design Hub | Jr. Architect | Hyderabad | Oct 2022 | Mar 2024 | 1Y 5M | 3</t>
  </si>
  <si>
    <t>2 Years 8 Months</t>
  </si>
  <si>
    <t>Cushman &amp; Wakefield | Intern- Strategic Consulting | Gurgaon | May 2026 | Jul 2026 | 8.7142857142857 Weeks | Campus Internship
Rennu Khanna Associates,Chandigarh | Intern Architect | Chandigarh | Jun 2021 | Nov 2021 | 25 Weeks</t>
  </si>
  <si>
    <t>Diploma in Architecture Softwares
Finance for Non Financial Managers</t>
  </si>
  <si>
    <t>P25700279</t>
  </si>
  <si>
    <t>DAKSH</t>
  </si>
  <si>
    <t>PRATAP</t>
  </si>
  <si>
    <t>Daksh Pratap Singh</t>
  </si>
  <si>
    <t>er.singh.p.21@gmail.com</t>
  </si>
  <si>
    <t>p25700279@student.nicmar.ac.in</t>
  </si>
  <si>
    <t>04-Mar-2004</t>
  </si>
  <si>
    <t>Hindi, English, Bhojpuri, German</t>
  </si>
  <si>
    <t>Badminton,Notetaking,Cooking</t>
  </si>
  <si>
    <t>6813 4831 0819</t>
  </si>
  <si>
    <t>MANOJ KUMAR SINGH</t>
  </si>
  <si>
    <t>GOVERNMENT EMPLOYEE</t>
  </si>
  <si>
    <t>SADHANA SINGH</t>
  </si>
  <si>
    <t>Ii/6/c, Irrigation Colony, Tulsisagar, New Church Compound</t>
  </si>
  <si>
    <t>Ghazipur</t>
  </si>
  <si>
    <t>Uttar Pradesh</t>
  </si>
  <si>
    <t>SHAH FAIZ PUBLIC SCHOOL</t>
  </si>
  <si>
    <t>CENTRAL BOARD OF SECONDAY EDUCATION</t>
  </si>
  <si>
    <t>CITY INTERNATIONAL SCHOOL</t>
  </si>
  <si>
    <t>VELLORE INSTITUTE OF TECHNOLOGY</t>
  </si>
  <si>
    <t>VELLORE INSTITUTE OF TECHNOLOGY WITH VELLORE</t>
  </si>
  <si>
    <t>2025-May</t>
  </si>
  <si>
    <t>AutoCAD,MS Office,MS Project,Revit,Plaxis,AutoDesk Insight,Project Planning &amp; Control,Cost Estimation,Client Communication</t>
  </si>
  <si>
    <t>IRRIGATION &amp; WATER RESOURCES DEPARTMENT | CIVIL ENGINEERING INTERN | GHAZIPUR | Aug 2023 | Sep 2023 | 4.4285714285714 Weeks
GOLDEN PACIFIC TRAD. &amp; CONT. L.L.C. | CONSTRUCTION MANAGEMENT INTERN | MUSCAT, OMAN | May 2025 | Jun 2025 | 8.4285714285714 Weeks</t>
  </si>
  <si>
    <t>P25700226</t>
  </si>
  <si>
    <t>DINESH KARTHI</t>
  </si>
  <si>
    <t>M M</t>
  </si>
  <si>
    <t>Dinesh Karthi M M</t>
  </si>
  <si>
    <t>mmdineshkarthi@gmail.com</t>
  </si>
  <si>
    <t>p25700226@student.nicmar.ac.in</t>
  </si>
  <si>
    <t>13-Dec-2001</t>
  </si>
  <si>
    <t>English, Tamil, Hindi</t>
  </si>
  <si>
    <t>5567 2198 0913</t>
  </si>
  <si>
    <t>MURUGAN K</t>
  </si>
  <si>
    <t>MANJULA M</t>
  </si>
  <si>
    <t>6/5/75, Main Road, Near Police Station, Kannivadi.</t>
  </si>
  <si>
    <t>Dindigul</t>
  </si>
  <si>
    <t>Tamil Nadu</t>
  </si>
  <si>
    <t>LOURDE MATHA CONVENT MAT HR SEC SCHOOL UDUMALPET TIRUPPUR</t>
  </si>
  <si>
    <t>STATE BOARD OF SCHOOL EXAMINATIONS, TAMIL NADU</t>
  </si>
  <si>
    <t>SRI LATHANGI VIDHYA MANDIR MATRIC HR SEC SCHOOL T KOTTAMPATTI POLLACHI</t>
  </si>
  <si>
    <t>ANNA UNIVERSITY</t>
  </si>
  <si>
    <t>PSNA COLLEGE OF ENGINEERING AND TECHNOLOGY, DINDIGUL</t>
  </si>
  <si>
    <t>AutoCAD,MS Office,MS Project,Primavera</t>
  </si>
  <si>
    <t>URC Construction (P) Ltd | Assistant Planning Engineer | Delhi and Hosur | Jun 2023 | May 2025 | 1Y 11M | 2.52</t>
  </si>
  <si>
    <t>1 Year 11 Months</t>
  </si>
  <si>
    <t>Sobha Limited | Project Management Office (PMO) | Bengaluru | May 2026 | Jul 2026 | 9 Weeks | Campus Internship</t>
  </si>
  <si>
    <t>Introduction to Lean Construction
Diploma in Primavera</t>
  </si>
  <si>
    <t>P25700221</t>
  </si>
  <si>
    <t>JITHIN</t>
  </si>
  <si>
    <t>M</t>
  </si>
  <si>
    <t>Jithin M</t>
  </si>
  <si>
    <t>jithinm.mail@gmail.com</t>
  </si>
  <si>
    <t>p25700221@student.nicmar.ac.in</t>
  </si>
  <si>
    <t>10-Nov-2002</t>
  </si>
  <si>
    <t>English, Hindi, Malayalam</t>
  </si>
  <si>
    <t>5536 1485 3909</t>
  </si>
  <si>
    <t>BALAKRISHNAN A</t>
  </si>
  <si>
    <t>AGRICULTURE</t>
  </si>
  <si>
    <t>SREEJA M</t>
  </si>
  <si>
    <t>Parambath House, Kallanchira , Balal P.O, Kasargod, Kerala , PIN : 671533_x000D_</t>
  </si>
  <si>
    <t>Kasaragod</t>
  </si>
  <si>
    <t>ST. JUDE'S H S S VELLARIKUNDU</t>
  </si>
  <si>
    <t>GENERAL EDUCATION DEPARTMENT KERALA</t>
  </si>
  <si>
    <t>BOARD OF HIGHER SECONDARY EXAMINATIONS KERALA</t>
  </si>
  <si>
    <t>APJ ABDUL KALAM TECHNOLOGICAL UNIVERSITY, KERALA</t>
  </si>
  <si>
    <t>COLLEGE OF ENGINEERING TRIVANDRUM, KERALA</t>
  </si>
  <si>
    <t>2021-Oct</t>
  </si>
  <si>
    <t>2025-Apr</t>
  </si>
  <si>
    <t>AutoCAD,MS Office,MS Project,Primavera,PLAXIS 2D,STAAD Pro.</t>
  </si>
  <si>
    <t>THE URALUNGAL LABOUR CONTRACT CO-OPERATIVE SOCIETY LTD. | STUDENT INTERN | TRIVANDRUM | Jun 2024 | Jun 2024 | 1.1428571428571 Weeks</t>
  </si>
  <si>
    <t>Municipal Solid Waste Management-NPTEL Certification
McKinsey.org Forward Program
Finance for Non- Financial Managers , Emory University - Coursera Certification</t>
  </si>
  <si>
    <t>P25700199</t>
  </si>
  <si>
    <t>KAKDE</t>
  </si>
  <si>
    <t>Mohit Kakde</t>
  </si>
  <si>
    <t>mohitkakde199@gmail.com</t>
  </si>
  <si>
    <t>p25700199@student.nicmar.ac.in</t>
  </si>
  <si>
    <t>23-Sep-2000</t>
  </si>
  <si>
    <t>English, Hindi, Marathi</t>
  </si>
  <si>
    <t>4866 0472 2489</t>
  </si>
  <si>
    <t>VASANT KAKDE</t>
  </si>
  <si>
    <t>BANKER (RETD.)</t>
  </si>
  <si>
    <t>CHANDA KAKDE</t>
  </si>
  <si>
    <t>Behind Jajoo Hospital , Datta Mandir Ward,Warora</t>
  </si>
  <si>
    <t>Chandrapur</t>
  </si>
  <si>
    <t>ST. ANNE'S PUBLIC SCHOOL,WARORA</t>
  </si>
  <si>
    <t>CENTRAL BOARD OF SECONDARY EDUCATION ,DELHI</t>
  </si>
  <si>
    <t>SHRI JAYANTRAO WANJARI JUNIOR COLLEGE,WADODA</t>
  </si>
  <si>
    <t>SAVITRIBAI PHULE PUNE UNIVERSITY,PUNE</t>
  </si>
  <si>
    <t>K.K WAGH INSTITUTE OF ENGINEERING EDUCATION AND RESEARCH,NASHIK</t>
  </si>
  <si>
    <t>AutoCAD,MS Office,MS Project,Primavera,PowerBI,Microsoft Excel,SQL</t>
  </si>
  <si>
    <t>Sobha Limited | Project Planning Intern | Gurugram | May 2026 | Jul 2026 | 9 Weeks | Campus Internship</t>
  </si>
  <si>
    <t>Finance for Non-Financial Managers
AutoCAD
Project Management Basics for Non-Project Managers</t>
  </si>
  <si>
    <t>P25700377</t>
  </si>
  <si>
    <t>RAMAN</t>
  </si>
  <si>
    <t>RACHIT</t>
  </si>
  <si>
    <t>Raman Rachit</t>
  </si>
  <si>
    <t>ramanrachit08@gmail.com</t>
  </si>
  <si>
    <t>p25700377@student.nicmar.ac.in</t>
  </si>
  <si>
    <t>20-Sep-2000</t>
  </si>
  <si>
    <t>6129 0457 7739</t>
  </si>
  <si>
    <t>SHASHI RANJAN</t>
  </si>
  <si>
    <t>KUMARI NISHA</t>
  </si>
  <si>
    <t>S/O- Shashi Ranjan,H.No-78,Hathwa Enclave,OPP Bata Petrol Pump, Ramjeechak,Digha,Patna</t>
  </si>
  <si>
    <t>JAGAT MISSION SR SEC SCHOOL KHAGAUL</t>
  </si>
  <si>
    <t>CBSE- PATNA/BIHAR</t>
  </si>
  <si>
    <t>PRIVATE CANDIDATE</t>
  </si>
  <si>
    <t>CBSE-PATNA/BIHAR</t>
  </si>
  <si>
    <t>GRAPHIC ERA DEEMED TO BE UNIVERSITY</t>
  </si>
  <si>
    <t>GRAPHIC ERA DEEMED TO BE UNIVERSITY- DEHRADUN/UTTRAKHAND</t>
  </si>
  <si>
    <t>AutoCAD,MS Office,MS Project,Primavera,ETABS,MSP,Primavera,Costx</t>
  </si>
  <si>
    <t>M4 Solution Pvt Ltd | Civil Engineer | Ghaziabad | Feb 2025 | May 2025 | 0Y 3M | 4.28
T&amp;M Consulting Private Limited | Civil Engineer | Gurgaon | Nov 2024 | Jan 2025 | 0Y 2M | 4.08</t>
  </si>
  <si>
    <t>Embassy Devlopments Limited | Intern - Central Monitoring | Mumbai | May 2026 | Jul 2026 | 8.2857142857143 Weeks | Campus Internship
Insurance dekho | Product Intern | Gurgaon | Jan 2023 | Jun 2024 | 75.142857142857 Weeks
JKUMAR INFRAPROJECTS PVT LTD | TRAINEE ENGINEER | MUMBAI | Jun 2022 | Aug 2022 | 7.5714285714286 Weeks</t>
  </si>
  <si>
    <t>P25700102</t>
  </si>
  <si>
    <t>RIDHDHISH</t>
  </si>
  <si>
    <t>ATUL</t>
  </si>
  <si>
    <t>MALDE</t>
  </si>
  <si>
    <t>Ridhdhish Atul Malde</t>
  </si>
  <si>
    <t>ridhdhish.malde@gmail.com</t>
  </si>
  <si>
    <t>p25700102@student.nicmar.ac.in</t>
  </si>
  <si>
    <t>18-Oct-2001</t>
  </si>
  <si>
    <t>HINDI, ENGLISH ,GUJARATI ,MARATHI ,KUTCHI</t>
  </si>
  <si>
    <t>B-ve</t>
  </si>
  <si>
    <t>3592 2116 9277</t>
  </si>
  <si>
    <t>DEVELOPER</t>
  </si>
  <si>
    <t>PRIYA</t>
  </si>
  <si>
    <t>6/A Yogi Raj Park ,Opposite City Palace ,Tithal-road ,Valsad ,Gujarat.</t>
  </si>
  <si>
    <t>Valsad</t>
  </si>
  <si>
    <t>Gujarat</t>
  </si>
  <si>
    <t>ATUL VIDYALAYA</t>
  </si>
  <si>
    <t>INDIAN CERTIFICATE OF SECONDARY EDUCATION ,NEW DELHI</t>
  </si>
  <si>
    <t>INDIAN SCHOOL CERTIFICATE , NEW DELHI</t>
  </si>
  <si>
    <t>DR. BALIRAM HIRAY COLLEGE OF ARCHITECTURE</t>
  </si>
  <si>
    <t>AutoCAD,MS Office,MS Project,Primavera,Sketchup,Lumion,Photoshop,Enscape,Vray</t>
  </si>
  <si>
    <t>Reza Kabul Architects | Junior Architect - Architect | Bandra West ,Mumbai | Jun 2024 | May 2025 | 0Y 11M | 3.25</t>
  </si>
  <si>
    <t>0 Years 12 Months</t>
  </si>
  <si>
    <t>Colliers International | Technical Advisory Services (TAS)  | Bengaluru, India | May 2026 | Jul 2026 | 8.7142857142857 Weeks | Campus Internship
Ingrain Architects | Intern  | Kalaghoda, Mumbai | Dec 2022 | Apr 2023 | 19.142857142857 Weeks
D-Workshop | Intern -Trainee | Valsad,Gujarat | Jun 2021 | Oct 2021 | 21.571428571429 Weeks</t>
  </si>
  <si>
    <t>Finance for Non-Financial Managers
Construction Project Management Columbia University
Risk Management Corporate Finance Institute (CFI)
Risk Management â€“ Corporate Finance Institute (CFI)
Construction Project Management â€“ Columbia University</t>
  </si>
  <si>
    <t>P25700003</t>
  </si>
  <si>
    <t>SREELAKSHMI</t>
  </si>
  <si>
    <t>KRISHNAKUMAR</t>
  </si>
  <si>
    <t>Sreelakshmi Krishnakumar</t>
  </si>
  <si>
    <t>sreelakshmitrkk@gmail.com</t>
  </si>
  <si>
    <t>p25700003@student.nicmar.ac.in</t>
  </si>
  <si>
    <t>20-Mar-2001</t>
  </si>
  <si>
    <t>ENGLISH, HINDI, MALAYALAM</t>
  </si>
  <si>
    <t>7013 6395 7609</t>
  </si>
  <si>
    <t>KRISHNAKUMAR TR</t>
  </si>
  <si>
    <t>EMPLOYEE</t>
  </si>
  <si>
    <t>RADHIKA KRISHNAKUMAR</t>
  </si>
  <si>
    <t>Thoppil House Puttumanoor Puthencruze PO Ernakulam</t>
  </si>
  <si>
    <t>Ernakulam</t>
  </si>
  <si>
    <t>COCHIN REFINERIES SCHOOL</t>
  </si>
  <si>
    <t>CENTRAL BOARD OF SECONDARY EDUCATION KERALA</t>
  </si>
  <si>
    <t>KERALA TECHNOLOGICAL UNIVERSITY</t>
  </si>
  <si>
    <t>MAR ATHANASIUS COLLEGE OF ENGINEERING ERNAKULAM KERALA</t>
  </si>
  <si>
    <t>Larsen and Toubro | Senior Engineer Civil | Bharuch Gujarat | Jul 2023 | Jun 2025 | 1Y 11M | 6.6</t>
  </si>
  <si>
    <t>1 Year 12 Months</t>
  </si>
  <si>
    <t>Prestige Group | Site Engineer | Kakkanad, Ernakulam | Aug 2022 | Aug 2022 | 1 Weeks</t>
  </si>
  <si>
    <t>Finance for Non-Financial Managers</t>
  </si>
  <si>
    <t>P25700112</t>
  </si>
  <si>
    <t>TEJESH</t>
  </si>
  <si>
    <t>C V</t>
  </si>
  <si>
    <t>Tejesh C V</t>
  </si>
  <si>
    <t>tejesh3104@gmail.com</t>
  </si>
  <si>
    <t>p25700112@student.nicmar.ac.in</t>
  </si>
  <si>
    <t>04-Apr-1999</t>
  </si>
  <si>
    <t>ENGLISH,HINDI,TELUGU,KANNADA,TAMIL</t>
  </si>
  <si>
    <t>4885 2459 9171</t>
  </si>
  <si>
    <t>VASU C</t>
  </si>
  <si>
    <t>SUPERVISOR</t>
  </si>
  <si>
    <t>LAKSHMI C</t>
  </si>
  <si>
    <t>13-144 K GUNDUMALA MADAKASIRA</t>
  </si>
  <si>
    <t>Anantapur</t>
  </si>
  <si>
    <t>AVS CONVENT HIGH SCHOOL</t>
  </si>
  <si>
    <t>KARNATAKA SECONDARY EDUCATION EXAMINATION BOARD, KARNATAKA</t>
  </si>
  <si>
    <t>2005-May</t>
  </si>
  <si>
    <t>THE NATIONAL  PU COLLEGE, JAYANAGAR</t>
  </si>
  <si>
    <t>DEPARTMENT OF PRE UNIVERSITY BOARD, KARNATAKA</t>
  </si>
  <si>
    <t>VISVESVARAYA TECHNOLOGICAL UNIVERSITY, BELAGAVI</t>
  </si>
  <si>
    <t>THE OXFORD COLLEGE OF ENGINEERING, BANGALORE</t>
  </si>
  <si>
    <t>AutoCAD,MS Office,MS Project,Primavera,Power BI</t>
  </si>
  <si>
    <t>Radical Minds | Customer support Representative | Bangalore | Feb 2022 | Aug 2022 | 0Y 5M | 2.04
Suryapriya Constructions pvt ltd | Project Planning and Control Engineer | Bangalore | May 2023 | Jun 2025 | 2Y 1M | 4.67</t>
  </si>
  <si>
    <t>2 Years 6 Months</t>
  </si>
  <si>
    <t>Sprng Energy | Project Management Office - Intern  | Pune, Maharashtra | May 2026 | Jul 2026 | 8.7142857142857 Weeks | Campus Internship
Reliance Consultant | Trainee | Bangalore | Mar 2021 | Apr 2021 | 4.4285714285714 Weeks
SURYAPRIYA CONSTRUCTIONS PVT LTD | MANAGEMENT TRAINEE | BANGALORE | Jan 2023 | May 2023 | 19.142857142857 Weeks</t>
  </si>
  <si>
    <t>P25700315</t>
  </si>
  <si>
    <t>UTKARSHA</t>
  </si>
  <si>
    <t>KAVITAKE</t>
  </si>
  <si>
    <t>Utkarsha Kavitake</t>
  </si>
  <si>
    <t>kavitakeu@gmail.com</t>
  </si>
  <si>
    <t>p25700315@student.nicmar.ac.in</t>
  </si>
  <si>
    <t>30-Sep-2001</t>
  </si>
  <si>
    <t>Marathi, English, Hindi.</t>
  </si>
  <si>
    <t>2924 0396 4910</t>
  </si>
  <si>
    <t>GAJANAN KAVITKE</t>
  </si>
  <si>
    <t>RUPALI KAVITKE</t>
  </si>
  <si>
    <t>LAVISH VILLA SOCIETY, MANJARI BUDRUK</t>
  </si>
  <si>
    <t>At Post Gotandi, Village Ghorpadwadi, Tal Indapur</t>
  </si>
  <si>
    <t>KENDRIYA VIDYALAYA, VAYU SENA NAGAR</t>
  </si>
  <si>
    <t>NAGPUR, MAHARASHTRA</t>
  </si>
  <si>
    <t>D. Y. PATIL, COLLEGE OF ENGINEERING, AKURDI, PUNE</t>
  </si>
  <si>
    <t>AutoCAD,MS Office,MS Project,SolidWorks (Basics),Technical Documentation &amp; Reporting</t>
  </si>
  <si>
    <t>Knest Manufacturers Pvt. Ltd. | Design Engineer  | Bhosari, Pune | Jul 2023 | Oct 2024 | 1Y 3M | 3
Abhikalpan Construction Solutions Pvt. Ltd. | Intermediate Design Engineer | Viman Nagar, Pune | Dec 2024 | May 2025 | 0Y 4M | 3.35</t>
  </si>
  <si>
    <t>1 Year 8 Months</t>
  </si>
  <si>
    <t>Masin Projects Pvt. Ltd. | Intern - Delay Analysis | Gurgaon | May 2026 | Jul 2026 | 8.7142857142857 Weeks | Campus Internship
Ajwani Infrastructure Pvt. Ltd. | Intern | Aundh, Pune | Jan 2022 | Feb 2022 | 4.7142857142857 Weeks</t>
  </si>
  <si>
    <t>P25700584</t>
  </si>
  <si>
    <t>SANTOSH</t>
  </si>
  <si>
    <t>GUNDAWAR</t>
  </si>
  <si>
    <t>Yash Santosh Gundawar</t>
  </si>
  <si>
    <t>yash.s.gundawar1@gmail.com</t>
  </si>
  <si>
    <t>p25700584@student.nicmar.ac.in</t>
  </si>
  <si>
    <t>11-Nov-1999</t>
  </si>
  <si>
    <t>5322 6048 2537</t>
  </si>
  <si>
    <t>SANTOSH GUNDAWAR</t>
  </si>
  <si>
    <t>BUSSINESS</t>
  </si>
  <si>
    <t>ARCHANA GUNDAWAR</t>
  </si>
  <si>
    <t>Plot No. 5, Wandre Layout, Nagpur Chandrapur Highway, Warora, Dist- Chandrapur</t>
  </si>
  <si>
    <t>ST. ANNE'S PUBLIC SCHOOL, WARORA, DIST-CHANDRAPUR</t>
  </si>
  <si>
    <t>YASHWANTRAO SHINDE JR. COLLEGE (SCIENCE &amp; ARTS),BHADRAWATI</t>
  </si>
  <si>
    <t>K.K. WAGH INSTITUTE OF ENGINEERING EDUCATION AND RESEARCH, NASHIK</t>
  </si>
  <si>
    <t>Adani Electricity Mumbai Infra Limited | Senior Executive | Mumbai | Jul 2022 | Apr 2024 | 1Y 9M | 7.2</t>
  </si>
  <si>
    <t>1 Year 9 Months</t>
  </si>
  <si>
    <t>ZENITH INFRASTRUCTURE | Trainee Site Engineer | Warora, Dist- Chandrapur | Jan 2021 | Jun 2021 | 25.714285714286 Weeks</t>
  </si>
  <si>
    <t>MBA-APM</t>
  </si>
  <si>
    <t>P25701019</t>
  </si>
  <si>
    <t>BONTA</t>
  </si>
  <si>
    <t>SANJAY</t>
  </si>
  <si>
    <t>Bonta Sanjay</t>
  </si>
  <si>
    <t>sanjay.bonta@gmail.com</t>
  </si>
  <si>
    <t>p25701019@student.nicmar.ac.in</t>
  </si>
  <si>
    <t>01-Aug-2003</t>
  </si>
  <si>
    <t>English, Hindi, Telugu, Tamil</t>
  </si>
  <si>
    <t>Music Production,Photography,Traveling,Educational Videos</t>
  </si>
  <si>
    <t>7639 1896 3363</t>
  </si>
  <si>
    <t>BONTA JAYAKAR</t>
  </si>
  <si>
    <t>CONSULTANCY ENGINEER</t>
  </si>
  <si>
    <t>BONTA SHANTHI PRIYA</t>
  </si>
  <si>
    <t>No.201, Vasishta Enclave, Thota Vari_x000D_
Veedhi 7th Lane, Ajith Singh Nagar, Vijayawada</t>
  </si>
  <si>
    <t>N T Rama Rao</t>
  </si>
  <si>
    <t>AIR FORCE SCHOOL JORHAT</t>
  </si>
  <si>
    <t>CENTRAL BOARD OF SECONDARY EDUCATION ASSAM</t>
  </si>
  <si>
    <t>DELHI PUBLIC SCHOOL VIJAYAWADA</t>
  </si>
  <si>
    <t>CENTRAL BOARD OF SECONDARY EDUCATION VIJAYAWADA</t>
  </si>
  <si>
    <t>VELLORE INSTITUTE OF TECHNOLOGY, VELLORE</t>
  </si>
  <si>
    <t>2025-Jul</t>
  </si>
  <si>
    <t xml:space="preserve">AutoCAD, MS Excel, MS Project, PoweBI, Revit, MS Powerpoint, Canva Designing, </t>
  </si>
  <si>
    <t>SPRNG ENERGY PVT. LTD. | PROJECT MANAGEMENT INTERN | Pune, Maharashtra | May 2026 | Jul 2026 | 8.7142857142857 Weeks | Campus Internship
APCO INFRATECH PVT. LTD. (APCO) | TRAINEE ENGINEER  | FARIDABAD, HARYANA | Aug 2023 | Sep 2023 | 4.5714285714286 Weeks</t>
  </si>
  <si>
    <t>Forests and their Management
Entrepreneurship
Transportation, Sustainable Buildings, Green Construction
Product Development using AutoCAD
Construction Project Management</t>
  </si>
  <si>
    <t>P25701079</t>
  </si>
  <si>
    <t>MUHAMMAD ZAIN</t>
  </si>
  <si>
    <t>HASAN</t>
  </si>
  <si>
    <t>V Y</t>
  </si>
  <si>
    <t>Muhammad Zain Hasan V Y</t>
  </si>
  <si>
    <t>hasanzain201@gmail.com</t>
  </si>
  <si>
    <t>p25701079@student.nicmar.ac.in</t>
  </si>
  <si>
    <t>27-Dec-2001</t>
  </si>
  <si>
    <t>ENGLISH,MALAYALAM,KANNADA,HINDI,URDU,TAMIL,TELUGU,ARABIC</t>
  </si>
  <si>
    <t>Cooking,Teaching,Public Speaking</t>
  </si>
  <si>
    <t>4069 8621 5354</t>
  </si>
  <si>
    <t>MOHAMED YUNUS S H</t>
  </si>
  <si>
    <t>FAHMIDA YUNUS</t>
  </si>
  <si>
    <t>69, 4th Cross Telecom Layout Pipeline Road K.P Agrahara,Vijayanagar,Bengaluru</t>
  </si>
  <si>
    <t>THE NEW CAMBRIDGE ENGLISH SCHOOL</t>
  </si>
  <si>
    <t>COUNCIL FOR THE INDIAN SCHOOL CERTIFICATE EXAMINATIONS,BENGALURU,KARNATAKA.</t>
  </si>
  <si>
    <t>HUDA NATIONAL PU COLLEGE</t>
  </si>
  <si>
    <t>DEPARTMENT OF PRE UNIVERSITY EDUCATION, GOVERNMENT OF KARNATAKA, BENGALURU,KARNATAKA.</t>
  </si>
  <si>
    <t>VISVESVARAYA TECHNOLOGICAL UNIVERSITY,BELAGAVI</t>
  </si>
  <si>
    <t>BMS COLLEGE OF ENGINEERING,BENGALURU,KARNATAKA.</t>
  </si>
  <si>
    <t>AutoCAD,MS Office,MS Project,Primavera,MS Excel</t>
  </si>
  <si>
    <t>Ozen Consultancy | Sales Manager | Bengaluru | Jul 2024 | Jun 2025 | 0Y 11M | 2.4</t>
  </si>
  <si>
    <t>Enlightening Trust | Tutor  | Bengaluru | Jun 2020 | Jul 2024 | 213 Weeks
LA FOUNDATION  DASSAULT SYSTEMES | Project Intern | BENGALURU | Jun 2022 | May 2024 | 102.28571428571 Weeks
Build A Home | Site Engineer | Bengaluru | Sep 2023 | Nov 2023 | 8.8571428571429 Weeks</t>
  </si>
  <si>
    <t>P25701096</t>
  </si>
  <si>
    <t>BHANUDAS</t>
  </si>
  <si>
    <t>MAGADUM</t>
  </si>
  <si>
    <t>Akshata Bhanudas Magadum</t>
  </si>
  <si>
    <t>ar.akshatamagadum@gmail.com</t>
  </si>
  <si>
    <t>p25701096@student.nicmar.ac.in</t>
  </si>
  <si>
    <t>08-Sep-2000</t>
  </si>
  <si>
    <t>English, Marathi, Hindi</t>
  </si>
  <si>
    <t>Reading,Dancing,Cooking,Badminton</t>
  </si>
  <si>
    <t>3868 7095 4202</t>
  </si>
  <si>
    <t>SHUBHADA</t>
  </si>
  <si>
    <t>2201, Aishwarya Heights, Mithagar Road, Mulund East</t>
  </si>
  <si>
    <t>Mumbai Suburban</t>
  </si>
  <si>
    <t>HOLY CROSS CONVENT SCHOOL</t>
  </si>
  <si>
    <t>HOLY CROSS CONVENT SCHOOL AND JUNIOR COLLEGE</t>
  </si>
  <si>
    <t>DR. BALIRAM HIRAY COLLEGE OF ARCHITECTURE, BANDRA, MUMBAI</t>
  </si>
  <si>
    <t>AutoCAD,MS Office,MS Project,Primavera,Revit,Photoshop,SPSS,@Risk</t>
  </si>
  <si>
    <t>Suresh Babu and Partners | Architect | Thane | Jul 2023 | May 2025 | 1Y 10M | 2.16</t>
  </si>
  <si>
    <t>1 Year 10 Months</t>
  </si>
  <si>
    <t>Roshni Udyavar and Associates | Architectural Intern | Mumbai | Nov 2021 | Mar 2022 | 21.428571428571 Weeks</t>
  </si>
  <si>
    <t>P25701146</t>
  </si>
  <si>
    <t>JAYANT</t>
  </si>
  <si>
    <t>UTTARWAR</t>
  </si>
  <si>
    <t>Jayant Uttarwar</t>
  </si>
  <si>
    <t>jayantuttarwar8@gmail.com</t>
  </si>
  <si>
    <t>p25701146@student.nicmar.ac.in</t>
  </si>
  <si>
    <t>05-Feb-2000</t>
  </si>
  <si>
    <t>English , Marathi , Hindi</t>
  </si>
  <si>
    <t>5112 2622 8444</t>
  </si>
  <si>
    <t>MOHAN</t>
  </si>
  <si>
    <t>MEGHA</t>
  </si>
  <si>
    <t>MOSHI PUNE</t>
  </si>
  <si>
    <t>20/29 Muktai Nagar , Jalgaon , 425001</t>
  </si>
  <si>
    <t>UTTARWAR JAYANT MOHAN</t>
  </si>
  <si>
    <t>KAVAYITRI BAHINABAI CHAUDHARI NORTH MAHARASHTRA UNIVERSITY, JALGAON</t>
  </si>
  <si>
    <t>GOVERNMENT COLLEGE OF ENGINEERING, JALGAON</t>
  </si>
  <si>
    <t>Other</t>
  </si>
  <si>
    <t>AutoCAD,MS Office,MS Project,Primavera,SQL,JAVA</t>
  </si>
  <si>
    <t>ER.SUNIL S. BANG REGISTER VALUER, CHARTER ENGINEER | ENGINEER TRAINEE | Jalgaon | Feb 2024 | Dec 2024 | 0Y 10M | 2.5</t>
  </si>
  <si>
    <t>ATHARVA D. JAKATDAR | CIVIL ENGINEER  | Jalgaon  | Jul 2022 | Mar 2023 | 39 Weeks</t>
  </si>
  <si>
    <t>AutoCAD
Geographic Information System (GIS)
Badminton Coordinator
Construction Skill Development Quantity Surveying, Billing &amp; AutoCAD
Placement Coordinator
C programming language
Post Graduate Diploma in Advanced Computing</t>
  </si>
  <si>
    <t>p2270426</t>
  </si>
  <si>
    <t>RAJ</t>
  </si>
  <si>
    <t>Raj Singh</t>
  </si>
  <si>
    <t>rajsinghnicmar@gmail.com</t>
  </si>
  <si>
    <t>p2270426@student.nicmar.ac.in</t>
  </si>
  <si>
    <t>22-Mar-1992</t>
  </si>
  <si>
    <t>English , Hindi &amp; Basic Arabic</t>
  </si>
  <si>
    <t>6962 7883 8134</t>
  </si>
  <si>
    <t>YOGENDRA SINGH</t>
  </si>
  <si>
    <t>BRIJESH DEVI</t>
  </si>
  <si>
    <t>House No 36 , Shivaji Nagar</t>
  </si>
  <si>
    <t>Mathura</t>
  </si>
  <si>
    <t>ARCADIAN PUBLIC SENIOR SECONDARY SCHOOL</t>
  </si>
  <si>
    <t>CBSE</t>
  </si>
  <si>
    <t>2008-Mar</t>
  </si>
  <si>
    <t>2009-Mar</t>
  </si>
  <si>
    <t>2010-Mar</t>
  </si>
  <si>
    <t>MONAD UNIVERSITY</t>
  </si>
  <si>
    <t>2011-May</t>
  </si>
  <si>
    <t>AKTU</t>
  </si>
  <si>
    <t>BSA COLLEGE OF ENGINEERING AND TECHNOLOGY</t>
  </si>
  <si>
    <t>AutoCAD,MS Office,MS Project,Primavera P6</t>
  </si>
  <si>
    <t>GE3S | Consulting  | Abu Dhabi | May 2017 | May 2022 | 5Y 0M | 26
NSCC International saudi Contracting | Construction Environmental and Sustainability Manager | Saudi Arabia | Jan 2023 | Jan 2026 | 3Y 0M | 100</t>
  </si>
  <si>
    <t>8 Years 0 Months</t>
  </si>
  <si>
    <t>DLF Home Developers Limited | Planning and Exceution Intern | Gurugram | May 2026 | Jul 2026 | 8 Weeks | Campus Internship</t>
  </si>
  <si>
    <t>Estidama - PCRS
ESTIDAMA - PBRS</t>
  </si>
  <si>
    <t>P25700001</t>
  </si>
  <si>
    <t>SUDEESWAR</t>
  </si>
  <si>
    <t>K</t>
  </si>
  <si>
    <t>Sudeeswar K</t>
  </si>
  <si>
    <t>12441sudeeswark@gmail.com</t>
  </si>
  <si>
    <t>p25700001@student.nicmar.ac.in</t>
  </si>
  <si>
    <t>04-Apr-2003</t>
  </si>
  <si>
    <t>TAMIL,ENGLISH,TELUGU</t>
  </si>
  <si>
    <t>5338 3512 1471</t>
  </si>
  <si>
    <t>KUNDUMANI</t>
  </si>
  <si>
    <t>MENAGA</t>
  </si>
  <si>
    <t>5/617 Parakadu Alagapuram Periya Pudur Salem</t>
  </si>
  <si>
    <t>Salem</t>
  </si>
  <si>
    <t>HOLY CROSS MATRICULATION HIGHER SECONDARY SCHOOL</t>
  </si>
  <si>
    <t>STATE BOARD, TAMIL NADU</t>
  </si>
  <si>
    <t>SONA COLLEGE OF TECHNOLOGY SALEM/TAMIL NADU</t>
  </si>
  <si>
    <t>AutoCAD,MS Office,MS Project,Primavera,staad pro</t>
  </si>
  <si>
    <t>J. Kumar Infraprojects Ltd | Summer Intern- Site Execution | CHENNAI | May 2026 | Jul 2026 | 9.7142857142857 Weeks | Campus Internship
SURRYA BUILDERS | TRAINEE | SALEM | Jun 2024 | Jul 2024 | 6.4285714285714 Weeks</t>
  </si>
  <si>
    <t>P25700002</t>
  </si>
  <si>
    <t>SAMKIT</t>
  </si>
  <si>
    <t>VIKKI</t>
  </si>
  <si>
    <t>PALRECHA</t>
  </si>
  <si>
    <t>Samkit Vikki Palrecha</t>
  </si>
  <si>
    <t>samkitpalrecha20@gmail.com</t>
  </si>
  <si>
    <t>p25700002@student.nicmar.ac.in</t>
  </si>
  <si>
    <t>07-Mar-2003</t>
  </si>
  <si>
    <t>English, Hindi, Marathi, Marwadi</t>
  </si>
  <si>
    <t>5870 0268 0076</t>
  </si>
  <si>
    <t>VIKKI PALRECHA</t>
  </si>
  <si>
    <t>VINITA PALRECHA</t>
  </si>
  <si>
    <t>Plot No.22, Chanchal Niwas, Pradhan Park, Lonavala 410-401</t>
  </si>
  <si>
    <t>RYEWOOD INTERNATIONAL SCHOOL</t>
  </si>
  <si>
    <t>INDIAN COUNSIL OF SECONDARY EDUCATION, PUNE, MAHARASHTRA</t>
  </si>
  <si>
    <t>DON BOSCO JUNIOR COLLEGE</t>
  </si>
  <si>
    <t>2021-May</t>
  </si>
  <si>
    <t>D Y PATIL COLLEGE OF ENGINEERING, AKURDI, PUNE</t>
  </si>
  <si>
    <t>2025-Jun</t>
  </si>
  <si>
    <t>AutoCAD</t>
  </si>
  <si>
    <t>VIKAS CONSTRUCTIONS | JUNIOR ENGINEER | AAMBY VALLEY CITY, SAHARA | Nov 2024 | Mar 2025 | 16.428571428571 Weeks
SHAASHWAT BUILDERS, PROMOTERS &amp; DEVELOPERS | INTERN | LONAVALA | Dec 2023 | Feb 2024 | 12.428571428571 Weeks</t>
  </si>
  <si>
    <t>P25700004</t>
  </si>
  <si>
    <t>JAGMA</t>
  </si>
  <si>
    <t>PRIYADARSHINI</t>
  </si>
  <si>
    <t>Jagma Priyadarshini</t>
  </si>
  <si>
    <t>jagma2002@gmail.com</t>
  </si>
  <si>
    <t>p25700004@student.nicmar.ac.in</t>
  </si>
  <si>
    <t>05-Mar-2004</t>
  </si>
  <si>
    <t>ENGLISH,HINDI,ODIA</t>
  </si>
  <si>
    <t>3414 2234 8709</t>
  </si>
  <si>
    <t>HIMANSHU SEKHAR DAS</t>
  </si>
  <si>
    <t>ASST.ENGINEER (MINOR IRRIGATION)</t>
  </si>
  <si>
    <t>MEENAKSHEE DAS</t>
  </si>
  <si>
    <t>A/71,PPL HOUSING COLONY,AIGINIA,KHANDAGIRI,BHUBANESWAR</t>
  </si>
  <si>
    <t>Khordha</t>
  </si>
  <si>
    <t>Odisha</t>
  </si>
  <si>
    <t>DAV PUBLIC SCHOOL,KALINGANAGAR,BHUBANESWAR</t>
  </si>
  <si>
    <t>SECONDARY EDUCATION (CBSE)</t>
  </si>
  <si>
    <t>HIGHER SECONDARY EDUCATION (CBSE)</t>
  </si>
  <si>
    <t>BIJU PATNAIK UNIVERSITY OF TECHNOLOGY,ROURKELA,ODISHA</t>
  </si>
  <si>
    <t>INDIRA GANDHI INSTITUTE OF TECHNOLOGY,SARANG</t>
  </si>
  <si>
    <t>AutoCAD,MS Office,STAAD PRO</t>
  </si>
  <si>
    <t>ASIAN PAINTS | Sales Engineering + Waterproofing | BHUBANESWAR,ODISHA | May 2026 | Jul 2026 | 8.7142857142857 Weeks | Campus Internship
QUALITY ASSURANCE DIVISION ,BHUBANESWAR | INTERN | BHUBANESWAR,ODISHA | May 2024 | Jun 2024 | 4.2857142857143 Weeks
OFFICE OF THE EXECUTIVE ENGINEER BHUBANESWAR (R&amp;B) DIVISION NO-V BHUBANESWARL | INTERN | BHUBANESWAR,ODISHA | May 2023 | Jun 2023 | 4.4285714285714 Weeks</t>
  </si>
  <si>
    <t>P25700005</t>
  </si>
  <si>
    <t>AYUSH</t>
  </si>
  <si>
    <t>NAIK</t>
  </si>
  <si>
    <t>Ayush Naik</t>
  </si>
  <si>
    <t>naikayush402@gmail.com</t>
  </si>
  <si>
    <t>p25700005@student.nicmar.ac.in</t>
  </si>
  <si>
    <t>27-Aug-2002</t>
  </si>
  <si>
    <t>ENGLISH, HINDI, ODIA</t>
  </si>
  <si>
    <t>6491 6445 4028</t>
  </si>
  <si>
    <t>ASIS NAIK</t>
  </si>
  <si>
    <t>MITA RANI NAIK</t>
  </si>
  <si>
    <t>S/O Asis Naik, Ayush Complex, Kainsir Road, Karamtoli, Ainthapali</t>
  </si>
  <si>
    <t>Sambalpur</t>
  </si>
  <si>
    <t>MADNAWATI PUBLIC SCHOOL</t>
  </si>
  <si>
    <t>CENTRAL BOARD OF SECONDARY EDUCATION, SAMBALPUR/ODISHA</t>
  </si>
  <si>
    <t>GANDHI INSTITUTE OF ENGINEERING AND TECHNOLOGY UNIVERSITY, GUNUPUR/ODISHA</t>
  </si>
  <si>
    <t>Dineshchandra R. Agrawal Infracon Pvt. Ltd. | Graduate Engineer Trainee (GET) | Chennai, Tamil Nadu | Mar 2024 | Jan 2025 | 0Y 10M | 2.4</t>
  </si>
  <si>
    <t>HINDALCO A UNIT ADITYA ALUMINUM | INTERN | SAMBALPUR, ODISHA | Jun 2023 | Jun 2023 | 4.1428571428571 Weeks</t>
  </si>
  <si>
    <t>P25700006</t>
  </si>
  <si>
    <t>THETE</t>
  </si>
  <si>
    <t>AJINKYA</t>
  </si>
  <si>
    <t>TANAJI</t>
  </si>
  <si>
    <t>Thete Ajinkya Tanaji</t>
  </si>
  <si>
    <t>ajinkyatthete@gmail.com</t>
  </si>
  <si>
    <t>p25700006@student.nicmar.ac.in</t>
  </si>
  <si>
    <t>21-Sep-2002</t>
  </si>
  <si>
    <t>ENGLISH,HINDI,MARATHI</t>
  </si>
  <si>
    <t>AB+ve</t>
  </si>
  <si>
    <t>9832 4212 6090</t>
  </si>
  <si>
    <t>TANAJI NAMDEO THETE</t>
  </si>
  <si>
    <t>HEAD CLERK</t>
  </si>
  <si>
    <t>VIJAYA TANAJI THETE</t>
  </si>
  <si>
    <t>PRINCIPAL</t>
  </si>
  <si>
    <t>Shivpushp Bunglow, Amrut Nagar, Lasalgaon-422306,Nashik, Maharashtra</t>
  </si>
  <si>
    <t>LOKNETE DATTAJI PATIL VIDYALAYA,LASALGAON</t>
  </si>
  <si>
    <t>NASHIK</t>
  </si>
  <si>
    <t>LOKNETE DATTAJI PATIL SECONDARY AND HIGHER SECONDARY SCHOOL, LASALGAON</t>
  </si>
  <si>
    <t>S.N.J.B'S KBJ COE,CHANDVAD</t>
  </si>
  <si>
    <t>AutoCAD,MS Office,Revit</t>
  </si>
  <si>
    <t>Samruddhi Associates | Site Engineer  | Nashik | Aug 2024 | Jun 2025 | 0Y 10M | 2.04</t>
  </si>
  <si>
    <t>HH Builders and Developer | Intern  | Nashik | Jan 2023 | Feb 2023 | 4.4285714285714 Weeks</t>
  </si>
  <si>
    <t>P25700007</t>
  </si>
  <si>
    <t>ASHUTOSH</t>
  </si>
  <si>
    <t>Ashutosh Singh</t>
  </si>
  <si>
    <t>2007ashutosh2000@gmail.com</t>
  </si>
  <si>
    <t>p25700007@student.nicmar.ac.in</t>
  </si>
  <si>
    <t>12-Dec-2002</t>
  </si>
  <si>
    <t>5144 0136 1325</t>
  </si>
  <si>
    <t>UMESH KUMAR SINGH</t>
  </si>
  <si>
    <t>SUMAN SINGH</t>
  </si>
  <si>
    <t>61,Near Kuchman Station, Chakariya, Keshavpur, Chandauli</t>
  </si>
  <si>
    <t>Chandauli</t>
  </si>
  <si>
    <t>SUNBEAM SCHOOL MUGHALSARAI</t>
  </si>
  <si>
    <t>CENTRAL BOARD OF SECONDARY EDUCATION, MUGHALSARAI/UTTARPRADESH</t>
  </si>
  <si>
    <t>CENTRAL BOARD OF SECONDARY EDUCATION, MUGHALSARAI/UTTAR PRADESH</t>
  </si>
  <si>
    <t>ABDUL KALAM TECHNICAL UNIVERSITY</t>
  </si>
  <si>
    <t>INDRAPRASHTHA ENGENEERING COLLEGE, GHAZIABAD/UTTARPRADESH</t>
  </si>
  <si>
    <t>AutoCAD,MS Office,MS Project,Primavera,StadPro</t>
  </si>
  <si>
    <t>Course on Building Design
BIM Fundamentals for Engineers</t>
  </si>
  <si>
    <t>P25700008</t>
  </si>
  <si>
    <t>DARSHAN</t>
  </si>
  <si>
    <t>SATISHKUMAR</t>
  </si>
  <si>
    <t>VAKHARIYA</t>
  </si>
  <si>
    <t>Darshan Satishkumar Vakhariya</t>
  </si>
  <si>
    <t>darshan.vakharia33@gmail.com</t>
  </si>
  <si>
    <t>p25700008@student.nicmar.ac.in</t>
  </si>
  <si>
    <t>02-Jan-2001</t>
  </si>
  <si>
    <t>ENGLISH,HINDI,MARATHI,GUJARATI</t>
  </si>
  <si>
    <t>2497 3115 8893</t>
  </si>
  <si>
    <t>SHRADDHA</t>
  </si>
  <si>
    <t>202 LIVIA SOCIETY, BHUMKAR NAGAR,HINJAWADI PUNE</t>
  </si>
  <si>
    <t>3299/B Mahavir Marg Barshi</t>
  </si>
  <si>
    <t>SULAKHE ENGLISH MEDIUM SCHOOL</t>
  </si>
  <si>
    <t>SHRI SHIVAJI MAHAVIDYALAYA, BARSHI</t>
  </si>
  <si>
    <t>ZEAL COLLEGE OF ENGINEERING AND RESEARCH</t>
  </si>
  <si>
    <t>Suyog Development Corporation LTD. | Trainee engineer | Gangadham, pune | Aug 2023 | Apr 2025 | 1Y 8M | 2.5</t>
  </si>
  <si>
    <t>Idhant Construction and Developers |  site engineer intern  | Barshi  | Jan 2022 | Feb 2022 | 4.4285714285714 Weeks</t>
  </si>
  <si>
    <t>P25700009</t>
  </si>
  <si>
    <t>SHIVAM</t>
  </si>
  <si>
    <t>Shivam Sharma</t>
  </si>
  <si>
    <t>shivamsharma2003cool@gmail.com</t>
  </si>
  <si>
    <t>p25700009@student.nicmar.ac.in</t>
  </si>
  <si>
    <t>24-Nov-2003</t>
  </si>
  <si>
    <t>English Hindi</t>
  </si>
  <si>
    <t>8551 9504 4457</t>
  </si>
  <si>
    <t>ANAND SWARUP SHARMA</t>
  </si>
  <si>
    <t>ASHA DEVI</t>
  </si>
  <si>
    <t>Sector 123 H Block_x000D_
House Number 905</t>
  </si>
  <si>
    <t>Amritsar</t>
  </si>
  <si>
    <t>Punjab</t>
  </si>
  <si>
    <t>TAURIAN WORLD SCHOOL</t>
  </si>
  <si>
    <t>RANCHI JHARKHAND</t>
  </si>
  <si>
    <t>PODAR INTERNATIONAL SCHOOL</t>
  </si>
  <si>
    <t>BHUSAWAL MAHARASHTRA</t>
  </si>
  <si>
    <t>2020-Apr</t>
  </si>
  <si>
    <t>CHANDIGARH UNIVERSITY</t>
  </si>
  <si>
    <t>CHANDIGARH UNIVERSITY PUNJAB</t>
  </si>
  <si>
    <t>MS Project,Primavera,Arc Gis,Open Roads</t>
  </si>
  <si>
    <t>aarvee association | Site Engineer | Shamli Saharanpur | May 2024 | Jul 2024 | 8 Weeks
Pidilite Industries Ltd. | PPG Intern Segment | Gurugram | May 2026 | Jun 2026 | 7.5714285714286 Weeks</t>
  </si>
  <si>
    <t>P25700010</t>
  </si>
  <si>
    <t>SHUBHANKAR</t>
  </si>
  <si>
    <t>DATTATREY</t>
  </si>
  <si>
    <t>MAIRAL</t>
  </si>
  <si>
    <t>Shubhankar Dattatrey Mairal</t>
  </si>
  <si>
    <t>mairalshubhankar@gmail.com</t>
  </si>
  <si>
    <t>p25700010@student.nicmar.ac.in</t>
  </si>
  <si>
    <t>21-Nov-2002</t>
  </si>
  <si>
    <t>ENGLISH, HINDI, MARATHI.</t>
  </si>
  <si>
    <t>2659 1560 4236</t>
  </si>
  <si>
    <t>DATTATREYA MAIRAL</t>
  </si>
  <si>
    <t>SANJIVANI MAIRAL</t>
  </si>
  <si>
    <t>Plot No. 44, PMG Society, Narendra Nagar, Nagpur.</t>
  </si>
  <si>
    <t>SOMALWAR NIKALAS HIGH SCHOOL AND JUNIOR COLLEGE</t>
  </si>
  <si>
    <t>RASHTRASANT TUKDOJI MAHARAJ NAGPUR UNIVERSITY</t>
  </si>
  <si>
    <t>YESHWANTRAO CHAVAN COLLEGE OF ENGINEERING, NAGPUR, MAHARASHTRA</t>
  </si>
  <si>
    <t>MASIN PROJECTS PRIVATE LIMITED  | Inter (Delay/Quantum) | Gurugram | May 2026 | Jul 2026 | 8.7142857142857 Weeks | Campus Internship
Manaswi Construction | Intern- Site Execution | Nagpur | Jan 2024 | May 2024 | 17.285714285714 Weeks</t>
  </si>
  <si>
    <t>P25700011</t>
  </si>
  <si>
    <t>NABA</t>
  </si>
  <si>
    <t>ANSARI</t>
  </si>
  <si>
    <t>Naba Ansari</t>
  </si>
  <si>
    <t>naba.falak@gmail.com</t>
  </si>
  <si>
    <t>p25700011@student.nicmar.ac.in</t>
  </si>
  <si>
    <t>07-Sep-2002</t>
  </si>
  <si>
    <t>English, Hindi, Urdu, Marathi, French</t>
  </si>
  <si>
    <t>4572 3312 2490</t>
  </si>
  <si>
    <t>MOHAMMAD ATIF ANSARI</t>
  </si>
  <si>
    <t>ATIYA NAYAB ANSARI</t>
  </si>
  <si>
    <t>B-35/002, Takshashila Loknagri, MIDC Road, Ambarnath - East, 421501</t>
  </si>
  <si>
    <t>FATIMA HIGH SCHOOL &amp; JUNIOR COLLEGE</t>
  </si>
  <si>
    <t>SMT. CHANDIBAI HIMATHMAL MANSUKHANI COLLEGE, ULHASNAGAR</t>
  </si>
  <si>
    <t>L.S RAHEJA SCHOOL OF ARCHITECTURE</t>
  </si>
  <si>
    <t>AutoCAD,MS Office,MS Project,Sketchup,Revit,Vectorworks,QGIS,Photoshop,Rhino,Indesign,Illustrator,Twinmotion</t>
  </si>
  <si>
    <t>KPMG  | Intern  | Mumbai  | May 2026 | Jun 2026 | 7.5714285714286 Weeks | Campus Internship
SJK ARCHITECTS | ARCHITECTURAL DESIGN INTERN | MUMBAI | Nov 2023 | Apr 2024 | 22.428571428571 Weeks</t>
  </si>
  <si>
    <t>Architectural Conservation
Building Materials as a Cornerstone to Sustainability
Real Estate Financial Modeling
Foundations of Project Management
Finance for Non-Financial Managers</t>
  </si>
  <si>
    <t>P25700012</t>
  </si>
  <si>
    <t>KRISHNA</t>
  </si>
  <si>
    <t>SACHIN</t>
  </si>
  <si>
    <t>PAREKH</t>
  </si>
  <si>
    <t>Krishna Sachin Parekh</t>
  </si>
  <si>
    <t>krishnasachinparekh@gmail.com</t>
  </si>
  <si>
    <t>p25700012@student.nicmar.ac.in</t>
  </si>
  <si>
    <t>03-May-2003</t>
  </si>
  <si>
    <t>English, Hindi, Marathi, Gujarati</t>
  </si>
  <si>
    <t>3960 4649 8957</t>
  </si>
  <si>
    <t>SACHIN JAYSING PAREKH</t>
  </si>
  <si>
    <t>KETAKI SACHIN PAREKH</t>
  </si>
  <si>
    <t>'Rajyog', Near Chanakyapuri Garden, Chanakyapuri, Vishrambag, Sangli</t>
  </si>
  <si>
    <t>Sangli</t>
  </si>
  <si>
    <t>CITY HIGH SCHOOL, SANGLI</t>
  </si>
  <si>
    <t>SSC BOARD, SANGLI, MAHARASHTRA</t>
  </si>
  <si>
    <t>MGSK GUJARATI HIGH SCHOOL, SANGLI</t>
  </si>
  <si>
    <t>HSC BOARD, SANGLI, MAHARASHTRA</t>
  </si>
  <si>
    <t>SHIVAJI UNIVERSITY, KOLHAPUR</t>
  </si>
  <si>
    <t>WALCHAND COLEGE OF ENGINEERING, SANGLI</t>
  </si>
  <si>
    <t>AutoCAD,MS Office,MS Project,Primavera,Edificius 2D &amp; 3D,RIB COSTX,REVIT</t>
  </si>
  <si>
    <t>S. N. Joshi Consultants Pvt. Ltd. | Trainee Engineer - Plumbing &amp; FF | Pune, Maharashtra | Jun 2024 | Feb 2025 | 0Y 8M | 3.9</t>
  </si>
  <si>
    <t>0 Years 8 Months</t>
  </si>
  <si>
    <t>USHA CONSTRUCTIONS, BUILDERS &amp; CONTRACTORS | INTERN- SITE SUPERVISOR | SANGLI, MAHARASHTRA | Jun 2023 | Jun 2023 | 4.1428571428571 Weeks
DYNAMIC PRESTRESS  PROJECT &amp; SERVICES PVT. LTD. | INTERN | PUNE, MUMBAI - MAHARASHTRA | Jan 2023 | Jan 2023 | 1.4285714285714 Weeks</t>
  </si>
  <si>
    <t>P25700013</t>
  </si>
  <si>
    <t>SIDDHESH</t>
  </si>
  <si>
    <t>RAI</t>
  </si>
  <si>
    <t>Siddhesh Rai</t>
  </si>
  <si>
    <t>siddheshrai7275@gmail.com</t>
  </si>
  <si>
    <t>p25700013@student.nicmar.ac.in</t>
  </si>
  <si>
    <t>01-Dec-2001</t>
  </si>
  <si>
    <t>ENGLISH , HINDI , FRENCH</t>
  </si>
  <si>
    <t>3607 4678 5140</t>
  </si>
  <si>
    <t>ABHAY RAJ RAI</t>
  </si>
  <si>
    <t>MANJU RAI</t>
  </si>
  <si>
    <t>BUSINESS PROPRIETOR</t>
  </si>
  <si>
    <t>FLAT NO. - B2-204 , 2ND FLOOR , BRAMHACORP TOWNHOUSE , 1/2 PATIL NAGAR , BALEWADI , PUNE</t>
  </si>
  <si>
    <t>House No. 6 , Durga Puri Colony , Eldeco Tiraha , Chinhat , Lucknow</t>
  </si>
  <si>
    <t>Lucknow</t>
  </si>
  <si>
    <t>CENTRAL BOARD OF SECONDARY EDUCATION LUCKNOW , UTTAR PRADESH</t>
  </si>
  <si>
    <t>THREE YEAR DIPLOMA IN CIVIL ENGINEERING</t>
  </si>
  <si>
    <t>HEWETT POLYTECHNIC LUCKNOW , UTTAR PRADESH</t>
  </si>
  <si>
    <t>BHARATI VIDYAPEETH ( DEEMED TO BE UNIVERSITY )</t>
  </si>
  <si>
    <t>BHARATI VIDYAPEETH COLLEGE OF ENGINEERING, PUNE , MAHARASHTRA</t>
  </si>
  <si>
    <t>AutoCAD,MS Office,MS Project,Primavera,ETABS,STAAD.Pro</t>
  </si>
  <si>
    <t>JS MARINE SERVICES PVT LTD | Site Supervisor | Lucknow | Jun 2024 | Jun 2025 | 1Y 0M | 3</t>
  </si>
  <si>
    <t>1 Year 0 Months</t>
  </si>
  <si>
    <t>Tricon Infra Buildtech Pvt . Ltd | Trainee Intern | Lucknow | Jun 2023 | Aug 2023 | 8.2857142857143 Weeks
Uttar Pradesh Awas Vikas Parishad Lucknow | Trainee Intern | Lucknow | Oct 2020 | Nov 2020 | 4.1428571428571 Weeks</t>
  </si>
  <si>
    <t>P25700014</t>
  </si>
  <si>
    <t>DIWATELWAR</t>
  </si>
  <si>
    <t>SUYASH</t>
  </si>
  <si>
    <t>SATISH</t>
  </si>
  <si>
    <t>Diwatelwar Suyash Satish</t>
  </si>
  <si>
    <t>suyashdiwatelwar@gmail.com</t>
  </si>
  <si>
    <t>p25700014@student.nicmar.ac.in</t>
  </si>
  <si>
    <t>30-Oct-2001</t>
  </si>
  <si>
    <t>Marathi, Hindi and English</t>
  </si>
  <si>
    <t>6140 8923 8718</t>
  </si>
  <si>
    <t>SATISH VASANTRAO DIWATELWAR</t>
  </si>
  <si>
    <t>SUHASINI SATISH DIWATELWAR</t>
  </si>
  <si>
    <t>Plot No 2, Santaji Society, Balpande Layout, Narendra Nagar, Rachna Vatika Road, Near Bajrang Aatta Chakki. Nagpur</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</si>
  <si>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</si>
  <si>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</si>
  <si>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</si>
  <si>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</si>
  <si>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2024-Jul</t>
  </si>
  <si>
    <t>AutoCAD,MS Office,MS Project,Primavera,Revit,MS Excel</t>
  </si>
  <si>
    <t>MB Infra | Site Engineer | Nagpur | Jul 2024 | Jun 2025 | 0Y 11M | 3.6</t>
  </si>
  <si>
    <t>B. G. SHIRKE CONSTRUCTION TECHNOLOGY PVT. LTD. | Management Trainee | Nagpur | May 2026 | Jul 2026 | 9.7142857142857 Weeks | Campus Internship
MB Infra | Intern | Nagpur | Dec 2023 | Jun 2024 | 25.714285714286 Weeks
Rajkala Developers | Intern | Nagpur | Jun 2023 | Jul 2023 | 4.2857142857143 Weeks
Prefab Concrete Systems | Intern | Umargaon, Umred Road, Nagpur. | Feb 2022 | Feb 2022 | 2 Weeks</t>
  </si>
  <si>
    <t>AUTOCAD (Drafting Engineer)</t>
  </si>
  <si>
    <t>P25700015</t>
  </si>
  <si>
    <t>ANKIT</t>
  </si>
  <si>
    <t>RANJAN</t>
  </si>
  <si>
    <t>Ankit Ranjan</t>
  </si>
  <si>
    <t>ankitranjan413@gmail.com</t>
  </si>
  <si>
    <t>p25700015@student.nicmar.ac.in</t>
  </si>
  <si>
    <t>28-Feb-2001</t>
  </si>
  <si>
    <t>English and Hindi</t>
  </si>
  <si>
    <t>2759 9383 2103</t>
  </si>
  <si>
    <t>OM PRAKASH OJHA</t>
  </si>
  <si>
    <t>GOVERNMENT JOB</t>
  </si>
  <si>
    <t>MAMTA OJHA</t>
  </si>
  <si>
    <t>F-402 Amrapali Princely Estate Sector-76 Noida</t>
  </si>
  <si>
    <t>Gautam Buddha Nagar</t>
  </si>
  <si>
    <t>SARLA CHOPRA DAV PUBLIC SCHOOL</t>
  </si>
  <si>
    <t>CENTRAL BOARD OF SECONDARY EDUCATION,NOIDA</t>
  </si>
  <si>
    <t>DR.A.P.J ABDUL KALAM TECHNICAL UNIVERSITY</t>
  </si>
  <si>
    <t>JSS ACADEMY OF TECHNICAL EDUCATION, NOIDA</t>
  </si>
  <si>
    <t>Prateek Group | trainee engineer | ghaziabad | Jun 2024 | Apr 2025 | 0Y 10M | 2.16</t>
  </si>
  <si>
    <t>Prestige group  | Site execution  | Delhi ncr | May 2026 | Jul 2026 | 8.5714285714286 Weeks | Campus Internship
Municipal Corporation of Delhi | Intern | Delhi | Nov 2021 | Apr 2022 | 25.714285714286 Weeks</t>
  </si>
  <si>
    <t>P25700016</t>
  </si>
  <si>
    <t>VAIBHAV</t>
  </si>
  <si>
    <t>ARJUN</t>
  </si>
  <si>
    <t>BASETWAR</t>
  </si>
  <si>
    <t>Vaibhav Arjun Basetwar</t>
  </si>
  <si>
    <t>basetwarvaibhav@gmail.com</t>
  </si>
  <si>
    <t>p25700016@student.nicmar.ac.in</t>
  </si>
  <si>
    <t>19-May-2002</t>
  </si>
  <si>
    <t>3435 1834 0287</t>
  </si>
  <si>
    <t>Sambhaji Chowk Pandharpur</t>
  </si>
  <si>
    <t>KAVTHEKAR PRASAHALA PANDHARPUR</t>
  </si>
  <si>
    <t>SOLAPUR MAHARASHTRA</t>
  </si>
  <si>
    <t>VIVEK VARDHINI PANDHARPUR</t>
  </si>
  <si>
    <t>AISSMS COLLEGE OF ENGINEERING PUNE</t>
  </si>
  <si>
    <t>2024-Nov</t>
  </si>
  <si>
    <t>Tirupati Construction | Site Engineer | Pandharpur | Aug 2024 | Dec 2024 | 17.428571428571 Weeks</t>
  </si>
  <si>
    <t>P25700017</t>
  </si>
  <si>
    <t>SWAPNIL</t>
  </si>
  <si>
    <t>PRASHANT</t>
  </si>
  <si>
    <t>Swapnil Prashant Mane</t>
  </si>
  <si>
    <t>maneswapnil8101@gmail.com</t>
  </si>
  <si>
    <t>p25700017@student.nicmar.ac.in</t>
  </si>
  <si>
    <t>11-Sep-2001</t>
  </si>
  <si>
    <t>English, Hindi and Marathi</t>
  </si>
  <si>
    <t>7014 2891 4267</t>
  </si>
  <si>
    <t>PRASHANT BABURAO MANE</t>
  </si>
  <si>
    <t>SHUBHANGI PRASHANT MANE</t>
  </si>
  <si>
    <t>JIJAI NIWAS, ASHOKA SOCIETY ROAD, KALEWADI PHATA, THERGAON, PIMPRI CHINCHWAD</t>
  </si>
  <si>
    <t>Soham Niwas, Deshpande Colony, Ausa Road, Near Pramod Super Market</t>
  </si>
  <si>
    <t>Latur</t>
  </si>
  <si>
    <t>SRI SRI RAVISHANKAR VIDYA MANDIR, LATUR</t>
  </si>
  <si>
    <t>DAYANAND SCIENCE COLLEGE, LATUR</t>
  </si>
  <si>
    <t>VISHWAKARMA INSTITUTE OF INFORMATION TECHNOLOGY, PUNE, MAHARASHTRA</t>
  </si>
  <si>
    <t>AutoCAD,MS Office,MS Project,Primavera,IPMS (Integrated Project Management System),CostX,Revit</t>
  </si>
  <si>
    <t>Adani Road Transport Limited | Assistant Manager- Planning &amp; Coordination | Raebareli, Uttar Pradesh | Aug 2023 | Jun 2025 | 1Y 10M | 8.37</t>
  </si>
  <si>
    <t>New Consolidated Construction Company Limited  | Intern- Planning  | Alibag | May 2026 | Jul 2026 | 8.7142857142857 Weeks | Campus Internship
V.M. MATERE INFRASTRUCTURES (INDIA) PVT. LTD. | Site Engineering Intern | Pune | Mar 2023 | May 2023 | 12.142857142857 Weeks</t>
  </si>
  <si>
    <t>MS Project
Autocad Civil</t>
  </si>
  <si>
    <t>P25700018</t>
  </si>
  <si>
    <t>MD ZAID</t>
  </si>
  <si>
    <t>TANWEER</t>
  </si>
  <si>
    <t>JAHAGIRDAR</t>
  </si>
  <si>
    <t>Md Zaid Tanweer Jahagirdar</t>
  </si>
  <si>
    <t>ztj7620@gmail.com</t>
  </si>
  <si>
    <t>p25700018@student.nicmar.ac.in</t>
  </si>
  <si>
    <t>06-Nov-2001</t>
  </si>
  <si>
    <t>ENGLISH, HINDI, MARATHI</t>
  </si>
  <si>
    <t>9776 1155 3658</t>
  </si>
  <si>
    <t>TANWEER JAHAGIRDAR</t>
  </si>
  <si>
    <t>NIKHATARA JAHAGIRDAR</t>
  </si>
  <si>
    <t>Plot No 64, Tangsal Nagar, Asra, Majarewadi, Solapur North, Solapur</t>
  </si>
  <si>
    <t>MODEL PUBLIC SCHOOL, SOLAPUR</t>
  </si>
  <si>
    <t>A. D. JOSHI JUNIOR COLLEGE, SOLAPUR</t>
  </si>
  <si>
    <t>WALCHAND COLLEGE OF ENGINEERING, SANGLI</t>
  </si>
  <si>
    <t>2021-Feb</t>
  </si>
  <si>
    <t>AutoCAD,MS Office,MS Project,MS Excel,Revit,Lumion,ABAQUS- Finite Element Analysis</t>
  </si>
  <si>
    <t>Iconic Engineering Solutions | Trainee Engineer | Solapur | Jun 2024 | Jul 2025 | 1Y 1M | 2.2</t>
  </si>
  <si>
    <t>1 Year 2 Months</t>
  </si>
  <si>
    <t>The Construction House | Structural Designer | Sangli | Jul 2023 | Jul 2023 | 4.2857142857143 Weeks
Unity Multicons Pvt. Ltd. | Site Supervisor | Solapur | Jan 2024 | Apr 2024 | 13.714285714286 Weeks</t>
  </si>
  <si>
    <t>P25700019</t>
  </si>
  <si>
    <t>PRAJYOT</t>
  </si>
  <si>
    <t>PRADIP</t>
  </si>
  <si>
    <t>PATIL</t>
  </si>
  <si>
    <t>Prajyot Pradip Patil</t>
  </si>
  <si>
    <t>prajyotpatil2815@gmail.com</t>
  </si>
  <si>
    <t>p25700019@student.nicmar.ac.in</t>
  </si>
  <si>
    <t>28-Aug-2003</t>
  </si>
  <si>
    <t>ENGLISH,MARATHI,HINDI</t>
  </si>
  <si>
    <t>2958 6975 3100</t>
  </si>
  <si>
    <t>PRADIP RAMCHANDRA PATIL</t>
  </si>
  <si>
    <t>JYOTI PRADIP PATIL</t>
  </si>
  <si>
    <t>ARDARSH NAGAR BEHINDE RTO OFFICE PEN RAIGAD_x000D_
INFRONT OF SAIDEEP BANGLOW</t>
  </si>
  <si>
    <t>PEN EDUCATION SOCIETY ENGLISH MEDIUM SCHOOL, PEN</t>
  </si>
  <si>
    <t>PRIVATE HIGH SCHOOL AND JUNIOR COLLEGE, PEN</t>
  </si>
  <si>
    <t>SARASWATI COLLEGE OF ENGINEERING, KHARGHAR</t>
  </si>
  <si>
    <t>YOGESHWAR CONSTRUCTION | Site Engineer | PEN | May 2025 | Jul 2025 | 8.5714285714286 Weeks
IMARIKA INFRAPROJECTS | Site Engineer | Airoli, Navi Mumbai | Jan 2023 | Feb 2023 | 4.2857142857143 Weeks</t>
  </si>
  <si>
    <t>Certificate Course in AutoCAD</t>
  </si>
  <si>
    <t>P25700020</t>
  </si>
  <si>
    <t>NIKITHA</t>
  </si>
  <si>
    <t>M B</t>
  </si>
  <si>
    <t>Nikitha M B</t>
  </si>
  <si>
    <t>nikithagowda9399@gmail.com</t>
  </si>
  <si>
    <t>p25700020@student.nicmar.ac.in</t>
  </si>
  <si>
    <t>09-Mar-1999</t>
  </si>
  <si>
    <t>English, Kannada, Hindi</t>
  </si>
  <si>
    <t>2718 4029 1882</t>
  </si>
  <si>
    <t>BASAVARAJU</t>
  </si>
  <si>
    <t>BUSINESS &amp; AGRICULTURE</t>
  </si>
  <si>
    <t>JAYALAKSHIMI M</t>
  </si>
  <si>
    <t>#501 B Block, 2nd Cross, JP Nagar, Mysore</t>
  </si>
  <si>
    <t>Mysore</t>
  </si>
  <si>
    <t>MARIMALLAPPA'S HIGH SCHOOL</t>
  </si>
  <si>
    <t>KARNATAKA SCHOOL EXAMINATION AND ASSESSMENT BOARD, KARNATAKA</t>
  </si>
  <si>
    <t>MARIMALLAPPA'S PU COLLEGE</t>
  </si>
  <si>
    <t>DEPARTMENT OF PRE-UNIVERSITY EDUCATION, KARNATAKA</t>
  </si>
  <si>
    <t>VIDYAVARDHAKA COLLEGE OF ENGINEEERING, MYSORE, KARNATAKA</t>
  </si>
  <si>
    <t>MS Office,MS Project,Primavera,Rivet Achitecture,3ds Max,AutoCAD 2D &amp; 3D</t>
  </si>
  <si>
    <t>G9 Projects | Site Engineer | Mysore,Karnataka | Jul 2019 | Aug 2019 | 4.7142857142857 Weeks
VIVIDHA BUILDERS | QUANTITY SURVEYOR | MYSORE,KARNATAKA | Apr 2023 | Nov 2024 | 86.428571428571 Weeks</t>
  </si>
  <si>
    <t>P25700021</t>
  </si>
  <si>
    <t>SOUVIK</t>
  </si>
  <si>
    <t>PAUL</t>
  </si>
  <si>
    <t>Souvik Paul</t>
  </si>
  <si>
    <t>souvikpaul9725@gmail.com</t>
  </si>
  <si>
    <t>p25700021@student.nicmar.ac.in</t>
  </si>
  <si>
    <t>07-Jun-2000</t>
  </si>
  <si>
    <t>English, Hindi &amp; Bengali</t>
  </si>
  <si>
    <t>5705 4799 7563</t>
  </si>
  <si>
    <t>SAJAL PAUL</t>
  </si>
  <si>
    <t>PRATIVA PAUL</t>
  </si>
  <si>
    <t>Nangi Chakraborty Para, P.O - Batanagar, Maheshtala, Dist. - South 24 PGS. , Kolkata - 700140</t>
  </si>
  <si>
    <t>South 24 Parganas</t>
  </si>
  <si>
    <t>BALLYGUNGE GOVT. HIGH SCHOOL</t>
  </si>
  <si>
    <t>WEST BENGAL BOARD OF SECONDARY EDUCATION (KOLKATA)</t>
  </si>
  <si>
    <t>2015-Jan</t>
  </si>
  <si>
    <t>WEST BENGAL COUNCIL OF HIGHER SECONDARY EDUCATION (KOLKATA)</t>
  </si>
  <si>
    <t>RAMAKRISHNA MISSION SHILPAPITHA (KOLKATA)</t>
  </si>
  <si>
    <t>MAULANA ABUL KALAM AZAD UNIVERSITY OF TECHNOLOGY</t>
  </si>
  <si>
    <t>MEGHNAD SAHA INSTITUTE OF TECHNOLOGY (KOLKATA)</t>
  </si>
  <si>
    <t>AutoCAD,MS Office,MS Project,Revit</t>
  </si>
  <si>
    <t>Central Public Works Department (CPWD) | Project Intern – Execution &amp; Planning | Barrackpore, Kolkata, West Bengal | May 2026 | Jul 2026 | 9.5714285714286 Weeks | Campus Internship
SIMPLEX INFRASTRUCTURES LIMITED | SITE INTERN | SHUKHOBRISHTI UMIG SITE, NEW TOWN, KOLKATA - 700135 | Jul 2023 | Jul 2023 | 4 Weeks</t>
  </si>
  <si>
    <t>Python And Flask Demonstrations Practice Course
Power BI DAX
Complete Cubase Megacourse
Complete Clip Studio Paint Megacourse
Course on Revit Architecture Essential</t>
  </si>
  <si>
    <t>P25700022</t>
  </si>
  <si>
    <t>AMIT</t>
  </si>
  <si>
    <t>ANSHUMAN</t>
  </si>
  <si>
    <t>PATRA</t>
  </si>
  <si>
    <t>Amit Anshuman Patra</t>
  </si>
  <si>
    <t>chirag98amit@gmail.com</t>
  </si>
  <si>
    <t>p25700022@student.nicmar.ac.in</t>
  </si>
  <si>
    <t>01-Jan-2000</t>
  </si>
  <si>
    <t>3690 9209 9221</t>
  </si>
  <si>
    <t>BIBEKANANDA PATRA</t>
  </si>
  <si>
    <t>ANITA MALLICK</t>
  </si>
  <si>
    <t>HOUSE MAKER</t>
  </si>
  <si>
    <t>PLOT NO-570/2245, BAC HOUSE , LANE 5C_x000D_
SHREE VIHAR, PATIA</t>
  </si>
  <si>
    <t>Bhubaneswar</t>
  </si>
  <si>
    <t>ODM PUBLIC SCHOOL</t>
  </si>
  <si>
    <t>CENTRAL BOARD OF SECONDARY EDUCATION. DELHI</t>
  </si>
  <si>
    <t>KIIT INTERNATIONAL SCHOOL</t>
  </si>
  <si>
    <t>BIJU PATNAIK UNIVERSITY OF TECHNOLOGY, ODISHA</t>
  </si>
  <si>
    <t>INDIRA GANDHI INSTITUTE OF TECHNOLOGY, SARANG, DHENKANAL, ODISHA</t>
  </si>
  <si>
    <t>UNIVERSITY OF MANCHESTER</t>
  </si>
  <si>
    <t>2024-Sep</t>
  </si>
  <si>
    <t>AutoCAD,MS Office,MS Project,Primavera,STADD PRO,ANSYS,LAB VIEW</t>
  </si>
  <si>
    <t>Bharat Heavy Electricals Limited | Site Execution Control | Talcher, Odisha | May 2026 | Jul 2026 | 9.7142857142857 Weeks | Campus Internship
GOVERNMENT OF ODISHA, WORKS DEPARTMENT | AAPRENTICESHIP TRAINEE | BHUBANESWAR | Dec 2022 | Sep 2023 | 39.142857142857 Weeks</t>
  </si>
  <si>
    <t>P25700023</t>
  </si>
  <si>
    <t>JUSTIN</t>
  </si>
  <si>
    <t>JOSEPH</t>
  </si>
  <si>
    <t>Justin Joseph</t>
  </si>
  <si>
    <t>0602justin@gmail.com</t>
  </si>
  <si>
    <t>p25700023@student.nicmar.ac.in</t>
  </si>
  <si>
    <t>25-Jun-2001</t>
  </si>
  <si>
    <t>3612 3170 1274</t>
  </si>
  <si>
    <t>JOSEPH MATHEW</t>
  </si>
  <si>
    <t>MINIMOL THOMAS</t>
  </si>
  <si>
    <t>AYYANKARY THURAVASSERY,CHAMPAKULAM</t>
  </si>
  <si>
    <t>ST.JOSEPH'S HSS PULINCUNNOO KERALA</t>
  </si>
  <si>
    <t>ST.MARY'S HSS CHAMPAKULAM KERALA</t>
  </si>
  <si>
    <t>BOARD OF HIGHER SECONDARY EXAMINATIONS</t>
  </si>
  <si>
    <t>APJ ABDUL KALAM TECHNOLOGICAL UNIVERSITY KERALA</t>
  </si>
  <si>
    <t>SAINTGITS COLLEGE OF ENGINEERING PATHAMUTTOM KOTTAYAM KERALA</t>
  </si>
  <si>
    <t>AutoCAD,MS Office,MS Project,REVIT,BIM</t>
  </si>
  <si>
    <t>TECHNOLOGY AND GOVERNANCE SUPPORT FORUM | PROJECT ENGINEER | Alappuzha | Jun 2024 | Jun 2025 | 1Y 0M | 1.8</t>
  </si>
  <si>
    <t>J M J DEVELOPERS | CIVIL ENGINEERING INTERN | CHANGANACHERRY | Jul 2023 | May 2024 | 46.714285714286 Weeks</t>
  </si>
  <si>
    <t>BIM Professional Cousre</t>
  </si>
  <si>
    <t>P25700024</t>
  </si>
  <si>
    <t>RAHUL</t>
  </si>
  <si>
    <t>P</t>
  </si>
  <si>
    <t>Rahul P Raju</t>
  </si>
  <si>
    <t>rahulpothiyil@gmail.com</t>
  </si>
  <si>
    <t>p25700024@student.nicmar.ac.in</t>
  </si>
  <si>
    <t>02-Feb-2002</t>
  </si>
  <si>
    <t>English, Malayalam</t>
  </si>
  <si>
    <t>4742 8347 1716</t>
  </si>
  <si>
    <t>RAJU P.M</t>
  </si>
  <si>
    <t>EX-GULF</t>
  </si>
  <si>
    <t>RASMI RAJU</t>
  </si>
  <si>
    <t>Pothiyil House_x000D_
Edathirinji P.O_x000D_
Thrissur_x000D_</t>
  </si>
  <si>
    <t>Thrissur</t>
  </si>
  <si>
    <t>CHRIST VIDYANIKETHAN</t>
  </si>
  <si>
    <t>ICSE</t>
  </si>
  <si>
    <t>S.N.H.S.S</t>
  </si>
  <si>
    <t>STATE</t>
  </si>
  <si>
    <t>CHRIST COLLEGE OF ENGINEERING , IRINJALAKUDA , KERALA</t>
  </si>
  <si>
    <t>AutoCAD,MS Project</t>
  </si>
  <si>
    <t>Uralungal Labour Contract Co-operative Society | Site Execution | Ernakulam | May 2026 | Jul 2026 | 7.7142857142857 Weeks | Campus Internship
LSGD Palakkad | Civil Engineering Intern | Palakkad | May 2023 | May 2023 | 1.1428571428571 Weeks
LSGD Muriyad | Civil Engineering Intern | Muriyad | Mar 2024 | Apr 2024 | 4.4285714285714 Weeks
KSCSTE-NATPAC | TRAFFIC ENGINEERING INTERN | THRISSUR | Feb 2023 | Mar 2023 | 0.14285714285714 Weeks</t>
  </si>
  <si>
    <t>Sketchup and Lumion
AutoCAD</t>
  </si>
  <si>
    <t>P25700026</t>
  </si>
  <si>
    <t>SAHIL</t>
  </si>
  <si>
    <t>SINHA</t>
  </si>
  <si>
    <t>Sahil Kumar Sinha</t>
  </si>
  <si>
    <t>sahilkumarsinha036@gmail.com</t>
  </si>
  <si>
    <t>p25700026@student.nicmar.ac.in</t>
  </si>
  <si>
    <t>22-Mar-2002</t>
  </si>
  <si>
    <t>9555 7148 6852</t>
  </si>
  <si>
    <t>MANOJ KUMAR SINHA</t>
  </si>
  <si>
    <t>RANJU SINHA</t>
  </si>
  <si>
    <t>Flat No 303 Kishundhari Enclave New Punaichak Patna</t>
  </si>
  <si>
    <t>D A V PUBLIC SCHOOL BSEB COLONY PATNA BIHAR</t>
  </si>
  <si>
    <t>CENTRAL BOARD OF SECONDARY EDUCATION PATNA BIHAR</t>
  </si>
  <si>
    <t>VIDYA NIKETAN PO SARAI MANER DANAPUR PATNA BIHAR</t>
  </si>
  <si>
    <t>KIIT UNIVERSITY BHUBANESWAR ODISHA</t>
  </si>
  <si>
    <t>KALINGA INSTITUTE OF INDUSTRIAL TECHNOLOGY BHUBANESWAR ODISHA</t>
  </si>
  <si>
    <t>SWASTIK INFRALOGICS PVT.LTD | Intern | AURANGABAD BIHAR | May 2023 | Jun 2023 | 4.2857142857143 Weeks
NATIONAL COUNCIL FOR CEMENT AND BUILDING MATERIALS | Intern | BHUBANESWAR ODISHA | Jun 2022 | Jul 2022 | 4.1428571428571 Weeks</t>
  </si>
  <si>
    <t>P25700027</t>
  </si>
  <si>
    <t>ADARSH</t>
  </si>
  <si>
    <t>YAPALPARVI</t>
  </si>
  <si>
    <t>Adarsh Yapalparvi</t>
  </si>
  <si>
    <t>adarsh.01y@gmail.com</t>
  </si>
  <si>
    <t>p25700027@student.nicmar.ac.in</t>
  </si>
  <si>
    <t>27-Sep-2000</t>
  </si>
  <si>
    <t>English, Hindi, Kannada, Telugu</t>
  </si>
  <si>
    <t>8802 5179 6624</t>
  </si>
  <si>
    <t>MANJUNATH</t>
  </si>
  <si>
    <t>LICENSED LAND SURVEYOR</t>
  </si>
  <si>
    <t>SHIVARANJANI</t>
  </si>
  <si>
    <t>S/O MANJUNATH YAPALPARVI_x000D_
NEAR BSNL OFFICE,_x000D_
ABOVE PATANJALI SHOP ,_x000D_
NAVALI ROAD , KARATAGI</t>
  </si>
  <si>
    <t>Koppal</t>
  </si>
  <si>
    <t>S/O Manjunath Yapalparvi, 5th Ward_x000D_
Karatagi, PO: Karatagi</t>
  </si>
  <si>
    <t>SRI VIDYANIKETAN PUBLIC SCHOOL</t>
  </si>
  <si>
    <t>CENTRAL BOARD OF SECONDARY EDUCATION, SRIRAMNAGAR/KARNATAKA</t>
  </si>
  <si>
    <t>ALVAS PRE UNIVERSITY COLLEGE</t>
  </si>
  <si>
    <t>AUTONOMOUS COLLEGE UNDER VISVESYARAYA TECHNOLOGICAL UNIVERSITY</t>
  </si>
  <si>
    <t>B M S COLLEGE OF ENGINEERING BENGALURU/KARNATAKA</t>
  </si>
  <si>
    <t>Shapoorji Pallonji Engineering and Construction | Construction Engineer | Phulbani (Odisha) and Hyderabad | Aug 2023 | Jan 2025 | 1Y 5M | 4.25</t>
  </si>
  <si>
    <t>1 Year 5 Months</t>
  </si>
  <si>
    <t>Rao Construction and Builders | Trainee | Bengaluru | Sep 2022 | Oct 2022 | 4.2857142857143 Weeks</t>
  </si>
  <si>
    <t>P25700029</t>
  </si>
  <si>
    <t>ELDHO</t>
  </si>
  <si>
    <t>V</t>
  </si>
  <si>
    <t>SLEEBA</t>
  </si>
  <si>
    <t>Eldho V Sleeba</t>
  </si>
  <si>
    <t>eldhovsleeba11@gmail.com</t>
  </si>
  <si>
    <t>p25700029@student.nicmar.ac.in</t>
  </si>
  <si>
    <t>5558 3334 8186</t>
  </si>
  <si>
    <t>SLEEBA V PAUL</t>
  </si>
  <si>
    <t>FARM OFFICER</t>
  </si>
  <si>
    <t>BIJI KURIAKOSE</t>
  </si>
  <si>
    <t>Vakkanampadathil House,_x000D_
Kureekkad P.O, Tripunithura</t>
  </si>
  <si>
    <t>KENDRIYA VIDYALAYA NO 2, NAVAL BASE, KOCHI</t>
  </si>
  <si>
    <t>CENTRAL BOARD OF SECONDARY EDUCATION - ERNAKULAM, KERALA</t>
  </si>
  <si>
    <t>MUTHOOT INSTITUTE OF TECHNOLOGY AND SCIENCE - VARIKOLI, ERNAKULAM, KERALA</t>
  </si>
  <si>
    <t>AutoCAD,MS Office,MS Project,REVIT,ETABS</t>
  </si>
  <si>
    <t>Buildit PMC Pvt Ltd. | Site Engineer | Ernakulam, Kerala | Dec 2022 | Sep 2024 | 1Y 8M | 1.8</t>
  </si>
  <si>
    <t>Etabs - Structural 3D Analysis
Revit Architecture
Foundations of Project management
Cambridge English Level 1 Certificate in ESOL International (Business Preliminary)</t>
  </si>
  <si>
    <t>P25700030</t>
  </si>
  <si>
    <t>NIHAL</t>
  </si>
  <si>
    <t>ROY</t>
  </si>
  <si>
    <t>Nihal Roy</t>
  </si>
  <si>
    <t>nihalroyhsp@gmail.com</t>
  </si>
  <si>
    <t>p25700030@student.nicmar.ac.in</t>
  </si>
  <si>
    <t>18-Aug-2000</t>
  </si>
  <si>
    <t>ENGLISH, HINDI, PUNJABI</t>
  </si>
  <si>
    <t>6551 4890 8152</t>
  </si>
  <si>
    <t>HARE RAM ROY</t>
  </si>
  <si>
    <t>BABITA KUMARI</t>
  </si>
  <si>
    <t>B-25/380A, Moh- Sunder Nagar, Po- Rahimpur</t>
  </si>
  <si>
    <t>Hoshiarpur</t>
  </si>
  <si>
    <t>ST.JOSEPH'S CONVENT SCHOOL</t>
  </si>
  <si>
    <t>HOSHIARPUR/PUNJAB</t>
  </si>
  <si>
    <t>2009-Apr</t>
  </si>
  <si>
    <t>SDS VIDYA MANDIR</t>
  </si>
  <si>
    <t>SAMASTIPUR/BIHAR</t>
  </si>
  <si>
    <t>PT.JR GOVT. POLYTECHNIC COLLEGE</t>
  </si>
  <si>
    <t>THAPAR INSTITUTE OF ENGINEERING &amp; TECHNOLOGY (DEEMED-TO-BE-UNIVERSITY)</t>
  </si>
  <si>
    <t>THAPAR INSTITUTE OF ENGINEERING AND TECHNOLOGY</t>
  </si>
  <si>
    <t>Angelica Developers ( A subsidiary of Bharti Realty limited ) | Intern | Aerocity, New Delhi | Jun 2024 | Dec 2024 | 26 Weeks</t>
  </si>
  <si>
    <t>P25700032</t>
  </si>
  <si>
    <t>SAI</t>
  </si>
  <si>
    <t>YEDLA</t>
  </si>
  <si>
    <t>Sai Chand Yedla</t>
  </si>
  <si>
    <t>saichandyedla@gmail.com</t>
  </si>
  <si>
    <t>p25700032@student.nicmar.ac.in</t>
  </si>
  <si>
    <t>30-Aug-2004</t>
  </si>
  <si>
    <t>English, Telugu, and Hindi</t>
  </si>
  <si>
    <t>4538 0362 3480</t>
  </si>
  <si>
    <t>SRINIVASA RAO YEDLA</t>
  </si>
  <si>
    <t>PRIVATE</t>
  </si>
  <si>
    <t>LAVANYA YEDLA</t>
  </si>
  <si>
    <t>36-13-12, KALIMIREDDY VAARI STREET, INNISPETA, RAJAHMUNDRY URBAN, EAST GODAVARI, ANDHRA PRADESH- 533101.</t>
  </si>
  <si>
    <t>East Godavari</t>
  </si>
  <si>
    <t>SRI CHAITANYA TECHNO SCHOOL MORAMPUDI</t>
  </si>
  <si>
    <t>BOARD OF SECONDARY EDUCATION ANDHRA PRADESH</t>
  </si>
  <si>
    <t>PRATHIBHA JUNIOR COLLEGE</t>
  </si>
  <si>
    <t>BOARD OF INTERMEDIATE EDUCATION ANDHRA PRADESH</t>
  </si>
  <si>
    <t>SAGI RAMA KRISHNAM RAJU ENGINEERING COLLEGE</t>
  </si>
  <si>
    <t>AutoCAD,MS Office,MS Project,Primavera,REVIT,CostX</t>
  </si>
  <si>
    <t>Rail India Technical and Economical Services Limited  | Planning Intern | Gurugram  | May 2026 | Jul 2026 | 9.7142857142857 Weeks | Campus Internship
ANDHRA PRADESH POWER GENERATION CORPORATION LIMITED | INTERN | POLAVARAM | Dec 2024 | Apr 2025 | 17.285714285714 Weeks
RASHTRIYA ISPAT NIGAM LIMITED | INTERN | VISAKHAPTNAM | Jul 2024 | Jul 2024 | 3.7142857142857 Weeks
ASCENT CS GLOBAL | INTERN | BHIMAVARAM | Jul 2023 | Sep 2023 | 8.8571428571429 Weeks</t>
  </si>
  <si>
    <t>P25700033</t>
  </si>
  <si>
    <t>HEMANTH</t>
  </si>
  <si>
    <t>GORLE</t>
  </si>
  <si>
    <t>Hemanth Kumar Gorle</t>
  </si>
  <si>
    <t>hemanthkumargorle2003@gmail.com</t>
  </si>
  <si>
    <t>p25700033@student.nicmar.ac.in</t>
  </si>
  <si>
    <t>02-Jul-2003</t>
  </si>
  <si>
    <t>English,Telugu</t>
  </si>
  <si>
    <t>8519 0266 4598</t>
  </si>
  <si>
    <t>GORLE TIRUPATI RAO</t>
  </si>
  <si>
    <t>GORLE VANAJAKSHI</t>
  </si>
  <si>
    <t>Kotta Veedhi_x000D_
Rajagopalapuram_x000D_
Palasa_x000D_
Srikakulam Andhra Pradesh - 532221_x000D_
7093268002</t>
  </si>
  <si>
    <t>Srikakulam</t>
  </si>
  <si>
    <t>SRI CHAITANYA SCHOOL</t>
  </si>
  <si>
    <t>ANDHRA STATE BOARD</t>
  </si>
  <si>
    <t>SRI VISWA JUNIOR COLLEGE</t>
  </si>
  <si>
    <t>GANDHI INSTITUTE OF TECHNOLOGY AND MANAGEMENT</t>
  </si>
  <si>
    <t>GITAM, VISAKHAPATNAM</t>
  </si>
  <si>
    <t>SVS Mookambika  constructions pvt ltd | Intern | visakhapatnam | May 2024 | Jun 2024 | 4.5714285714286 Weeks</t>
  </si>
  <si>
    <t>P25700034</t>
  </si>
  <si>
    <t>BHARATH</t>
  </si>
  <si>
    <t>KOYYA</t>
  </si>
  <si>
    <t>Bharath Koyya</t>
  </si>
  <si>
    <t>p25700034@student.nicmar.ac.in</t>
  </si>
  <si>
    <t>09-May-2004</t>
  </si>
  <si>
    <t>English, Hindi, Telugu</t>
  </si>
  <si>
    <t>8038 3840 6926</t>
  </si>
  <si>
    <t>KOYYA APPALANAIDU</t>
  </si>
  <si>
    <t>KOYYA PADMA</t>
  </si>
  <si>
    <t>14-35/2, G. Thimmapuram, Near Vignan World One School, Visakhapatnam, Andhra Pradesh.</t>
  </si>
  <si>
    <t>THE PRESIDENTIAL SCHOOL</t>
  </si>
  <si>
    <t>CBSE, VISAKHAPATNAM</t>
  </si>
  <si>
    <t>RAVI JUNIOR COLLEGE</t>
  </si>
  <si>
    <t>SSC, VISAKHAPATNAM</t>
  </si>
  <si>
    <t>AutoCAD,MS Office,MS Project,Primavera,CostX,Revit</t>
  </si>
  <si>
    <t>SVS MOOKAMBIKA | INTERN | VISAKHAPATNAM | May 2024 | Jun 2024 | 4.5714285714286 Weeks</t>
  </si>
  <si>
    <t>P25700035</t>
  </si>
  <si>
    <t>AKSHITA</t>
  </si>
  <si>
    <t>ARUN</t>
  </si>
  <si>
    <t>BURANDE</t>
  </si>
  <si>
    <t>Akshita Arun Burande</t>
  </si>
  <si>
    <t>akshitaburande85@gmail.com</t>
  </si>
  <si>
    <t>p25700035@student.nicmar.ac.in</t>
  </si>
  <si>
    <t>17-Jul-2000</t>
  </si>
  <si>
    <t>English, Hindi &amp; Marathi</t>
  </si>
  <si>
    <t>7033 0970 6210</t>
  </si>
  <si>
    <t>ARUN PARASHRAMJI BURANDE</t>
  </si>
  <si>
    <t>ASHA ARUN BURANDE</t>
  </si>
  <si>
    <t>283, Jaidurga Society No.1, Near Vitthal Rukmini Mandir,  Narendra Nagar, Nagpur</t>
  </si>
  <si>
    <t>R.S. MUNDLE ENGLISH SCHOOL</t>
  </si>
  <si>
    <t>SANTAJI MAHAVIDYALAYA</t>
  </si>
  <si>
    <t>SMT. MANORAMABAI MUNDLE COLLEGE OF ARCHITECTURE</t>
  </si>
  <si>
    <t>AutoCAD,MS Office,MS Project,Autodesk Revit,Rhinoceros 3D,Lumion,Sketchup,Photoshop</t>
  </si>
  <si>
    <t>Collective Praxis DPM LLP | Junior Architect | Nagpur | Jun 2024 | Jun 2025 | 0Y 11M | 1.44
SUPPOSE ARCHITECTURE STUDIO | Junior Architect | Nagpur | Oct 2023 | May 2024 | 0Y 7M | 1.2</t>
  </si>
  <si>
    <t>1 Year 7 Months</t>
  </si>
  <si>
    <t>Archi Builders and Developers Pvt. Ltd | Project Management Intern | Nagpur  | May 2026 | Jul 2026 | 8 Weeks | Campus Internship
D.Studio Architects | Intern | Nagpur | Aug 2022 | Oct 2022 | 9 Weeks
Shitesh Agrawal Architects | Intern | Pune | Feb 2022 | Jul 2022 | 25.571428571429 Weeks</t>
  </si>
  <si>
    <t>P25700036</t>
  </si>
  <si>
    <t>NAMITHA</t>
  </si>
  <si>
    <t>SHARAN</t>
  </si>
  <si>
    <t>A</t>
  </si>
  <si>
    <t>Namitha Sharan A</t>
  </si>
  <si>
    <t>namithamba2025@gmail.com</t>
  </si>
  <si>
    <t>p25700036@student.nicmar.ac.in</t>
  </si>
  <si>
    <t>05-May-2004</t>
  </si>
  <si>
    <t>English,Tamil,Hindi</t>
  </si>
  <si>
    <t>7746 8480 1756</t>
  </si>
  <si>
    <t>ALWIN GNANASEHAR.S</t>
  </si>
  <si>
    <t>HEMALATHA.A</t>
  </si>
  <si>
    <t>6/21,7TH,STREET ,NEHRU COLONY,NANGANALLUR,CHENNAI 6000114</t>
  </si>
  <si>
    <t>Chennai</t>
  </si>
  <si>
    <t>PRINCE MATRICULATION HIGHER SECONDARY SCHOOL</t>
  </si>
  <si>
    <t>COLLEGE OF ENGINEERING, GUINDY</t>
  </si>
  <si>
    <t>AutoCAD,MS Office,MS Project,Primavera,Cost X,Revit</t>
  </si>
  <si>
    <t>LARSEN &amp; TOUBRO | INTERN-EDRC DEPARTMENT  | MANAPAKKAM ,CHENNAI,TAMILNADU. | Jun 2024 | Jul 2024 | 4.2857142857143 Weeks</t>
  </si>
  <si>
    <t>Finance for Non-Financial Managers
TBMs,Pile Rigs,Cranes &amp; Hauling Vehicles
Construction Equipment Maintenance &amp; Safety</t>
  </si>
  <si>
    <t>P25700037</t>
  </si>
  <si>
    <t>UTKARSH</t>
  </si>
  <si>
    <t>VILASRAO</t>
  </si>
  <si>
    <t>SATHE</t>
  </si>
  <si>
    <t>Utkarsh Vilasrao Sathe</t>
  </si>
  <si>
    <t>satheutkarsh456@gmail.com</t>
  </si>
  <si>
    <t>p25700037@student.nicmar.ac.in</t>
  </si>
  <si>
    <t>12-Feb-2000</t>
  </si>
  <si>
    <t>7056 5553 1904</t>
  </si>
  <si>
    <t>LABOUR</t>
  </si>
  <si>
    <t>NISHA</t>
  </si>
  <si>
    <t>HOUSE NO.381,WARD NO.12,SUBHASH CHOWK,GOND PLOT.</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</si>
  <si>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</si>
  <si>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</si>
  <si>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</si>
  <si>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</si>
  <si>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DR. BABASAHEB AMBEDKAR TECHNOLOGICAL UNIVERSITY,LONERE</t>
  </si>
  <si>
    <t>BAJAJ INSTITUTE OF TECHNOLOGY,WARDHA,MAHARASHTRA</t>
  </si>
  <si>
    <t>AutoCAD,MS Office,Revit-architecture</t>
  </si>
  <si>
    <t>PWD | TRAINEE EXECUTION ENGINEER | SELOO, WARDHA | Feb 2022 | Jul 2022 | 25.571428571429 Weeks</t>
  </si>
  <si>
    <t>P25700038</t>
  </si>
  <si>
    <t>SANKET</t>
  </si>
  <si>
    <t>KANHERE</t>
  </si>
  <si>
    <t>Sanket Vijay Kanhere</t>
  </si>
  <si>
    <t>sanketkanhere03@gmail.com</t>
  </si>
  <si>
    <t>p25700038@student.nicmar.ac.in</t>
  </si>
  <si>
    <t>22-Feb-2003</t>
  </si>
  <si>
    <t>3298 9198 3819</t>
  </si>
  <si>
    <t>VIJAY KANHERE</t>
  </si>
  <si>
    <t>MAYA KANHERE</t>
  </si>
  <si>
    <t>Plot No. 36 S/E Railway Coloney Pratap Nagar, Nagpur</t>
  </si>
  <si>
    <t>NARAYANA VIDYALAYAM</t>
  </si>
  <si>
    <t>CBSE, NAGPUR/MAHARASHTRA</t>
  </si>
  <si>
    <t>MKH SANCHETI PUBLIC SCHOOL AND COLLEGE</t>
  </si>
  <si>
    <t>STATE BOARD , NAGPUR/MAHARASHTRA</t>
  </si>
  <si>
    <t>YESHWANTRAO CHAVAN COLLEGE OF ENGINEERING, NAGPUR/MAHARASTRA</t>
  </si>
  <si>
    <t>AutoCAD,MS Office,MS Project,Primavera,Revit,Staad Pro</t>
  </si>
  <si>
    <t>Sagar Skyscrapers LLP | Junior Trainee Engineer | Manjri, Pune | May 2026 | Jun 2026 | 7.7142857142857 Weeks | Campus Internship
Siddh Constructions |  Intern- Site Execution | Nagpur  | Jan 2025 | Apr 2025 | 16.714285714286 Weeks</t>
  </si>
  <si>
    <t>P25700039</t>
  </si>
  <si>
    <t>LALNGHAKLIEN</t>
  </si>
  <si>
    <t>CHONZIK</t>
  </si>
  <si>
    <t>Joseph Lalnghaklien Chonzik</t>
  </si>
  <si>
    <t>jojochonzik@gmail.com</t>
  </si>
  <si>
    <t>p25700039@student.nicmar.ac.in</t>
  </si>
  <si>
    <t>30-Nov-1998</t>
  </si>
  <si>
    <t>English, Hindi, Assamese, Hmar</t>
  </si>
  <si>
    <t>7155 1093 1588</t>
  </si>
  <si>
    <t>CHAWNGROLIEN CHONZIK</t>
  </si>
  <si>
    <t>RACHEL CHONZIK</t>
  </si>
  <si>
    <t>3C Nirvana Enclave, Basisthapur Byelane 3, Beltola, Guwahati</t>
  </si>
  <si>
    <t>Kamrup Metropolitan</t>
  </si>
  <si>
    <t>Assam</t>
  </si>
  <si>
    <t>DON BOSCO SCHOOL</t>
  </si>
  <si>
    <t>CENTRAL BOARD OF SECONDARY EDUCATION, GUWAHATI</t>
  </si>
  <si>
    <t>SCHOOL OF PLANNING AND ARCHITECTURE</t>
  </si>
  <si>
    <t>SCHOOL OF PLANNING AND ARCHITECTURE, BHOPAL</t>
  </si>
  <si>
    <t>AutoCAD,MS Office,MS Project,Primavera,Sketchup,Photoshop</t>
  </si>
  <si>
    <t>Myriad Hues | Junior Architect | Bangalore | May 2023 | Oct 2024 | 1Y 4M | 2.16</t>
  </si>
  <si>
    <t>1 Year 4 Months</t>
  </si>
  <si>
    <t>Sustainable Organisation for Innovation and Living | Intern architect | Namchi, Sikkim | Jun 2021 | Dec 2021 | 25.857142857143 Weeks</t>
  </si>
  <si>
    <t>P25700041</t>
  </si>
  <si>
    <t>SADICHHA</t>
  </si>
  <si>
    <t>PATTNAIK</t>
  </si>
  <si>
    <t>Sadichha Pattnaik</t>
  </si>
  <si>
    <t>sadichhapattnaik@gmail.com</t>
  </si>
  <si>
    <t>p25700041@student.nicmar.ac.in</t>
  </si>
  <si>
    <t>22-Mar-1998</t>
  </si>
  <si>
    <t>English,Hindi,Odia</t>
  </si>
  <si>
    <t>7504 7167 5175</t>
  </si>
  <si>
    <t>BIBHUTI BHUSAN PATTNAIK</t>
  </si>
  <si>
    <t>SANJU PATTNAIK</t>
  </si>
  <si>
    <t>LECTURER</t>
  </si>
  <si>
    <t>PLOT.NO-317C, Infront Of The Emerald Apartment, Laxmisagar</t>
  </si>
  <si>
    <t>DAV PUBLIC SCHOOL,UNIT-VIII,BHUBANESWAR</t>
  </si>
  <si>
    <t>CENTRAL BOARD OF SECONDARY EDUCATION, BHUBANESWAR,ODISHA</t>
  </si>
  <si>
    <t>BJB JUNIOR COLLEGE, BHUBANESWAR</t>
  </si>
  <si>
    <t>COUNCIL OF HIGHER SECONDARY EDUCATION, BHUBANESWAR, ODISHA</t>
  </si>
  <si>
    <t>2013-Jul</t>
  </si>
  <si>
    <t>VEER SURENDRA SAI UNIVERSITY OF TECHNOLOGY,BURLA</t>
  </si>
  <si>
    <t>M.Tech</t>
  </si>
  <si>
    <t>AutoCAD,MS Office,MS Project,Primavera,STAAD Pro.</t>
  </si>
  <si>
    <t>MINISTRY OF HOUSING AND URBAN AFFAIRS | TULIP INTERN at Bhubaneswar Municipal Corporation | BHUBANESWAR | Feb 2024 | Feb 2025 | 52.142857142857 Weeks
CENTRAL PUBLIC WORKS DEPARTMENT | INTERN | BHUBANESWAR | May 2019 | Jun 2019 | 4.4285714285714 Weeks
Central Tool Room and Training Center | Intern | Bhubaneswar | Jun 2019 | Jun 2019 | 4 Weeks</t>
  </si>
  <si>
    <t>P25700042</t>
  </si>
  <si>
    <t>SANJYOT</t>
  </si>
  <si>
    <t>Sanjyot S</t>
  </si>
  <si>
    <t>sanjyot1215@gmail.com</t>
  </si>
  <si>
    <t>p25700042@student.nicmar.ac.in</t>
  </si>
  <si>
    <t>15-Dec-1999</t>
  </si>
  <si>
    <t>English,Hindi, Marathi</t>
  </si>
  <si>
    <t>9863 6603 3981</t>
  </si>
  <si>
    <t>SOMESHWAR SULGADLE</t>
  </si>
  <si>
    <t>JYOTI SULGADLE</t>
  </si>
  <si>
    <t>Trupti Plot No. 66 Yogi Rajendra Nagar Vijapur Road Solapur</t>
  </si>
  <si>
    <t>SULGADLE SANJYOT SOMESHWAR</t>
  </si>
  <si>
    <t>2005-Jun</t>
  </si>
  <si>
    <t>SRI CHAITANYA JUNIOR KALASALA</t>
  </si>
  <si>
    <t>SOLAPUR UNIVERISTY</t>
  </si>
  <si>
    <t>WALCHAND INSTITUTE OF TECHNOLOGY, SOLAPUR</t>
  </si>
  <si>
    <t>SOLAPUR UNIVERSITY</t>
  </si>
  <si>
    <t>AutoCAD,MS Office,MS Project,Primavera,Staad Pro,ETABS,Navisworks</t>
  </si>
  <si>
    <t>Spec Technical Solutions Pvt Ltd | Trainee Civil Engineer  | Belapur CBD | Apr 2024 | Jun 2025 | 1Y 2M | 2.65</t>
  </si>
  <si>
    <t>Banglore Metro Rail Corporation Limited | Execution | Casting Yard, Bagluru Cross, Yelahanka, Banglore. | May 2026 | Jul 2026 | 8.7142857142857 Weeks | Campus Internship
RAJ UTTARA GROUP | SITE ENGINEER  | DHARASHIV | Apr 2023 | Mar 2024 | 51.571428571429 Weeks</t>
  </si>
  <si>
    <t>P25700043</t>
  </si>
  <si>
    <t>BHAIRAVI</t>
  </si>
  <si>
    <t>DINESH</t>
  </si>
  <si>
    <t>Bhairavi Dinesh Patil</t>
  </si>
  <si>
    <t>bhairavi.d.patil@gmail.com</t>
  </si>
  <si>
    <t>p25700043@student.nicmar.ac.in</t>
  </si>
  <si>
    <t>23-Aug-2001</t>
  </si>
  <si>
    <t>ENGLISH, HINDI, KANNADA, MARATHI</t>
  </si>
  <si>
    <t>2971 2585 9001</t>
  </si>
  <si>
    <t>DINESH V PATIL</t>
  </si>
  <si>
    <t>DEEPA D PATIL</t>
  </si>
  <si>
    <t>'Shri Mataurobindo Krupa', #10 SBI Colony, Keshav Nagar, Dharwad</t>
  </si>
  <si>
    <t>Dharwad</t>
  </si>
  <si>
    <t>SMT. VIDYA P HANCHINMANI</t>
  </si>
  <si>
    <t>GOVERNMENT OF KARNATAKA</t>
  </si>
  <si>
    <t>KLE TECHNOLOGICAL UNIVERSITY</t>
  </si>
  <si>
    <t>KLE TECHNOLOGICAL UNIVERSITY HUBBALLI</t>
  </si>
  <si>
    <t>AutoCAD,MS Office,MS Project,Primavera,Revit,SketchUp,CostX</t>
  </si>
  <si>
    <t>Chandroo Iyer Associates | Junior Architect | Bangalore | Aug 2023 | Oct 2024 | 1Y 2M | 3.06</t>
  </si>
  <si>
    <t>THINKSPACE ARCHITECTS | ARCHITECTAL INTERN | HUBBALLI | Jan 2022 | May 2022 | 17.714285714286 Weeks</t>
  </si>
  <si>
    <t>P25700044</t>
  </si>
  <si>
    <t>MUKTHAR</t>
  </si>
  <si>
    <t>SAMAD</t>
  </si>
  <si>
    <t>Mukthar A Samad</t>
  </si>
  <si>
    <t>mukthar.samad02@gmail.com</t>
  </si>
  <si>
    <t>p25700044@student.nicmar.ac.in</t>
  </si>
  <si>
    <t>29-Apr-2002</t>
  </si>
  <si>
    <t>English,Malayalam</t>
  </si>
  <si>
    <t>6435 7597 6630</t>
  </si>
  <si>
    <t>C I ABDUL SAMAD</t>
  </si>
  <si>
    <t>SAFIYA SAMAD</t>
  </si>
  <si>
    <t>Fathima Manzil Pallarimangalam PO Pallarimangalam Kothamangalam</t>
  </si>
  <si>
    <t>THE VILLAGE INTERNATIONAL SCHOOL THODUPUZHA</t>
  </si>
  <si>
    <t>A. P. J. ABDUL KALAM TECHNOLOGICAL UNIVERSITY, THIRUVANANTHAPURAM</t>
  </si>
  <si>
    <t>MAR ATHANASIUS COLLEGE OF ENGINEERING KOTHAMANGALAM</t>
  </si>
  <si>
    <t>2020-Oct</t>
  </si>
  <si>
    <t>Econstruct Design &amp; Build Pvt. Ltd. | Summer Intern | Bangalore | May 2026 | Jun 2026 | 8.1428571428571 Weeks | Campus Internship
EKK INFRASTRUCTURE LIMITED | Intern | Chalakudy | May 2023 | May 2023 | 1.4285714285714 Weeks</t>
  </si>
  <si>
    <t>P25700045</t>
  </si>
  <si>
    <t>SANAD</t>
  </si>
  <si>
    <t>SHUAIB</t>
  </si>
  <si>
    <t>Sanad Shuaib</t>
  </si>
  <si>
    <t>sanadpalasseri@gmail.com</t>
  </si>
  <si>
    <t>p25700045@student.nicmar.ac.in</t>
  </si>
  <si>
    <t>03-Nov-2000</t>
  </si>
  <si>
    <t>ENGLISH ,HINDI ,MALAYALAM</t>
  </si>
  <si>
    <t>7861 5655 0668</t>
  </si>
  <si>
    <t>SHUAIB PALASSERI</t>
  </si>
  <si>
    <t>LATHEEFA SHUAIB</t>
  </si>
  <si>
    <t>Fathima Mahal, Manattiparambu, Vengara, P.O. Valiyora Malappuram 676304</t>
  </si>
  <si>
    <t>GULF ASIAN ENGLISH SCHOOL SHARJAH U.A.E</t>
  </si>
  <si>
    <t>CENTRAL BOARD OF SECONDARY EDUCATION ,SHARJAH ,U.A.E</t>
  </si>
  <si>
    <t>A.P.J. ABDUL KALAM TECHNOLOGICAL UNIVERSITY, KERALA</t>
  </si>
  <si>
    <t>MEA ENGINEERING COLLEGE, PERINTHALMANNA, MALAPPURAM, KERALA</t>
  </si>
  <si>
    <t>Bangalore Metro Rail Corporation Ltd. | Site Execution and Site Engineer |  Phase-2B/Package-2 ,Yelahanka ,Bangalore , Karnataka | May 2026 | Jul 2026 | 8.7142857142857 Weeks | Campus Internship</t>
  </si>
  <si>
    <t>AUTOCAD</t>
  </si>
  <si>
    <t>P25700046</t>
  </si>
  <si>
    <t>SWEETY</t>
  </si>
  <si>
    <t>DILIP</t>
  </si>
  <si>
    <t>DALVI</t>
  </si>
  <si>
    <t>Sweety Dilip Dalvi</t>
  </si>
  <si>
    <t>sweetydalvi11@gmail.com</t>
  </si>
  <si>
    <t>p25700046@student.nicmar.ac.in</t>
  </si>
  <si>
    <t>11-Dec-2001</t>
  </si>
  <si>
    <t>3925 4251 9174</t>
  </si>
  <si>
    <t>DILIP DALVI</t>
  </si>
  <si>
    <t>SUNITA DALVI</t>
  </si>
  <si>
    <t>HOUSE-WIFE</t>
  </si>
  <si>
    <t>Sr. No. 56/5, Samarth Nagar, Near Old Kharadi Jakat Naka, Kharadi</t>
  </si>
  <si>
    <t>ST. FRANCIS DE SALES HIGH SCHOOL</t>
  </si>
  <si>
    <t>PUNE, MAHARASHTRA</t>
  </si>
  <si>
    <t>CUSROW WADIA INSTITUTE OF TECHNOLOGY, PUNE, MAHARASHTRA</t>
  </si>
  <si>
    <t>DHOLE PATIL COLLEGE OF ENGINEERING, PUNE, MAHARASHTRA</t>
  </si>
  <si>
    <t>iResearch Services | Associate | Pune | Jul 2023 | Jun 2025 | 1Y 10M | 5.3</t>
  </si>
  <si>
    <t>Guru Construction | Intern | Pune | May 2022 | Jun 2022 | 4.4285714285714 Weeks</t>
  </si>
  <si>
    <t>P25700048</t>
  </si>
  <si>
    <t>Sachin Yadav</t>
  </si>
  <si>
    <t>sachinyadav6777@gmail.com</t>
  </si>
  <si>
    <t>p25700048@student.nicmar.ac.in</t>
  </si>
  <si>
    <t>01-Nov-2001</t>
  </si>
  <si>
    <t>O-ve</t>
  </si>
  <si>
    <t>6318 4287 4504</t>
  </si>
  <si>
    <t>SUKHBIR SINGH</t>
  </si>
  <si>
    <t>ARMY</t>
  </si>
  <si>
    <t>POONAM DEVI</t>
  </si>
  <si>
    <t>124,LEHRODA,NARNAUL,MAHENDRAGARH,HARYANA(123001)</t>
  </si>
  <si>
    <t>Mahendragarh</t>
  </si>
  <si>
    <t>ARMY PUBLIC SCHOOL UDHAMPUR J&amp;K</t>
  </si>
  <si>
    <t>M R PUB SCH VILL. MITTERPURA DT MOHINDERGARH HRY</t>
  </si>
  <si>
    <t>NIMS UNIVERSITY RAJASTHAN</t>
  </si>
  <si>
    <t>AutoCAD,MS Office,MS Project,Primavera,REVIT</t>
  </si>
  <si>
    <t>DLF Home Developers Limited  | Planning and Execution | GURUGRAM | May 2026 | Jul 2026 | 8 Weeks | Campus Internship
DLF Limited | INTERN | GURUGRAM | Jun 2023 | Jul 2023 | 4.4285714285714 Weeks
KRISHNA BUILDESTATES PVT LTD | JUNIOR ENGINEER  | GURUGRAM | Apr 2025 | Jun 2025 | 10 Weeks
ULTRATECH | ASSISTANT CHEMIST | PUNE | Jan 2025 | Feb 2025 | 5.1428571428571 Weeks</t>
  </si>
  <si>
    <t>P25700049</t>
  </si>
  <si>
    <t>CHANDRALIKA</t>
  </si>
  <si>
    <t>BORAH</t>
  </si>
  <si>
    <t>Chandralika Borah</t>
  </si>
  <si>
    <t>chandralika2001@gmail.com</t>
  </si>
  <si>
    <t>p25700049@student.nicmar.ac.in</t>
  </si>
  <si>
    <t>20-Oct-2001</t>
  </si>
  <si>
    <t>ENGLISH,HINDI,ASSAMESE</t>
  </si>
  <si>
    <t>9116 7055 3856</t>
  </si>
  <si>
    <t>PUTUL KUMAR BORAH</t>
  </si>
  <si>
    <t>SWAPNALI BORAH</t>
  </si>
  <si>
    <t>B.O.C GATE, LANE NO. 3_x000D_
P.O DULIAJAN, DIST DIBRUGARH_x000D_
ASSAM</t>
  </si>
  <si>
    <t>Dibrugarh</t>
  </si>
  <si>
    <t>DELHI PUBLIC SCHOOL,DULIAJAN</t>
  </si>
  <si>
    <t>CENTRAL BOARD OF SECONDARY EDUCATION,DELHI</t>
  </si>
  <si>
    <t>ASSAM SCIENCE AND TECHNOLOGY UNIVERSITY</t>
  </si>
  <si>
    <t>GIRIJANANDA CHOWDHURY INSTITUTE OF MANAGEMENT AND TECHNOLOGY,AZARA</t>
  </si>
  <si>
    <t xml:space="preserve">AutoCAD,MS Office,MS Project, Primavera </t>
  </si>
  <si>
    <t>Shilpkar Construction Private Limited  | Project Planning and Management Intern  | DELHI-NCR | May 2026 | Jun 2026 | 8.1428571428571 Weeks | Campus Internship
OIL INDIA LIMITED, DULIAJAN | CIVIL ENGINEERING | DULIAJAN,ASSAM | Aug 2022 | Sep 2022 | 3.5714285714286 Weeks</t>
  </si>
  <si>
    <t>P25700050</t>
  </si>
  <si>
    <t>DIVYANGI</t>
  </si>
  <si>
    <t>GAUR</t>
  </si>
  <si>
    <t>Divyangi Gaur</t>
  </si>
  <si>
    <t>divyangigaur2000@gmail.com</t>
  </si>
  <si>
    <t>p25700050@student.nicmar.ac.in</t>
  </si>
  <si>
    <t>28-May-2000</t>
  </si>
  <si>
    <t>HINDI AND ENGLISH</t>
  </si>
  <si>
    <t>6856 6515 9949</t>
  </si>
  <si>
    <t>SAMEER GAUR</t>
  </si>
  <si>
    <t>KAMINI GAUR</t>
  </si>
  <si>
    <t>B5/217, Deluxe Apartment Vasundhara Enclave, New Delhi -96</t>
  </si>
  <si>
    <t>East Delhi</t>
  </si>
  <si>
    <t>VISHWA BHARATI PUBLIC SCHOOL</t>
  </si>
  <si>
    <t>CENTRAL BOARD OF SECONDARY EDUCATION , NOIDA/ UTTAR PRADESH</t>
  </si>
  <si>
    <t>INTEGRAL UNIVERSITY, LUCKNOW</t>
  </si>
  <si>
    <t>FACULTY OF ARCHITECTURE, PLANNING AND DESIGN, INTEGRAL UNIVERSITY, LUCKNOW</t>
  </si>
  <si>
    <t>AutoCAD,MS Excel,Sketchup,Autodesk Revit,MS Power Point,Photoshop,Lumion, MSP, Primavera, Navisworks, CostX</t>
  </si>
  <si>
    <t>Oasis Design Inc | Architect | New Delhi | Oct 2023 | Jun 2025 | 1Y 8M | 4.2</t>
  </si>
  <si>
    <t>Edifice Consultants Pvt. Ltd. | Intern | Mumbai | Feb 2022 | May 2022 | 15.428571428571 Weeks</t>
  </si>
  <si>
    <t>Council of Architecture, Certificate of Registration</t>
  </si>
  <si>
    <t>P25700051</t>
  </si>
  <si>
    <t>SANJAYKUMAR</t>
  </si>
  <si>
    <t>KOKANE</t>
  </si>
  <si>
    <t>Vaishnavi Sanjaykumar Kokane</t>
  </si>
  <si>
    <t>vaishnavikokanevk@gmail.com</t>
  </si>
  <si>
    <t>p25700051@student.nicmar.ac.in</t>
  </si>
  <si>
    <t>13-Aug-2002</t>
  </si>
  <si>
    <t>5435 8671 7688</t>
  </si>
  <si>
    <t>SANJAYKUMAR KOKANE</t>
  </si>
  <si>
    <t>EXECUTIVE ENGINEER PWD</t>
  </si>
  <si>
    <t>JYOTI KOKANE</t>
  </si>
  <si>
    <t>604, The Status, Opp. CCM, Forest Colony, Parijat Nagar, Untwadi, Nashik, 422008</t>
  </si>
  <si>
    <t>SANJIVANI ACADEMY</t>
  </si>
  <si>
    <t>CBSE MAHARASHTRA</t>
  </si>
  <si>
    <t>SANJIVANI POLYTECHNIC, KOPARGAON, MAHARASHTRA</t>
  </si>
  <si>
    <t>MIT WORLD PEACE UNIVERSITY, PUNE</t>
  </si>
  <si>
    <t xml:space="preserve">Primavera P6, MS Project, Excel, AutoCAD, Revit, NavisWorks, CostX </t>
  </si>
  <si>
    <t>Masin Projects Private Limited | Intern - Delay  | Gurgaon | May 2026 | Jul 2026 | 8.7142857142857 Weeks | Campus Internship
PWD | Intern  | Ratnagiri | Aug 2024 | Jun 2025 | 43.142857142857 Weeks</t>
  </si>
  <si>
    <t>Digitalisation Tools for Sustainable and Resilient Infrastructure System, organised by IIT Jodhpur â€“ Technology, Innovation &amp; Start-up Centre.
Finance for Non-Financial Managers.
Microsoft Excel:Beginner to Advanced in animation 2025 + AI</t>
  </si>
  <si>
    <t>P25700052</t>
  </si>
  <si>
    <t>TUSHAR</t>
  </si>
  <si>
    <t>BARATE</t>
  </si>
  <si>
    <t>Tushar Barate</t>
  </si>
  <si>
    <t>tbarate641@gmail.com</t>
  </si>
  <si>
    <t>p25700052@student.nicmar.ac.in</t>
  </si>
  <si>
    <t>12-Nov-2000</t>
  </si>
  <si>
    <t>9295 1785 7805</t>
  </si>
  <si>
    <t>BHAUSAHEB</t>
  </si>
  <si>
    <t>MIRABAI</t>
  </si>
  <si>
    <t>At Waghapur , Post- Kotul , Tal- Akole, Dist- Ahmednagar</t>
  </si>
  <si>
    <t>MOTHER MARY ENGLISH HIGH SCHOOL</t>
  </si>
  <si>
    <t>DR DEVENDRA AMRUTLAL OHARA JUNIOR COLLEGE</t>
  </si>
  <si>
    <t>DY PATIL COLLEGE OF ENGINEERING AKURDI, PUNE</t>
  </si>
  <si>
    <t>AutoCAD,MS Office,REVIT Architecture,Staad Pro</t>
  </si>
  <si>
    <t>JAGTAP INFRAVENTURES INDIA Pvt.Ltd | Site Engineer | kolhar, Tal-Rahuri, Dist- Ahmednagar | Sep 2023 | May 2025 | 1Y 8M | 3</t>
  </si>
  <si>
    <t>R.K. CONSTRUCTION Civil Engg &amp; Contractor | Intern | Sangli | Jan 2022 | Feb 2022 | 4.4285714285714 Weeks</t>
  </si>
  <si>
    <t>P25700054</t>
  </si>
  <si>
    <t>TEJAS</t>
  </si>
  <si>
    <t>JANARDHAN</t>
  </si>
  <si>
    <t>PADKONDE</t>
  </si>
  <si>
    <t>Tejas Janardhan Padkonde</t>
  </si>
  <si>
    <t>tejasjp2001@gmail.com</t>
  </si>
  <si>
    <t>p25700054@student.nicmar.ac.in</t>
  </si>
  <si>
    <t>10-Nov-2001</t>
  </si>
  <si>
    <t>English, Hindi, Marathi, Arabic</t>
  </si>
  <si>
    <t>6395 1503 8710</t>
  </si>
  <si>
    <t>RANI</t>
  </si>
  <si>
    <t>Bright Parl Apartment,Desai Nagar, Latur,Maharashtra</t>
  </si>
  <si>
    <t>INDIAN SCHOOL MULADHA</t>
  </si>
  <si>
    <t>CENTRAL BOARD OF SECONDARY EDUCATION/ MULADHA/SULTANATE OF OMAN</t>
  </si>
  <si>
    <t>PURANMAL LAHOTI GOVERNMENT POLYTECHNIC ,LATUR, MAHARASHTRA</t>
  </si>
  <si>
    <t>BRACT'S, VISHWAKARMA INSTITUTE OF INFORMATION TECHNOLOGY, PUNE, MAHARASHTRA</t>
  </si>
  <si>
    <t>2025-may</t>
  </si>
  <si>
    <t>AutoCAD,MS Office,MS Project,Primavera,SKETCH-UP,Auto level</t>
  </si>
  <si>
    <t>GRANT THORTRN BHARAT  | Transformation consultant-Digi govt intern | PUNE | May 2026 | Jul 2026 | 6.1428571428571 Weeks | Campus Internship
SDS SURVEYORS AND ENGINEERS PVT LTD | TRAINEE  | Office No. 12, 2nd Floor, PS Angan Society, Magarpatta South Gate, Hadapsar Pune | Jan 2025 | May 2025 | 20 Weeks</t>
  </si>
  <si>
    <t>P25700055</t>
  </si>
  <si>
    <t>MANIDEEP</t>
  </si>
  <si>
    <t>BASA</t>
  </si>
  <si>
    <t>Manideep Basa</t>
  </si>
  <si>
    <t>basamanideep45@gmail.com</t>
  </si>
  <si>
    <t>p25700055@student.nicmar.ac.in</t>
  </si>
  <si>
    <t>24-Jul-2003</t>
  </si>
  <si>
    <t>ENGLISH, TELUGU, HINDI</t>
  </si>
  <si>
    <t>2794 7250 2516</t>
  </si>
  <si>
    <t>PAVAN KUMAR</t>
  </si>
  <si>
    <t>GOVT.EMPLOYEE</t>
  </si>
  <si>
    <t>SHOBHA RANI</t>
  </si>
  <si>
    <t>9-6-70, RAMNAGAR, KARIMNAGAR, 505001</t>
  </si>
  <si>
    <t>Karimnagar</t>
  </si>
  <si>
    <t>MILLENNIUM HIGH SCHOOL</t>
  </si>
  <si>
    <t>HANUMAKONDA, WARANGAL, TELANGANA</t>
  </si>
  <si>
    <t>GOVENMENT POLYTECHNIC, HUSNABAD(636), HUSNABAD, SIDDIPET</t>
  </si>
  <si>
    <t>SREENIDHI INSTITUTE OF SCIENCE AND TECHNOLOGY, YAMNAMPET, GHATKESHAR, HYDERABAD</t>
  </si>
  <si>
    <t>2022-Oct</t>
  </si>
  <si>
    <t>AutoCAD,MS Office,MS Project,REVIT</t>
  </si>
  <si>
    <t>Bhate and Raje Construction Co.Pvt.Ltd | QA/QC Intern | Navi Mumbai,Airoli | May 2026 | Jul 2026 | 8.5714285714286 Weeks | Campus Internship</t>
  </si>
  <si>
    <t>NPTEL German-1 Online Course</t>
  </si>
  <si>
    <t>P25700056</t>
  </si>
  <si>
    <t>PRITHVI</t>
  </si>
  <si>
    <t>ANANTHA</t>
  </si>
  <si>
    <t>AKIRI</t>
  </si>
  <si>
    <t>Prithvi Anantha Akiri</t>
  </si>
  <si>
    <t>rprithvi552@gmail.com</t>
  </si>
  <si>
    <t>p25700056@student.nicmar.ac.in</t>
  </si>
  <si>
    <t>10-Apr-1999</t>
  </si>
  <si>
    <t>6636 7652 5887</t>
  </si>
  <si>
    <t>AKIRI CHAKRADHAR</t>
  </si>
  <si>
    <t>AKIRI SWARNALATHA</t>
  </si>
  <si>
    <t>Dhanush Enclave FF3 Beside Y2K Park Srilakshmi Nagar_x000D_
Sujatha Nagar Visakhapatnam 530051</t>
  </si>
  <si>
    <t>LITTLE ROCK INDIAN SCHOOL</t>
  </si>
  <si>
    <t>KARNATAKA</t>
  </si>
  <si>
    <t>ANDHRA PRADESH</t>
  </si>
  <si>
    <t>PRIST UNIVERSITY</t>
  </si>
  <si>
    <t>PRIST UNIVERSITY, THANJAVUR</t>
  </si>
  <si>
    <t>Megha Engineering and Infrastructure Limited | Graduate Engineer Trainee | Kasaragod, Kerala | Jan 2023 | Jan 2024 | 0Y 11M | 2.24
Vishwa Samudra Engineering Pvt Ltd | Junior Engineer | Kollam, Kerala | Feb 2024 | Sep 2024 | 0Y 6M | 4.15
Rithwik Projects Pvt Ltd | Engineer | Navi Mumbai, Maharashtra  | Oct 2024 | Jul 2025 | 0Y 8M | 4.2</t>
  </si>
  <si>
    <t>2 Years 3 Months</t>
  </si>
  <si>
    <t>P25700057</t>
  </si>
  <si>
    <t>DHARSHAN</t>
  </si>
  <si>
    <t>R</t>
  </si>
  <si>
    <t>Dharshan R</t>
  </si>
  <si>
    <t>rd8610373247@gmail.com</t>
  </si>
  <si>
    <t>p25700057@student.nicmar.ac.in</t>
  </si>
  <si>
    <t>11-Sep-2003</t>
  </si>
  <si>
    <t>Tamil, Telugu, English</t>
  </si>
  <si>
    <t>5097 9251 8036</t>
  </si>
  <si>
    <t>S RAJENDRAN</t>
  </si>
  <si>
    <t>GOVERNMENT STAFF</t>
  </si>
  <si>
    <t>R MAHALAKSHMI</t>
  </si>
  <si>
    <t>2/1580, J, VELAMMAL NAGAR, SIVAKASI.</t>
  </si>
  <si>
    <t>Virudhunagar</t>
  </si>
  <si>
    <t>SRI SHENBAGA VINAYAGAR MATRIC HR. SEC. SCHOOL</t>
  </si>
  <si>
    <t>STATE BOARD, TAMILNADU</t>
  </si>
  <si>
    <t>ANNA UNIVERSITY, CHENNAI.</t>
  </si>
  <si>
    <t>R.M.K. ENGINEERING COLLEGE, KAVARAIPETTAI, THIRUVALLUR DISTRICT, TAMILNADU.</t>
  </si>
  <si>
    <t>Sobha Limited  | Planning Intern  | Bengaluru | May 2026 | Jul 2026 | 9 Weeks | Campus Internship
Sri Maaligaa Constructions | Site Supervision  | Sivakasi | Jul 2023 | Jul 2023 | 4.1428571428571 Weeks</t>
  </si>
  <si>
    <t>P25700058</t>
  </si>
  <si>
    <t>ANUSHKA</t>
  </si>
  <si>
    <t>JADHAV</t>
  </si>
  <si>
    <t>Anushka Vishnu Jadhav</t>
  </si>
  <si>
    <t>rujutajadhav25@gmail.com</t>
  </si>
  <si>
    <t>p25700058@student.nicmar.ac.in</t>
  </si>
  <si>
    <t>25-Dec-2002</t>
  </si>
  <si>
    <t>Marathi, Hindi,English</t>
  </si>
  <si>
    <t>6990 6090 6399</t>
  </si>
  <si>
    <t>VISHNU JADHAV</t>
  </si>
  <si>
    <t>ARUNA JADHAV</t>
  </si>
  <si>
    <t>Block No-9,Plot No-71,Hari Om Darshan Chs ,_x000D_
Gandhinagar Dombivli East</t>
  </si>
  <si>
    <t>TILAK NAGAR VIDYA MANDIR</t>
  </si>
  <si>
    <t>MAHARASHTRA STATE OF BOARD OF SECONDARY AND HIGHER SECONDARY EDUCATION PUNE</t>
  </si>
  <si>
    <t>GOVERNMENT POLYTECHNIC THANE</t>
  </si>
  <si>
    <t>2022-Mar</t>
  </si>
  <si>
    <t>SHIVAJI UNIVERSITY</t>
  </si>
  <si>
    <t>DEPARMENT OF TECHNOLOGY ,KOLHAPUR</t>
  </si>
  <si>
    <t>2022-Nov</t>
  </si>
  <si>
    <t>P25700059</t>
  </si>
  <si>
    <t>ROHIT</t>
  </si>
  <si>
    <t>LOKHANDE</t>
  </si>
  <si>
    <t>Rohit Arjun Lokhande</t>
  </si>
  <si>
    <t>rohitlokhande183@gmail.com</t>
  </si>
  <si>
    <t>p25700059@student.nicmar.ac.in</t>
  </si>
  <si>
    <t>08-Feb-2002</t>
  </si>
  <si>
    <t>5888 7116 3867</t>
  </si>
  <si>
    <t>ARCHANA</t>
  </si>
  <si>
    <t>VEDANT SOCIETY B, FLAT NO 8, GUNJALWADI, SANGAMNER, AHILYANAGAR,MAHARSHTRA.</t>
  </si>
  <si>
    <t>Mali Galli, Shevgaon</t>
  </si>
  <si>
    <t>DR. B.G. DERE ENGLISH MEDIUM SCHOOL, SANGAMNER</t>
  </si>
  <si>
    <t>STATE BOARD OF MAHARASHTRA, MAHARASHTRA</t>
  </si>
  <si>
    <t>DR. D.A. OHRA JUNIOR COLLEGE, SANGAMNER</t>
  </si>
  <si>
    <t>SAVITRIBAI PHULE PUNE UNIVERSITY, PUNE</t>
  </si>
  <si>
    <t>AMRUTVAHINI COLLEGE OF ENGINEERING, SANGAMNER, MAHARASHTRA</t>
  </si>
  <si>
    <t>AutoCAD,MS Office,MS Project,Primavera,MSExcel</t>
  </si>
  <si>
    <t>Plansquare Procon Private Limited | Planning Engineer | Nashik | Aug 2024 | Jul 2025 | 0Y 11M | 1.8</t>
  </si>
  <si>
    <t>ARL Enterprises | Construction Site Supervisor | Nilwande Dam, Akole, Ahilyanagar Maharashtra. | Jan 2024 | Mar 2024 | 12.857142857143 Weeks</t>
  </si>
  <si>
    <t>Primavera P6 Professional Project Management</t>
  </si>
  <si>
    <t>P25700060</t>
  </si>
  <si>
    <t>D SREE</t>
  </si>
  <si>
    <t>BALAJI</t>
  </si>
  <si>
    <t>D Sree Balaji</t>
  </si>
  <si>
    <t>sreebalajidommadi@gmail.com</t>
  </si>
  <si>
    <t>p25700060@student.nicmar.ac.in</t>
  </si>
  <si>
    <t>29-Dec-2001</t>
  </si>
  <si>
    <t>English, Telugu, Hindi, Tamil</t>
  </si>
  <si>
    <t>8649 3251 5377</t>
  </si>
  <si>
    <t>D PURUSHOTHAM REDDY</t>
  </si>
  <si>
    <t>D GUNA SUNDARI</t>
  </si>
  <si>
    <t>7-32, SESACHALAPURAM (V), MAPAKSHI PART</t>
  </si>
  <si>
    <t>Chittoor</t>
  </si>
  <si>
    <t>KESHAVAREDDY EM HS</t>
  </si>
  <si>
    <t>BOARD OF SECONDARY EDUCATION CHITTOOR/ANDHRA PRADESH</t>
  </si>
  <si>
    <t>SRI VIVEKANANDA JUNIOR COLLEGE</t>
  </si>
  <si>
    <t>BOARD OF INTERMEDIATE EDUCATION CHITTOOR/ANDHRA PRADESH</t>
  </si>
  <si>
    <t>PERI INSTITUTE OF TECHNOLOGY CHENNAI/TAMIL NADU</t>
  </si>
  <si>
    <t>AutoCAD,MS Office,MS Project,Primavera,STAAD PRO</t>
  </si>
  <si>
    <t>MA CONSULTING SERVICES PVT. LTD | Graduate Engineer Trainee | HYDERABAD | Jun 2024 | Jun 2025 | 1Y 0M | 3.38</t>
  </si>
  <si>
    <t>TRUBOARD PARTNERS | Asset Managment | Mumbai | May 2026 | Jun 2026 | 8.1428571428571 Weeks | Campus Internship
MA CONSULTING SERVICES PVT LTD. | INTERN | HYDERABAD,TELANGANA | Jan 2024 | May 2024 | 21.142857142857 Weeks</t>
  </si>
  <si>
    <t>P25700061</t>
  </si>
  <si>
    <t>GOWDA M R</t>
  </si>
  <si>
    <t>Rahul Gowda M R</t>
  </si>
  <si>
    <t>armrg15@gmail.com</t>
  </si>
  <si>
    <t>p25700061@student.nicmar.ac.in</t>
  </si>
  <si>
    <t>15-Dec-2002</t>
  </si>
  <si>
    <t>Kannada ,English ,Hindi</t>
  </si>
  <si>
    <t>8212 0477 6115</t>
  </si>
  <si>
    <t>M.RANGANATH</t>
  </si>
  <si>
    <t>SAVITHA DEVI .T</t>
  </si>
  <si>
    <t>#214/55,Sri Ranga Nilaya ,Shantinagar, Arshinakunte ,Nelamangala ,Bangalore Rural-562123</t>
  </si>
  <si>
    <t>Bangalore Rural</t>
  </si>
  <si>
    <t>ST MARY'S HIGH SCHOOL</t>
  </si>
  <si>
    <t>KARNATAKA SECONDARY EDUCATION EXAMINATION BOARD</t>
  </si>
  <si>
    <t>VIDYA MANDIR INDEPENDENT PU COLLEGE</t>
  </si>
  <si>
    <t>DEPARTMENT OF PRE-UNIVERSITY EDUCATION, BANGALORE.</t>
  </si>
  <si>
    <t>VISVESVARAYA TECHNOLOGICAL UNIVERSITY ,BELAGAVI ,KARNATAKA</t>
  </si>
  <si>
    <t>SJB SCHOOL OF ARCHITECTURE AND PLANNING ,BANGALORE</t>
  </si>
  <si>
    <t>AutoCAD,Sketchup,Lumion,Enscape,Photoshop,Revit,VN,D5,Ms office,Ms Projects,Primavera,Costx</t>
  </si>
  <si>
    <t>SDEG | ARCHITECTURE | BENGALURU | Dec 2024 | Apr 2025 | 17.428571428571 Weeks</t>
  </si>
  <si>
    <t>UDL Photoshop Masterclass
Designing for Greater Efficiency</t>
  </si>
  <si>
    <t>P25700063</t>
  </si>
  <si>
    <t>POONAM</t>
  </si>
  <si>
    <t>PURSHOTTAM</t>
  </si>
  <si>
    <t>KANADE</t>
  </si>
  <si>
    <t>Poonam Purshottam Kanade</t>
  </si>
  <si>
    <t>poonampkn95@gmail.com</t>
  </si>
  <si>
    <t>p25700063@student.nicmar.ac.in</t>
  </si>
  <si>
    <t>ENGLISH, MARATHI(MT), HINDI</t>
  </si>
  <si>
    <t>3220 1623 8737</t>
  </si>
  <si>
    <t>SHIVAJI</t>
  </si>
  <si>
    <t>.</t>
  </si>
  <si>
    <t>JAYASHREE</t>
  </si>
  <si>
    <t>4,37 DEEPAK APPARTMENT 75/D TARDEO ROAD MUMBAI 400034</t>
  </si>
  <si>
    <t>K.S.L.R SHINDE HIGHSCHOOL ARNYESHWAR PUNE 411009</t>
  </si>
  <si>
    <t>GOVERNMENT POLYTECHNIC MUMBAI</t>
  </si>
  <si>
    <t>2010-Aug</t>
  </si>
  <si>
    <t>2014-Jan</t>
  </si>
  <si>
    <t>MUMBAI UNIVERCITY</t>
  </si>
  <si>
    <t>VIDYAVARDHINIS COLLEGE OF ENGINEERING AND TECHNOLOGY</t>
  </si>
  <si>
    <t>AutoCAD,MS Office,SAP PP</t>
  </si>
  <si>
    <t>MCON RASAYAN PVT LTD | ASSISTANT TECHNICAL MANAGER | MUMBAI | Aug 2019 | Jan 2023 | 3Y 4M | 2.4
NEURAL SECURE SERVICES PVT LTD | ACCOUNT MANAGER SPECIAL ACCOUNTS | MUMBAI | Feb 2023 | May 2025 | 2Y 3M | 7.2</t>
  </si>
  <si>
    <t>5 Years 8 Months</t>
  </si>
  <si>
    <t>P25700064</t>
  </si>
  <si>
    <t>TANUSH</t>
  </si>
  <si>
    <t>KUNDAN</t>
  </si>
  <si>
    <t>GANDHI</t>
  </si>
  <si>
    <t>Tanush Kundan Gandhi</t>
  </si>
  <si>
    <t>tanushgandhi1@gmail.com</t>
  </si>
  <si>
    <t>p25700064@student.nicmar.ac.in</t>
  </si>
  <si>
    <t>12-Oct-2003</t>
  </si>
  <si>
    <t>8517 7523 8468</t>
  </si>
  <si>
    <t>HARSHALI</t>
  </si>
  <si>
    <t>699/1 Plot No.34/37 Vishwakarma Housing Society , Chile Colony , Jawahar Nagar , Kolhapur.</t>
  </si>
  <si>
    <t>Kolhapur</t>
  </si>
  <si>
    <t>TAVANAPPA PATNE HIGH SCHOOL</t>
  </si>
  <si>
    <t>GOVERNMENT POLYTECHNIC KOLHAPUR</t>
  </si>
  <si>
    <t>KOLHAPUR INSTITUTE OF TECHNOLOGY'S COLLEGE OF ENGINEERING, KOLHAPUR</t>
  </si>
  <si>
    <t>Padam Interiors | Intern | Mumbai | May 2026 | Jul 2026 | 8.7142857142857 Weeks | Campus Internship
SAMVARDHAN ENVIRO PROJECTS | INTERN | KOLHAPUR | Feb 2025 | Apr 2025 | 8.4285714285714 Weeks</t>
  </si>
  <si>
    <t>P25700065</t>
  </si>
  <si>
    <t>SUSHIN</t>
  </si>
  <si>
    <t>J</t>
  </si>
  <si>
    <t>Sushin J</t>
  </si>
  <si>
    <t>sushinjerald@gmail.com</t>
  </si>
  <si>
    <t>p25700065@student.nicmar.ac.in</t>
  </si>
  <si>
    <t>15-Apr-2002</t>
  </si>
  <si>
    <t>ENGLISH TAMIL HINDI</t>
  </si>
  <si>
    <t>9366 8720 6851</t>
  </si>
  <si>
    <t>P JERALD</t>
  </si>
  <si>
    <t>EX SERVICEMEN</t>
  </si>
  <si>
    <t>J RESILINA</t>
  </si>
  <si>
    <t>NO 4 8TH STREET JYOTHI NAGAR CARSHED COMPLEX POWERLINE ROAD ANNANUR</t>
  </si>
  <si>
    <t>Tiruvallur</t>
  </si>
  <si>
    <t>VELAMMAL VIDHYASHRAM SURAPET</t>
  </si>
  <si>
    <t>VELAMMAL VIDHYASHRAM SURAPET CHENNAI TAMILNADU</t>
  </si>
  <si>
    <t>RAJALAKSHMI ENGINEERINGCOLLEGE</t>
  </si>
  <si>
    <t>Colliers International (India) Property Services Private Limited | Trainee | Chennai | Jul 2023 | Aug 2023 | 2.1428571428571 Weeks</t>
  </si>
  <si>
    <t>P25700066</t>
  </si>
  <si>
    <t>SWAGAT</t>
  </si>
  <si>
    <t>BHANJA DEO</t>
  </si>
  <si>
    <t>Swagat Kumar Bhanja Deo</t>
  </si>
  <si>
    <t>swagatbhanjadeo@gmail.com</t>
  </si>
  <si>
    <t>p25700066@student.nicmar.ac.in</t>
  </si>
  <si>
    <t>30-Aug-2000</t>
  </si>
  <si>
    <t>English, Hindi and Odia</t>
  </si>
  <si>
    <t>A-ve</t>
  </si>
  <si>
    <t>4550 8544 9895</t>
  </si>
  <si>
    <t>SATYANARAYAN BHANJADEO</t>
  </si>
  <si>
    <t>GOVERNMENT SECTOR</t>
  </si>
  <si>
    <t>M BHARATEE</t>
  </si>
  <si>
    <t>Sambhunagar Pada, Block 2, East Lane 03, Bhawanipatna</t>
  </si>
  <si>
    <t>Kalahandi</t>
  </si>
  <si>
    <t>VIMALA CONVENT SCHOOL</t>
  </si>
  <si>
    <t>INDIAN CERTIFICATE OF SECONDARY EDUCATION / BHAWANIPATNA, ODISHA</t>
  </si>
  <si>
    <t>2006-May</t>
  </si>
  <si>
    <t>GOURI SHANKAR RESIDENTIAL ENGLISH MEDIUM SCHOOL</t>
  </si>
  <si>
    <t>CENTRAL BOARD OF SECONDARY EDUCATION, BHUBANESWAR, ODISHA</t>
  </si>
  <si>
    <t>SIKSHA 'O' ANUSANDHAN</t>
  </si>
  <si>
    <t>INSTITUTE OF TECHNICAL EDUCATION AND RESEARCH, BHUBANESWAR, ODISHA</t>
  </si>
  <si>
    <t>AutoCAD,MS Office,MS Project,STAAD.Pro</t>
  </si>
  <si>
    <t>Convenient Construction Consultancy Private Limited | Site Execution and Control Intern | Bhubaneswar | May 2026 | Jul 2026 | 9.7142857142857 Weeks | Campus Internship</t>
  </si>
  <si>
    <t>AutoCAD (Civil)
Finance for Non-Financial Managers</t>
  </si>
  <si>
    <t>P25700067</t>
  </si>
  <si>
    <t>DHARAMTHOK</t>
  </si>
  <si>
    <t>Sanket Raju Dharamthok</t>
  </si>
  <si>
    <t>dharamthoksanket@gmail.com</t>
  </si>
  <si>
    <t>p25700067@student.nicmar.ac.in</t>
  </si>
  <si>
    <t>17-Nov-1999</t>
  </si>
  <si>
    <t>8229 9683 9399</t>
  </si>
  <si>
    <t>RAJASHREE</t>
  </si>
  <si>
    <t>NARAHARI NAGAR BEHIND TAPAR HOSTEL RAJAPETH AMRAVATI</t>
  </si>
  <si>
    <t>MANIBAI GUJRATHI ENGLISH HIGH SCHOOL</t>
  </si>
  <si>
    <t>MAHARASHTRA STATE BOARD OF SECONDARY AND HIGHER SECONDARY EDUCATION,PUNE,MAHARASHTRA</t>
  </si>
  <si>
    <t>SHRI SHIVAJI SCIENCE COLLEGE</t>
  </si>
  <si>
    <t>SIPNA COLLEGE OF ENGINEERING AND TECHNOLOGY/AMRAVATI/MAHARASHTRA</t>
  </si>
  <si>
    <t>AutoCAD,MS Office,MS Project,REVIT,NAVISWORKS</t>
  </si>
  <si>
    <t>AASHI SOLUTIONS PVT. LTD. | TRAINEE ENGINEER  | PUNE | May 2024 | Jun 2025 | 1Y 1M | 2.37</t>
  </si>
  <si>
    <t>Basil Decor LLP  | Project Management Intern | Pune | May 2026 | Jul 2026 | 9.2857142857143 Weeks | Campus Internship
BLUEPRINTS DESIGN CONSULTING SERVICES PVT. LTD. | BIM INTERN | PUNE | Sep 2023 | Dec 2023 | 12.714285714286 Weeks
CIVIL (Engg) CAD CENTRE | CIVIL ENGINEERING INTERN | AMRAVATI | Jun 2019 | Jul 2019 | 6.5714285714286 Weeks</t>
  </si>
  <si>
    <t>BIM PROFESSIONAL COURSE
AUTODESK CERTIFIED USER "REVIT FOR ARCHITECTURE"
AUTOCAD</t>
  </si>
  <si>
    <t>P25700068</t>
  </si>
  <si>
    <t>SUDHARSHAN</t>
  </si>
  <si>
    <t>Sudharshan V</t>
  </si>
  <si>
    <t>sudharshanvenkat007@gmail.com</t>
  </si>
  <si>
    <t>p25700068@student.nicmar.ac.in</t>
  </si>
  <si>
    <t>07-Oct-2003</t>
  </si>
  <si>
    <t>Tamil, English</t>
  </si>
  <si>
    <t>5999 1755 2021</t>
  </si>
  <si>
    <t>VENKATACHALAPATHY R</t>
  </si>
  <si>
    <t>CIVIL ENGINEER &amp; PROPRIETOR</t>
  </si>
  <si>
    <t>PARAMESHWARI</t>
  </si>
  <si>
    <t>24, 2nd Cross, Nehru Nagar, Thengaithittu, Mudaliyarpet</t>
  </si>
  <si>
    <t>Puducherry</t>
  </si>
  <si>
    <t>PETIT SEMINARE HIGHER SECONDARY SCHOOL</t>
  </si>
  <si>
    <t>TAMIL NADU BOARD OF SECONDARY EDUCATION,  PUDUCHERRY</t>
  </si>
  <si>
    <t>VELLORE INSTITUTE OF TECHNOLOGY , VELLORE</t>
  </si>
  <si>
    <t>AutoCAD, MS Office, MS Project, Primavera, arcGIS, Excel, Revit</t>
  </si>
  <si>
    <t>Larsen &amp; Toubro | Project Management intern | Chennai  | May 2026 | Jul 2026 | 8.7142857142857 Weeks | Campus Internship
Chennai Metro Rail Limited | Civil Engineering Trainee | Chennai | Aug 2023 | Sep 2023 | 4.2857142857143 Weeks</t>
  </si>
  <si>
    <t>KPMG Lean Six Sigma Green Belt</t>
  </si>
  <si>
    <t>P25700069</t>
  </si>
  <si>
    <t>VIKRAM</t>
  </si>
  <si>
    <t>Atul Vikram Singh</t>
  </si>
  <si>
    <t>atulofficial7395@gmail.com</t>
  </si>
  <si>
    <t>p25700069@student.nicmar.ac.in</t>
  </si>
  <si>
    <t>05-Sep-2002</t>
  </si>
  <si>
    <t>English , Hindi</t>
  </si>
  <si>
    <t>7459 1075 0370</t>
  </si>
  <si>
    <t>MANISH KUMAR SINGH</t>
  </si>
  <si>
    <t>CLERK</t>
  </si>
  <si>
    <t>REEMA SINGH</t>
  </si>
  <si>
    <t>NEW COLONY MISHRAULIYA RAUZA GHAZIPUR</t>
  </si>
  <si>
    <t>Vill- Bharatpur , Post- Gadaipur</t>
  </si>
  <si>
    <t>MAHATAMA JYOTI RAO PHULE PUBLIC SCHOOL GHAZIPUR</t>
  </si>
  <si>
    <t>CENTRAL BOARD OF SECONDARY EDUCATION  GHAZIPUR</t>
  </si>
  <si>
    <t>DR. A.P.J. ABDUL KALAM TECHNICAL UNIVERSITY UP</t>
  </si>
  <si>
    <t>SHRI RAM SWAROOP MEMORIAL COLLEGE OF ENGG. AND MANAGEMENT , LUCKNOW</t>
  </si>
  <si>
    <t>DEE VEE PROJECTS LIMITED | JR ENGINEER | SGTBSGMC , PANJUPUR YAMUNA NAGAR HARYANA | Feb 2025 | Jun 2025 | 0Y 4M | 1.68</t>
  </si>
  <si>
    <t>0 Years 4 Months</t>
  </si>
  <si>
    <t>MINISTRY OF HOUSING AND URBAN AFFAIRS | TRAINEE | TALBEHAT FORT - TWO MASONRY WELLS ,LALITPUR UTTAR PRADESH | Jul 2022 | Aug 2022 | 5 Weeks
UTTAR PRADESH JAL NIGAM | TRAINEE | GOMTI NAGAR LUCKNOW | Jun 2022 | Jul 2022 | 4.1428571428571 Weeks</t>
  </si>
  <si>
    <t>AutoCad</t>
  </si>
  <si>
    <t>P25700070</t>
  </si>
  <si>
    <t>ABHISHEK</t>
  </si>
  <si>
    <t>SHINDE</t>
  </si>
  <si>
    <t>Abhishek Sanjay Shinde</t>
  </si>
  <si>
    <t>01abhinicmar@gmail.com</t>
  </si>
  <si>
    <t>p25700070@student.nicmar.ac.in</t>
  </si>
  <si>
    <t>21-May-2001</t>
  </si>
  <si>
    <t>6544 1747 0620</t>
  </si>
  <si>
    <t>SANJAY SHINDE</t>
  </si>
  <si>
    <t>PRAMILA SHINDE</t>
  </si>
  <si>
    <t>Akola Naka, Kata Road, Behind Dr. Aahale Hospital, Washim</t>
  </si>
  <si>
    <t>Washim</t>
  </si>
  <si>
    <t>LIONS VIDYA NIKETAN, WASHIM</t>
  </si>
  <si>
    <t>MAHARASHTRA STATE BOARD, WASHIM</t>
  </si>
  <si>
    <t>GOVERNMENT POLYTECHNIC WASHIM.</t>
  </si>
  <si>
    <t>2017-Oct</t>
  </si>
  <si>
    <t>D. Y. PATIL COLLEGE OF ENGINEERING, AKURDI, PUNE.</t>
  </si>
  <si>
    <t>AutoCAD, MS Office, MS Project, Primavera, STAAD Pro Connect  Edition  (Beginner), STAAD  Foundation (Beginner), MSCIT Certification, Revit (BIM)</t>
  </si>
  <si>
    <t>Maruti Suzuki Arena, Wonder Cars Pvt. Ltd. | Relationship Manager  | Pimpri, Pune | Dec 2024 | Feb 2025 | 0Y 2M | 2.16
Knest Aluform Pvt. Ltd | Design Engineer  | Pimpri, Pune | Jul 2023 | Nov 2023 | 0Y 4M | 3</t>
  </si>
  <si>
    <t>0 Years 7 Months</t>
  </si>
  <si>
    <t>Ernst &amp; Young LLP | Business Risk Consultant | Mumbai - Dadar  | May 2026 | Jul 2026 | 8.2857142857143 Weeks | Campus Internship
SHARANGDHAR ASSOCIATES | CONSTRUCTIONÂ ENGINEERINGÂ INTERNÂ (OFFICEÂ &amp;Â SITE) | WASHIM | Nov 2020 | May 2021 | 28.428571428571 Weeks
UNIQUE CONTRACTS PVT. LTD. | SITE ENGINEER  | AKURDI, PUNE | Feb 2025 | Jul 2025 | 20 Weeks</t>
  </si>
  <si>
    <t>Business Analysis Foundation
Finance for Non-Financial Managers, Emory University
Oracle Primavera P6 Professional Project Management
AI Usage and Data - Driven Thinking by Harvard Business Impact 
EY Artificial Intelligence – Applied AI – Bronze Learning (2026) badge</t>
  </si>
  <si>
    <t>P25700071</t>
  </si>
  <si>
    <t>NAKULAN</t>
  </si>
  <si>
    <t>Nakulan A</t>
  </si>
  <si>
    <t>nakulan.ar@outlook.com</t>
  </si>
  <si>
    <t>p25700071@student.nicmar.ac.in</t>
  </si>
  <si>
    <t>31-Dec-2002</t>
  </si>
  <si>
    <t>TAMIL, ENGLISH</t>
  </si>
  <si>
    <t>5794 1218 7398</t>
  </si>
  <si>
    <t>M ARUNACHALAM</t>
  </si>
  <si>
    <t>BUISNESS</t>
  </si>
  <si>
    <t>S RUBA GAYATHRI</t>
  </si>
  <si>
    <t>3/86, Gandhi Nagar,_x000D_
Malaipalayam Road Opp Bank Of Baroda,_x000D_
Senjerimalai</t>
  </si>
  <si>
    <t>Coimbatore</t>
  </si>
  <si>
    <t>BVM GLOBAL @ KARPAGAM CAMPUS</t>
  </si>
  <si>
    <t>CENTRAL BOARD OF SECONDARY EDUCATION, COIMBATORE, TAMIL NADU</t>
  </si>
  <si>
    <t>VIDHYA NIKETAN PUBLIC SCHOOL</t>
  </si>
  <si>
    <t>PSG COLLEGE OF TECHNOLOGY, COIMBATORE, TAMIL NADU</t>
  </si>
  <si>
    <t>AutoCAD,MS Office,MS Project,Primavera,STADD Pro</t>
  </si>
  <si>
    <t>J Kumar Infraprojects LTD. | Management Intern | Chennai | May 2026 | Jul 2026 | 9.7142857142857 Weeks | Campus Internship</t>
  </si>
  <si>
    <t>Pavement Construction Technology
Finance for Non-Financial Managers</t>
  </si>
  <si>
    <t>P25700072</t>
  </si>
  <si>
    <t>NIRMAL</t>
  </si>
  <si>
    <t>BHARADWAJ</t>
  </si>
  <si>
    <t>Nirmal Bharadwaj</t>
  </si>
  <si>
    <t>bharadwajnirmal@gmail.com</t>
  </si>
  <si>
    <t>p25700072@student.nicmar.ac.in</t>
  </si>
  <si>
    <t>10-Apr-1994</t>
  </si>
  <si>
    <t>8926 9319 0264</t>
  </si>
  <si>
    <t>GOVIND PRASAD</t>
  </si>
  <si>
    <t>PVT CONTRACT JOB</t>
  </si>
  <si>
    <t>SUNITA SHARMA</t>
  </si>
  <si>
    <t>KRISHNA COLONY, NEAR YADAV HOTEL_x000D_
BARI ROAD, DHOLPUR</t>
  </si>
  <si>
    <t>Dholpur</t>
  </si>
  <si>
    <t>JAWAHAR NAVODAYA VIDHALAYA, DHOLPUR</t>
  </si>
  <si>
    <t>CENTRAL BOARD OF SECONDARY EDUCATION NEW DELHI</t>
  </si>
  <si>
    <t>2007-Apr</t>
  </si>
  <si>
    <t>2008-May</t>
  </si>
  <si>
    <t>SANATAN DHARM SHIKSHA SADAN SR SEC SCHOOL DHOLPUR</t>
  </si>
  <si>
    <t>BOARD OF SECONDARY EDUCATION RAJASTHAN</t>
  </si>
  <si>
    <t>DR. A.P.J. ABDUL KALAM TECHNICAL UNIVERSITY, LUCKNOW, U.P.</t>
  </si>
  <si>
    <t>KAMLA NEHRU INSTITUTE OF TECHNOLOGY, SULTANPUR (U.P.)</t>
  </si>
  <si>
    <t>AutoCAD,MS Office,MS Project,Primavera,Basic SAP/ERP,CostX,BIM,Revit,Candy,Staad Pro,MX Roads,Power BI,Key Account Management (B2B),BOQ Formulation &amp; Costing,Material &amp; Vendor Due Diligence,Construction Chemicals &amp; Waterproofing Specifications</t>
  </si>
  <si>
    <t>Ansal Properties &amp; Infrastructure Limited | Project Engineer (Civil) | Ajmer-Rajasthan | Jun 2015 | Nov 2016 | 1Y 5M | 4
National Highways Infrastructure Development Corporation Limited (outsourced contract) | Graduate Engineer (Gr-II) | New Delhi | Nov 2016 | Nov 2019 | 3Y 0M | 7.2
Civil Mantra Infracon Private Limited | Design Engineer Highway &amp; Tunnel | Gurugram-Haryana | Dec 2019 | Dec 2020 | 1Y 0M | 8.4
National Highways Infrastructure Development Corporation Limited (outsourced contract) | Manager (Project) | Leh-Ladakh | Dec 2020 | Sep 2022 | 1Y 9M | 14
Bigzen Developers Private Limited | Project Manager (Civil) | Gurugram-Haryana | Oct 2022 | Dec 2024 | 2Y 2M | 20</t>
  </si>
  <si>
    <t>9 Years 6 Months</t>
  </si>
  <si>
    <t>Chuan Lim Engineering Pte Ltd (CLE) | Advanced Construction Management (ACM) Intern | Singapore | May 2026 | Jul 2026 | 8.8571428571429 Weeks | Campus Internship
PNC-TRG (JV) | Trainee | Dholpur | Jun 2014 | Jul 2014 | 4.1428571428571 Weeks
PNC-TRG (JV) | Trainee | Dholpur | Jun 2013 | Jun 2013 | 3.8571428571429 Weeks</t>
  </si>
  <si>
    <t>ONE YEAR ADVANCED DIPLOMA IN DRAFTING, NEGOTIATION AND  ENFORCEMENT OF CONTRACTS
AI Foundations for Business Professionals by Said Business School (Oxford University)
Introduction to Model Context Protocol &amp; Advance Course by Anthropic AI
Retrieval Augmented Generation (RAG)- by Deeplearning.AI
Lean Six Sigma-Green Belt (KPMG)
Indian Green Building Council-Accredited  Professional
International Business by The University of New Mexico
Operations Management by IESE Business School, University of Navarra
Building Smarter: BIM in Practice by L&amp;T Edutech
Construction Management full course series-Columbia University</t>
  </si>
  <si>
    <t>P25700073</t>
  </si>
  <si>
    <t>DASHRATH</t>
  </si>
  <si>
    <t>DHUMAL</t>
  </si>
  <si>
    <t>Vaibhav Dashrath Dhumal</t>
  </si>
  <si>
    <t>vaibhavdhumal100@gmail.com</t>
  </si>
  <si>
    <t>p25700073@student.nicmar.ac.in</t>
  </si>
  <si>
    <t>13-Jan-2003</t>
  </si>
  <si>
    <t>MARATHI, HINDI, ENGLISH</t>
  </si>
  <si>
    <t>3832 4063 5382</t>
  </si>
  <si>
    <t>SEEMA</t>
  </si>
  <si>
    <t>12/701, Vijay Park, Kasarvadavali, Ghodbunder Road, Thane (west), Maharashtra- 400615.</t>
  </si>
  <si>
    <t>PAWAR PUBLIC SCHOOL, BHANDUP (W), MUMBAI</t>
  </si>
  <si>
    <t>CHANDRABHAN SHARMA JUNIOR COLLEGE OF SCIENCE AND COMMERCE, POWAI, MUMBAI</t>
  </si>
  <si>
    <t>JAGDALE INFRASTRUCTURE PRIVATE LIMITED | INTERN | THANE | Jun 2023 | Jul 2023 | 4.2857142857143 Weeks</t>
  </si>
  <si>
    <t>P25700074</t>
  </si>
  <si>
    <t>MD KASHIF</t>
  </si>
  <si>
    <t>NADEEM</t>
  </si>
  <si>
    <t>Md Kashif Nadeem</t>
  </si>
  <si>
    <t>nadeem.kashif1011@gmail.com</t>
  </si>
  <si>
    <t>p25700074@student.nicmar.ac.in</t>
  </si>
  <si>
    <t>11-Oct-1993</t>
  </si>
  <si>
    <t>ENGLISH,HINDI,URDU</t>
  </si>
  <si>
    <t>6456 2595 4396</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</si>
  <si>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</si>
  <si>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</si>
  <si>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</si>
  <si>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</si>
  <si>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</si>
  <si>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</si>
  <si>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</si>
  <si>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ST.PAUL'S SCHOOL, BEGUSARAI</t>
  </si>
  <si>
    <t>INDIAN CERTIFICATE OF SECONDARY EDUCATION EXAMINATION, NEW DELHI</t>
  </si>
  <si>
    <t>2009-May</t>
  </si>
  <si>
    <t>RAMMOHAN ROY SEMINARY +2, PATNA</t>
  </si>
  <si>
    <t>BIHAR SCHOOL EXAMINATION BOARD, PATNA</t>
  </si>
  <si>
    <t>RAJIV GANDHI PROUDYOGIKI VISHWAVIDYALAYA, BHOPAL</t>
  </si>
  <si>
    <t>JAI NARAIN COLLEGE OF TECHNOLOGY &amp; SCIENCE, BHOPAL</t>
  </si>
  <si>
    <t>2019-Dec</t>
  </si>
  <si>
    <t>GOVERNMENT ENGINEERING COLLEGE, NAWADA | ASSISTANT PROFESSOR | NAWADA | May 2021 | Nov 2022 | 1Y 6M | 6</t>
  </si>
  <si>
    <t>CSIR- CENTRAL ROAD RESEARCH INSTITUTE | POST GRADUATE RESEARCH SCHOLAR | NEW DELHI | Dec 2018 | Dec 2019 | 51.857142857143 Weeks
NATIONAL HIGHWAY AUTHORITY OF INDIA | Industrial Training | Muzzafarpur | Jun 2015 | Jun 2015 | 2.5714285714286 Weeks</t>
  </si>
  <si>
    <t>Application of Primavera Software</t>
  </si>
  <si>
    <t>P25700075</t>
  </si>
  <si>
    <t>Ashutosh Yadav</t>
  </si>
  <si>
    <t>ashudev955@gmail.com</t>
  </si>
  <si>
    <t>p25700075@student.nicmar.ac.in</t>
  </si>
  <si>
    <t>22-Aug-2002</t>
  </si>
  <si>
    <t>9818 1176 8755</t>
  </si>
  <si>
    <t>RAM BILASH SINGH YADAV</t>
  </si>
  <si>
    <t>ASSISTANT GENERAL MANAGER</t>
  </si>
  <si>
    <t>SUSHILA YADAV</t>
  </si>
  <si>
    <t>PHULLANPUR,SHIV NAGAR COLONY,GHAZIPUR,UTTAR PRADESH-233001</t>
  </si>
  <si>
    <t>Vill-Devkhatiya,PO:Belwa Urf Rasulpur,DIST:Ghazipur,Uttar Pradesh-233305</t>
  </si>
  <si>
    <t>DR A I MEMO SUNBEAM SCHOOL ROHANIA VARANASI UP</t>
  </si>
  <si>
    <t>CENTRAL BOARD OF SECONDARY EDUCATION /UTTAR PRADESH</t>
  </si>
  <si>
    <t>CHANDIGARH UNIVERSITY MOHALI/PUNJAB</t>
  </si>
  <si>
    <t>AutoCAD,MS Office,MS Project,Primavera,PLAXIS 3D,STAAD.Pro,Abaqus,REVIT</t>
  </si>
  <si>
    <t>Arvind Technocrats &amp; Engineers LLP | internship trainee | BELGAUM  | Jun 2023 | Jul 2023 | 6.1428571428571 Weeks</t>
  </si>
  <si>
    <t>P25700076</t>
  </si>
  <si>
    <t>RAKHONDE</t>
  </si>
  <si>
    <t>Tejas Anil Rakhonde</t>
  </si>
  <si>
    <t>tejasrakhonde@gmail.com</t>
  </si>
  <si>
    <t>p25700076@student.nicmar.ac.in</t>
  </si>
  <si>
    <t>14-May-2000</t>
  </si>
  <si>
    <t>4868 5582 7489</t>
  </si>
  <si>
    <t>772, Khadse Nagar, Sancheti Plot, Nandura, Dist- Buldhana, Maharashtra Pin - 443404.</t>
  </si>
  <si>
    <t>SCHOOL OF SCHOLARS, AKOLA</t>
  </si>
  <si>
    <t>GOVERNMENT COLLEGE OF ENGINEERING, YAVATMAL</t>
  </si>
  <si>
    <t>SINDHIKAR ENGINEERS, JALGAON | SITE CIVIL ENGINEEER | JALGAON | Jan 2023 | Mar 2024 | 1Y 2M | 2.4</t>
  </si>
  <si>
    <t>MUNICIPAL COUNCIL &amp;  MAHARASHTRA JEEVAN PRADHIKARAN, AMRAVATI. | TRAINEE ENGINEER | AMRAVATI | Jan 2022 | Jun 2022 | 25.714285714286 Weeks
MUNICIPAL COUNCIL, NANDURA. | TRAINEE ENGINEER | NANDURA | Aug 2021 | Aug 2021 | 4.2857142857143 Weeks
SINDHIKAR ENGINEERS, JALGAON | TRAINEE ENGINEER | Jalgaon | Jun 2019 | Jun 2019 | 4.1428571428571 Weeks</t>
  </si>
  <si>
    <t>AUTOCAD
Finance for Non-Financial Managers</t>
  </si>
  <si>
    <t>P25700077</t>
  </si>
  <si>
    <t>NISHANT</t>
  </si>
  <si>
    <t>GUPTA</t>
  </si>
  <si>
    <t>Nishant Manoj Gupta</t>
  </si>
  <si>
    <t>nishantg987@gmail.com</t>
  </si>
  <si>
    <t>p25700077@student.nicmar.ac.in</t>
  </si>
  <si>
    <t>23-Dec-2000</t>
  </si>
  <si>
    <t>9612 6931 8910</t>
  </si>
  <si>
    <t>MANOJ GUPTA</t>
  </si>
  <si>
    <t>RITA GUPTA</t>
  </si>
  <si>
    <t>E-52, JHAROKHA 2, AKURLI ROAD, KANDIVALI EAST</t>
  </si>
  <si>
    <t>Shop No 2, M.D. Road, Shinde Chawl, Kandivali East</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</si>
  <si>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</si>
  <si>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</si>
  <si>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</si>
  <si>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</si>
  <si>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</si>
  <si>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</si>
  <si>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Kalpataru | Execution | Mumbai | Jan 2024 | Jun 2025 | 1Y 5M | 3.53</t>
  </si>
  <si>
    <t>Shreeji Sharan | Project Controls | Mumbai | May 2026 | Jul 2026 | 9 Weeks | Campus Internship
Shreeji Sharan | Project Intern | Mumbai | Dec 2022 | Dec 2022 | 3.2857142857143 Weeks
Shreeji Sharan | Project Intern | Mumbai | Jun 2022 | Jun 2022 | 4.1428571428571 Weeks
Shraddha Enterprises | Project Intern | Mumbai | May 2019 | Jun 2019 | 5.8571428571429 Weeks</t>
  </si>
  <si>
    <t>Autodesk Certified Professional: AutoCAD for Design and Drafting Exam Prep</t>
  </si>
  <si>
    <t>P25700078</t>
  </si>
  <si>
    <t>ROHAN</t>
  </si>
  <si>
    <t>RAMESH</t>
  </si>
  <si>
    <t>KSHIRSAGAR</t>
  </si>
  <si>
    <t>Rohan Ramesh Kshirsagar</t>
  </si>
  <si>
    <t>kshirsagarrohan1811@gmail.com</t>
  </si>
  <si>
    <t>p25700078@student.nicmar.ac.in</t>
  </si>
  <si>
    <t>18-Nov-2002</t>
  </si>
  <si>
    <t>MARATHI,ENGLISH,HINDI</t>
  </si>
  <si>
    <t>7509 8976 6570</t>
  </si>
  <si>
    <t>SUNITA</t>
  </si>
  <si>
    <t>2/B Abhimanshree Nagar Marathi Peth Solapur</t>
  </si>
  <si>
    <t>HARIBHAI DEVKARAN PRASHALA SOLAPUR,MAHARASHTRA</t>
  </si>
  <si>
    <t>SOLAPUR/ MAHARASHTRA</t>
  </si>
  <si>
    <t>SES POLYTECHNIC SOLAPUR/ MAHARASHTRA</t>
  </si>
  <si>
    <t>SAVITRIBAI PHULE UNIVERSITY PUNE</t>
  </si>
  <si>
    <t>SINHGAD INSTITUTE OF TECHNOLOGY AND SCIENCE NARHE PUNE / MAHARASHTRA</t>
  </si>
  <si>
    <t>BG Shirke Construction Technology Pvt. Ltd. | Engineering Intern | Pune | May 2026 | Jul 2026 | 8.5714285714286 Weeks | Campus Internship
Synergy SKL Infradevelopment | Engineering Intern | Pune | Jan 2023 | Feb 2023 | 3.1428571428571 Weeks</t>
  </si>
  <si>
    <t>P25700079</t>
  </si>
  <si>
    <t>SARJERAO</t>
  </si>
  <si>
    <t>SOLUNKE</t>
  </si>
  <si>
    <t>Tejas Sarjerao Solunke</t>
  </si>
  <si>
    <t>tejassolunke5021@gmail.com</t>
  </si>
  <si>
    <t>p25700079@student.nicmar.ac.in</t>
  </si>
  <si>
    <t>23-Feb-2003</t>
  </si>
  <si>
    <t>MARATHI,HINDI,ENGLISH</t>
  </si>
  <si>
    <t>6132 9613 0979</t>
  </si>
  <si>
    <t>BANER</t>
  </si>
  <si>
    <t>Malunje Khurd</t>
  </si>
  <si>
    <t>ASHTVINAYAK ENGLISH MEDIUM SCHOOL</t>
  </si>
  <si>
    <t>TRIMURTI ARTS,COMMERCE &amp; SCIENCE COLLEGE</t>
  </si>
  <si>
    <t>2021-Apr</t>
  </si>
  <si>
    <t>PIMPRI CHINCHWAD COLLEGE OF ENGINEERING,PUNE</t>
  </si>
  <si>
    <t>AutoCAD,MS Office,MS Project,Primavera,Staad Pro</t>
  </si>
  <si>
    <t>Mudra Realities | Site Engineer | Shrirampur | Jun 2024 | Jul 2024 | 4.2857142857143 Weeks</t>
  </si>
  <si>
    <t>P25700080</t>
  </si>
  <si>
    <t>AMAN</t>
  </si>
  <si>
    <t>MADANMOHAN</t>
  </si>
  <si>
    <t>Aman Madanmohan Singh</t>
  </si>
  <si>
    <t>aman.rcoem@gmail.com</t>
  </si>
  <si>
    <t>p25700080@student.nicmar.ac.in</t>
  </si>
  <si>
    <t>06-Jun-2001</t>
  </si>
  <si>
    <t>ENGLISH, HINDI, MARATHI, MAITHILI AND BHOJPURI</t>
  </si>
  <si>
    <t>6574 1937 2904</t>
  </si>
  <si>
    <t>JYOTILATA</t>
  </si>
  <si>
    <t>70/71 Kachore Colony, Chinchbhawan Wardha Road</t>
  </si>
  <si>
    <t>MONTFORT SR SEC. SCHOOL</t>
  </si>
  <si>
    <t>CENTRAL BOARD OF SECONDARY EDUCATION, NAGPUR/MAHARASHTRA</t>
  </si>
  <si>
    <t>2006-Jun</t>
  </si>
  <si>
    <t>BHAVANS B P VIDYA MANDIR</t>
  </si>
  <si>
    <t>RAMDEOBABA COLLEGE OF ENGINEERING AND MANAGEMENT, NAGPUR/MAHARASHTRA</t>
  </si>
  <si>
    <t>AutoCAD,MS Office,MS Project,Primavera,Bluebeam Revu,On Screen Takeoff,Autodesk Construction Cloud,Procore,Planswift,Bim360,Navisworks,CostX,Revit,BEAM AI,Power BI</t>
  </si>
  <si>
    <t>VConstruct India Pvt Ltd | Associate Project Engineer | Pune | Apr 2023 | Apr 2024 | 1Y 0M | 4.75
Modeledge BIM Solutions | Senior Engineer | Nagpur | May 2024 | Nov 2024 | 0Y 6M | 8.2
7 Petals Horticulture | Executive Engineer - Planning &amp; Coordination | Mumbai | Dec 2024 | Jul 2025 | 0Y 7M | 10.28</t>
  </si>
  <si>
    <t>2 Years 2 Months</t>
  </si>
  <si>
    <t>MINISTRY OF ROAD TRANSPORT AND HIGHWAY | SITE ENGINEER INTERN | SONAMARG - J&amp;K | Dec 2022 | Mar 2023 | 13.285714285714 Weeks</t>
  </si>
  <si>
    <t>Architectural Design ( AutoCAD 2D, Revit Arch &amp; 3D Max)
Six Sigma Yellow Belt
Digital Marketing Fundamentals
Corporate Sales Fundamentals
American Society of Civil Engineers
Python Basics for Data Science
Python for Absolute Begineers
Project Execution and Control
Project Delivery in Business Analysis and Capstone Project
Finance for Non-Financial Managers</t>
  </si>
  <si>
    <t>P25700081</t>
  </si>
  <si>
    <t>NANDAMOORI</t>
  </si>
  <si>
    <t>Nandamoori Balaji</t>
  </si>
  <si>
    <t>nandamooribalaji@gmail.com</t>
  </si>
  <si>
    <t>p25700081@student.nicmar.ac.in</t>
  </si>
  <si>
    <t>23-Sep-2001</t>
  </si>
  <si>
    <t>9594 3322 1728</t>
  </si>
  <si>
    <t>NANDAMOORI SUBRAMANYAM VENKATESULU</t>
  </si>
  <si>
    <t>LABOUR CONTRACTOR</t>
  </si>
  <si>
    <t>NANDAMOORI LAKSHMI</t>
  </si>
  <si>
    <t>D.no:8-49, S.N Puram, Tirupati</t>
  </si>
  <si>
    <t>SRIVIDYANIKETHAN EM SCHOOL</t>
  </si>
  <si>
    <t>BOARD OF SECONDARY EDUCATION, ANDHRA PRADESH</t>
  </si>
  <si>
    <t>SRI CHAITANYA JR COLLEGE</t>
  </si>
  <si>
    <t>JAWAHARLAL NEHRU TECHNOLOGICAL UNIVERSITY ANANTAPUR</t>
  </si>
  <si>
    <t>SRI VENKATESWARA COLLEGE OF ENGINEERING, TIRUPATI</t>
  </si>
  <si>
    <t>AutoCAD,MS Office,MS Project,Primavera,Construction Planning &amp; control,Contract review &amp; commercial analysis using ai,Claims fundamentals and delay analysis,Project risk identification and mitigation,Financial feasibility review,Advanced MS excel,Quantity</t>
  </si>
  <si>
    <t>VAMSIRAM PRUDHVI BUILDERS LLP | INTERN | TIRUPATI | Jan 2024 | Jun 2024 | 25.714285714286 Weeks
SAMSKRUTHI HOMES | INTERN | TIRUPATI | Jan 2025 | Jun 2025 | 25.714285714286 Weeks</t>
  </si>
  <si>
    <t>BIM
Ethics in Engineering Practice
GenAI for contract managers
GenAI for contract drafting basics
AutoCAD
Accounting &amp; Finance
Microsoft project 2021</t>
  </si>
  <si>
    <t>P25700082</t>
  </si>
  <si>
    <t>KANNAN</t>
  </si>
  <si>
    <t>RAJAPANDIAN S</t>
  </si>
  <si>
    <t>Kannan Rajapandian S</t>
  </si>
  <si>
    <t>kannanrajapandian22@gmail.com</t>
  </si>
  <si>
    <t>p25700082@student.nicmar.ac.in</t>
  </si>
  <si>
    <t>22-Aug-2003</t>
  </si>
  <si>
    <t>ENGLISH,TAMIL</t>
  </si>
  <si>
    <t>2865 1643 6029</t>
  </si>
  <si>
    <t>R SUNDARALINGA VIVEKANANTHAN</t>
  </si>
  <si>
    <t>S SASIKALA</t>
  </si>
  <si>
    <t>POST OFFICE, 25/1, NICMAR UNIVERSITY, N.I.A, BALEWADI RD, RAM NAGAR, BANER.</t>
  </si>
  <si>
    <t>4/184,Rajam Nagar Main Road,s.kolathur,kovilambakkam,_x000D_
Chennai</t>
  </si>
  <si>
    <t>SUNSHINE CHENNAI SENIOR SECONDARY SCHOOL</t>
  </si>
  <si>
    <t>CENTRAL BOARD OF SECONDARY EDUCATION ,CHENNAI/TAMIL NADU</t>
  </si>
  <si>
    <t>SRI SIVASUBRAMANIYA NADAR COLLEGE OF ENGINEERING,CHENNAI/TAMIL NADU</t>
  </si>
  <si>
    <t>AutoCAD,MS Office,MS Project,Stadd pro</t>
  </si>
  <si>
    <t>JAIN HOUSING &amp; CONSTRUCTION LTD. | SITE ENGINEER  | CHENNAI | Jun 2024 | Jul 2024 | 4.2857142857143 Weeks
HANU HOMES | PROJECTS &amp; DESIGN DEPARTMENT | CHENNAI | Jan 2025 | Mar 2025 | 12.714285714286 Weeks</t>
  </si>
  <si>
    <t>P25700083</t>
  </si>
  <si>
    <t>DARSHANIK</t>
  </si>
  <si>
    <t>REWATKAR</t>
  </si>
  <si>
    <t>Darshanik Prakash Rewatkar</t>
  </si>
  <si>
    <t>drewatkar248@gmail.com</t>
  </si>
  <si>
    <t>p25700083@student.nicmar.ac.in</t>
  </si>
  <si>
    <t>10-Apr-2002</t>
  </si>
  <si>
    <t>2866 3552 4972</t>
  </si>
  <si>
    <t>PRAJAKTA</t>
  </si>
  <si>
    <t>Plot No. 48-G, Behind S.D. Hospital, Ganesh Nagar, Nagpur</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</si>
  <si>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</si>
  <si>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</si>
  <si>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</si>
  <si>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</si>
  <si>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</si>
  <si>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</si>
  <si>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AutoCAD,MS Office,MS Project,Primavera,Revit,Lumion,SketchUp</t>
  </si>
  <si>
    <t>OM SAI RAM BUILDERS &amp; DEVELOPERS | JUNIOR ENGINEER, SUPERVISOR | NAGPUR | Feb 2023 | Mar 2023 | 4.1428571428571 Weeks
OM SAI RAM BUILDERS &amp; DEVELOPERS | JUNIOR ENGINEER (SITE INTERN) | NAGPUR | Nov 2020 | Nov 2020 | 1 Weeks
OM SAI RAM BUILDERS &amp; DEVELOPERS | SITE ENGINEER, SUPERVISOR | NAGPUR | Jul 2024 | May 2025 | 47.714285714286 Weeks</t>
  </si>
  <si>
    <t>P25700084</t>
  </si>
  <si>
    <t>ROHITH</t>
  </si>
  <si>
    <t>M J</t>
  </si>
  <si>
    <t>Rohith M J</t>
  </si>
  <si>
    <t>mjrohith2000@gmail.com</t>
  </si>
  <si>
    <t>p25700084@student.nicmar.ac.in</t>
  </si>
  <si>
    <t>13-Nov-2000</t>
  </si>
  <si>
    <t>ENGLISH, MALAYALAM, HINDI</t>
  </si>
  <si>
    <t>5739 4159 5418</t>
  </si>
  <si>
    <t>JAYAN M R</t>
  </si>
  <si>
    <t>DIVISIONAL MANAGER AT AT LIC OF INDIA</t>
  </si>
  <si>
    <t>JYOTHI K P</t>
  </si>
  <si>
    <t>2B MRG Shivapriya_x000D_
Kottekkad Road, Viyyur</t>
  </si>
  <si>
    <t>KENDRIYA VIDYALAYA  PURANATTUKKARA THRISSUR, KERALA</t>
  </si>
  <si>
    <t>APJ ABDUL KALAM KERALA TECHNOLOGICAL UNIVERSITY</t>
  </si>
  <si>
    <t>SCMS SCHOOL OF ENGINEERING AND TECHNOLOGY, KARUKUTTY, KERALA</t>
  </si>
  <si>
    <t>AutoCAD,MS Office,MS Project,PowerBI</t>
  </si>
  <si>
    <t>Asian Paints Limited | Sales Engineering: Waterproofing (SE)    | Coimbatore | May 2026 | Jul 2026 | 8.7142857142857 Weeks | Campus Internship</t>
  </si>
  <si>
    <t>P25700085</t>
  </si>
  <si>
    <t>ATHARVA</t>
  </si>
  <si>
    <t>MAHANTESH</t>
  </si>
  <si>
    <t>KOKALKI</t>
  </si>
  <si>
    <t>Atharva Mahantesh Kokalki</t>
  </si>
  <si>
    <t>kokalkiatharva@gmail.com</t>
  </si>
  <si>
    <t>p25700085@student.nicmar.ac.in</t>
  </si>
  <si>
    <t>03-Apr-2000</t>
  </si>
  <si>
    <t>ENGLISH HINDI MARATHI</t>
  </si>
  <si>
    <t>8903 2822 7635</t>
  </si>
  <si>
    <t>MAHANTESH RAJSHEKHAR KOKALKI</t>
  </si>
  <si>
    <t>ARCHITECT</t>
  </si>
  <si>
    <t>ANURADHA MAHANTESH KOKALKI</t>
  </si>
  <si>
    <t>55 New Industrial Estate Near Night College, Ichalkaranji-416115</t>
  </si>
  <si>
    <t>LITERA VALLEY ZEE SCHOOL</t>
  </si>
  <si>
    <t>MANERE HIGH SCHOOL AND JUNIOR COLLEGE</t>
  </si>
  <si>
    <t>KLS GOGTE INSTITUE OF TECHNOLOGY</t>
  </si>
  <si>
    <t>AutoCAD,MS Office,BIM,StaddPro</t>
  </si>
  <si>
    <t>Prathamesh Construction | Junior Civil Engineer | Ichalkaranji | Jul 2023 | Sep 2024 | 1Y 2M | 1.8</t>
  </si>
  <si>
    <t>Synergy School of Business Skills | BIM | Belagavi | Sep 2021 | Oct 2021 | 8.5714285714286 Weeks</t>
  </si>
  <si>
    <t>Cambridge Assessment English
Course on ETBAS Essential
Synergy School of Business Skills
Wipo Academy</t>
  </si>
  <si>
    <t>P25700086</t>
  </si>
  <si>
    <t>DEEPAK</t>
  </si>
  <si>
    <t>TAMBATKAR</t>
  </si>
  <si>
    <t>Shivam Deepak Tambatkar</t>
  </si>
  <si>
    <t>shivamtambatkar384@gmail.com</t>
  </si>
  <si>
    <t>p25700086@student.nicmar.ac.in</t>
  </si>
  <si>
    <t>23-Oct-2001</t>
  </si>
  <si>
    <t>MARATHI , HINDI , ENGLISH</t>
  </si>
  <si>
    <t>8036 8814 5317</t>
  </si>
  <si>
    <t>DEEPAK TAMBATKAR</t>
  </si>
  <si>
    <t>WORKER</t>
  </si>
  <si>
    <t>SUWARNA TAMBATKAR</t>
  </si>
  <si>
    <t>PRAKALP PRIDE, NEAR BANER ROAD HIGHWAY, PUNE 411045</t>
  </si>
  <si>
    <t>Telecom Colony, Near T-point , Karanja (Lad), Dist. Washim 444105</t>
  </si>
  <si>
    <t>JD CHAWARE VIDYAMANDIR KARANJA (LAD), DIST. WASHIM 444105</t>
  </si>
  <si>
    <t>AMRAVATI DIVISIONAL BOARD , MAHARASHTRA STATE BOARD (SSC)</t>
  </si>
  <si>
    <t>SWA.VITTHALRAO ADHAO JR. COLLEGE , MANORA</t>
  </si>
  <si>
    <t>MAHARSHTRA STATE BOARD (HSC)</t>
  </si>
  <si>
    <t>G H RAISONI COLLEGE OF ENGINEERING AND MANAGEMENT , PUNE</t>
  </si>
  <si>
    <t>AutoCAD,MS Office,MS Project,Primavera,Revit Structure,BIM,Navisworks</t>
  </si>
  <si>
    <t>Shreeji Infrastructure India  | Summer Intern | Bhopal, Madhya Pradesh | May 2026 | Jun 2026 | 8 Weeks | Campus Internship
Global Business Solutions | Trainee Engineer | Ramwadi ,Pune  | Jun 2023 | Dec 2023 | 29.142857142857 Weeks</t>
  </si>
  <si>
    <t>Civil CAD  (PDCC)</t>
  </si>
  <si>
    <t>P25700087</t>
  </si>
  <si>
    <t>NIMISH</t>
  </si>
  <si>
    <t>MAHESH</t>
  </si>
  <si>
    <t>BHOIR</t>
  </si>
  <si>
    <t>Nimish Mahesh Bhoir</t>
  </si>
  <si>
    <t>nimishbhoir023@gmail.com</t>
  </si>
  <si>
    <t>p25700087@student.nicmar.ac.in</t>
  </si>
  <si>
    <t>ENGLISH, MARATHI, HINDI</t>
  </si>
  <si>
    <t>4081 1428 9372</t>
  </si>
  <si>
    <t>JYOTI</t>
  </si>
  <si>
    <t>Shree Krupa CHS, Plot-71, Room No-501, Sector-21, Kharghar, Navi Mumbai</t>
  </si>
  <si>
    <t>ST. JOSEPH'S HIGH SCHOOL, NEW PANVEL</t>
  </si>
  <si>
    <t>MAHARASHTRA STATE BOARD OF SECONDARY AND HIGHER SECONDARY EDUCATION, MUMBAI DIVISIONAL BOARD</t>
  </si>
  <si>
    <t>CHANGU KANA THAKUR JR. COLLEGE, NEW PANVEL</t>
  </si>
  <si>
    <t>TERNA ENGINEERING COLLEGE, NERUL, MAHARASHTRA</t>
  </si>
  <si>
    <t>AutoCAD,MS Office,MS Project,Primavera,ETABS,REVIT,STAAD PRO,BBS</t>
  </si>
  <si>
    <t>M.G. CONSTRUCTION | Trainee Civil Engineer | REGD. OFFICE: SHOP NO. 4, SHREEJI DHAM CO-OP, HSG. SOC. LTD., PLOT NO.-18/19, SECTOR-50, SEAWOODS, NERUL, NAVI MUMBAI- 400706. | Oct 2023 | Mar 2025 | 1Y 5M | 1.8</t>
  </si>
  <si>
    <t>1 Year 6 Months</t>
  </si>
  <si>
    <t>CITY AND INDUSTRIAL DEVELOUPMENT CORPORATION OF MAHARASHTRA LIMITED | INTERN | BAMANDONGRI STATION, KHARKOPAR STATION(WEST), KHARKOPAR (EAST) AND TALOJA SECTOR 39, NAVI MUMBAI | Dec 2021 | Jan 2022 | 4.2857142857143 Weeks</t>
  </si>
  <si>
    <t>A Complete BIM Course with Revit, Dynamo and Navisworks
SAP Certified Application Associate- Business Foundation &amp; Integration with SAP ERP 6.07</t>
  </si>
  <si>
    <t>P25700088</t>
  </si>
  <si>
    <t>VARAD</t>
  </si>
  <si>
    <t>VINOD</t>
  </si>
  <si>
    <t>SAWARDEKAR</t>
  </si>
  <si>
    <t>Varad Vinod Sawardekar</t>
  </si>
  <si>
    <t>varads1917@gmail.com</t>
  </si>
  <si>
    <t>p25700088@student.nicmar.ac.in</t>
  </si>
  <si>
    <t>26-Jan-2000</t>
  </si>
  <si>
    <t>4335 3038 7451</t>
  </si>
  <si>
    <t>VEENA</t>
  </si>
  <si>
    <t>506, Shanti Niwas, Fitwala Road, Prabhadevi West</t>
  </si>
  <si>
    <t>DR.ANTONIO DA SILVA HIGH SCHOOL</t>
  </si>
  <si>
    <t>MAHARASHTRA STATE BOARD OF SECONDARY AND HIGHER SECONDARY EDUCATION/ MUMBAI DIVISIONAL BOARD</t>
  </si>
  <si>
    <t>GOVERNMENT POLYTECHNIC, MUMBAI / MAHARASHTRA</t>
  </si>
  <si>
    <t>SARDAR PATEL COLLEGE OF ENGINEERING, MUMBAI / MAHARASHTRA</t>
  </si>
  <si>
    <t>AutoCAD,MS Office,MS Project,Primavera,Power Bi,revit structure,shallow foundation,MS Excel</t>
  </si>
  <si>
    <t>Lodha Developers | Site Engineer | Mumbai | Aug 2021 | May 2025 | 3Y 9M | 6.72</t>
  </si>
  <si>
    <t>3 Years 9 Months</t>
  </si>
  <si>
    <t>Rajasthan Construction Pvt.Ltd | Intern | Mumbai | Dec 2019 | Jan 2020 | 3.4285714285714 Weeks
M/S ROYAL COMBINE | INTERN | MUMBAI | Jun 2017 | Jun 2017 | 2 Weeks</t>
  </si>
  <si>
    <t>P25700089</t>
  </si>
  <si>
    <t>KAUSHAL</t>
  </si>
  <si>
    <t>Kaushal Mahesh Shinde</t>
  </si>
  <si>
    <t>shindekaushal2002@gmail.com</t>
  </si>
  <si>
    <t>p25700089@student.nicmar.ac.in</t>
  </si>
  <si>
    <t>05-Nov-2002</t>
  </si>
  <si>
    <t>7210 2048 3590</t>
  </si>
  <si>
    <t>MAHESH DINKARRAO SHINDE</t>
  </si>
  <si>
    <t>SUSHMA MAHESH SHINDE</t>
  </si>
  <si>
    <t>1182/107, Damodar Residency, E Ward, Mali Colony, Kolhapur.</t>
  </si>
  <si>
    <t>DR. D. Y. PATIL'S SHANTINIKETAN</t>
  </si>
  <si>
    <t>CENTRAL BOARD OF SECONDARY EDUCATION DELHI</t>
  </si>
  <si>
    <t>ALL INDIA SHRI SHIVAJI MEMORIAL SOCIETY COLLEGE OF ENGINEERING</t>
  </si>
  <si>
    <t>AutoCAD,MS Office,MS Project,Primavera,CostX,Revit Architecture</t>
  </si>
  <si>
    <t>Chaphalkar Karandikar Developers | Jr. Site Engineer  | Shivajinagar, Pune  | Aug 2024 | Jun 2025 | 0Y 10M | 2.64</t>
  </si>
  <si>
    <t>Goel Ganga Group  | Summer Intern | Pune | May 2026 | Jul 2026 | 8.7142857142857 Weeks | Campus Internship</t>
  </si>
  <si>
    <t>P25700090</t>
  </si>
  <si>
    <t>BODDU</t>
  </si>
  <si>
    <t>Rohith Boddu</t>
  </si>
  <si>
    <t>rohithboddu8779@gmail.com</t>
  </si>
  <si>
    <t>p25700090@student.nicmar.ac.in</t>
  </si>
  <si>
    <t>09-Sep-2003</t>
  </si>
  <si>
    <t>TELUGU,ENGLISH,HINDI</t>
  </si>
  <si>
    <t>6750 9472 8415</t>
  </si>
  <si>
    <t>BODDU NAGESWARA RAO</t>
  </si>
  <si>
    <t>BODDU SATYAVENI</t>
  </si>
  <si>
    <t>5-32Aa, KAALUVA VEEDHI,NIMMAKAYALA KOTTHAPALLI,UPPALAGUPTAM MANDAL,EASTGODAVARI,ANDHRA PRADHESH</t>
  </si>
  <si>
    <t>TIRMULA PROACTIVE (EM) HIGH SCHOOL</t>
  </si>
  <si>
    <t>ANDHRAPRADHESH BOARD OF SECONDARY EDUCATION</t>
  </si>
  <si>
    <t>TIRMULA JUNIOR COLLEGE</t>
  </si>
  <si>
    <t>ANDHRA PRADESH BOARD OF INTERMEDIATE EDUCATION</t>
  </si>
  <si>
    <t>JAWAHARLAL NEHRU TECHNOLOGICAL UNIVERSITY ,KAKINADA</t>
  </si>
  <si>
    <t>GAYATRI VIDYA PARISHAD COLLEGE OF ENGINEERING(AUTONOMOUS)  ,VISAKHAPATNAM</t>
  </si>
  <si>
    <t>AutoCAD, MS Office, MS Project, Primavera, STAAD Pro, Basics of BIM</t>
  </si>
  <si>
    <t>SOBHA LTD  | COSTING INTERN | KERALA  | May 2026 | Jul 2026 | 9 Weeks | Campus Internship
INTERNSHALA | INTERN TRAINEE | INTERN SHALA TRAININGS ONLINE MODE | Aug 2022 | Oct 2022 | 6.1428571428571 Weeks
PANCHAYAT RAJ  (PRI) SUB DIVISON | INTERN TRAINEE  | AMALAPURAM | Jun 2023 | Jul 2023 | 4.2857142857143 Weeks</t>
  </si>
  <si>
    <t>P25700091</t>
  </si>
  <si>
    <t>GANESH</t>
  </si>
  <si>
    <t>DHANRAJ</t>
  </si>
  <si>
    <t>KODNANI</t>
  </si>
  <si>
    <t>Ganesh Dhanraj Kodnani</t>
  </si>
  <si>
    <t>kodnaniganesh@gmail.com</t>
  </si>
  <si>
    <t>p25700091@student.nicmar.ac.in</t>
  </si>
  <si>
    <t>18-Jun-2003</t>
  </si>
  <si>
    <t>HINDI, ENGLISH, MARATHI</t>
  </si>
  <si>
    <t>5416 0759 7364</t>
  </si>
  <si>
    <t>Plot 261, Sector 25, Pradhikaran, Nigdi, Pune - 411044.</t>
  </si>
  <si>
    <t>ST. URSULA HIGH SCHOOL</t>
  </si>
  <si>
    <t>CITY PRIDE JUNIOR COLLEGE</t>
  </si>
  <si>
    <t>PIMPRI CHINCHWAD COLLEGE OF ENGINEERING, PUNE</t>
  </si>
  <si>
    <t>GreenSpace Realty | Project Management Intern | Pune | May 2026 | Jul 2026 | 8.7142857142857 Weeks | Campus Internship
ANP Corp. | Site Engineer | Pune | Jun 2024 | Jul 2024 | 5 Weeks</t>
  </si>
  <si>
    <t>P25700092</t>
  </si>
  <si>
    <t>ADWAITH</t>
  </si>
  <si>
    <t>SHAJI</t>
  </si>
  <si>
    <t>Adwaith Shaji</t>
  </si>
  <si>
    <t>adwaithshaji07@gmail.com</t>
  </si>
  <si>
    <t>p25700092@student.nicmar.ac.in</t>
  </si>
  <si>
    <t>04-Nov-2002</t>
  </si>
  <si>
    <t>ENGLISH, HINDI, MALAYALAM, TAMIL</t>
  </si>
  <si>
    <t>6112 8717 4758</t>
  </si>
  <si>
    <t>SHAJIMON R</t>
  </si>
  <si>
    <t>BINDU C K</t>
  </si>
  <si>
    <t>Andumadam House, _x000D_
Kappadu P.O, Kanjirappally,_x000D_
Kottayam, Kerala</t>
  </si>
  <si>
    <t>Kottayam</t>
  </si>
  <si>
    <t>AKJM HIGHER SECONDARY SCHOOL KANJIRAPPALLY</t>
  </si>
  <si>
    <t>GOVERNMENT OF KERALA, GENERAL EDUCATION DEPARTMENT, KANJIRAPPALLY, KERALA</t>
  </si>
  <si>
    <t>GOVERNMENT OF KERALA, BOARD OF HIGHER SECONDARY EXAMINATION</t>
  </si>
  <si>
    <t>APJ ABDUL KALAM TECHNOLOGICAL UNIVERSITY, TRIVANDRUM, KERALA, INDIA</t>
  </si>
  <si>
    <t>AMAL JYOTHI COLLEGE OF ENGINEERING, KANJIRAPPALLY, KERALA</t>
  </si>
  <si>
    <t>AutoCAD,MS Office,MS Project,Primavera,IMOS,PYTHA</t>
  </si>
  <si>
    <t>DLife Interiors | Junior Quantity Analyst | Vyttila, Eranakulam | Nov 2024 | May 2025 | 0Y 6M | 2.24</t>
  </si>
  <si>
    <t>Sobha Limited  | Management Intern | Bangalore | May 2026 | Jul 2026 | 9 Weeks | Campus Internship
Kerala State Public Works Department | Site Engineer Intern | Kottayam | May 2023 | May 2023 | 0.57142857142857 Weeks</t>
  </si>
  <si>
    <t>National Service Scheme Volunteer
Student Member of Indian Concrete Institute</t>
  </si>
  <si>
    <t>P25700093</t>
  </si>
  <si>
    <t>MUSTAFA</t>
  </si>
  <si>
    <t>KHAN</t>
  </si>
  <si>
    <t>Mustafa Khan</t>
  </si>
  <si>
    <t>mustafakhan12102002@gmail.com</t>
  </si>
  <si>
    <t>p25700093@student.nicmar.ac.in</t>
  </si>
  <si>
    <t>12-Oct-2002</t>
  </si>
  <si>
    <t>HINDI,ENGLISH,RUSSIAN</t>
  </si>
  <si>
    <t>5107 5094 6454</t>
  </si>
  <si>
    <t>HAMID KHAN</t>
  </si>
  <si>
    <t>KULSUM KHAN</t>
  </si>
  <si>
    <t>HOUSEMAKER</t>
  </si>
  <si>
    <t>B-251, Florence Elite Sushant Lok-3, Sector-57</t>
  </si>
  <si>
    <t>ST. PBN PUBLIC SCHOOL</t>
  </si>
  <si>
    <t>CENTRAL BOARD OF SECONDARY EDUCATION, HARYANA</t>
  </si>
  <si>
    <t>SURAJ SCHOOL</t>
  </si>
  <si>
    <t>AMITY UNIVERSITY</t>
  </si>
  <si>
    <t>AMITY SCHOOL OF ENGINEERING &amp; TECHNOLOGY, GURUGRAM</t>
  </si>
  <si>
    <t>JKUMAR INFRAPROJECTS LIMITED | SITE EXECUTION | NOIDA, UTTAR PRADESH | May 2026 | Jul 2026 | 9.7142857142857 Weeks | Campus Internship
ABR INFRASOLUTIONS PRIVATE LIMITED | JR. CIVIL ENGINEER | GREATER NOIDA | Feb 2024 | Nov 2024 | 43 Weeks
UMANG ENGINEERS | INTERN  | TAPUKARA | Dec 2022 | Feb 2023 | 8.8571428571429 Weeks</t>
  </si>
  <si>
    <t>AutoCAD Civil Arch.</t>
  </si>
  <si>
    <t>P25700094</t>
  </si>
  <si>
    <t>MAULI</t>
  </si>
  <si>
    <t>SUDHAKAR</t>
  </si>
  <si>
    <t>RUDRAWAR</t>
  </si>
  <si>
    <t>Mauli Sudhakar Rudrawar</t>
  </si>
  <si>
    <t>maulirudrawar@gmail.com</t>
  </si>
  <si>
    <t>p25700094@student.nicmar.ac.in</t>
  </si>
  <si>
    <t>5002 7410 0856</t>
  </si>
  <si>
    <t>SANGITA</t>
  </si>
  <si>
    <t>VTP LEONARA ,PUNE</t>
  </si>
  <si>
    <t>'Sant Krupa', Padma Nagar, Near Sai Baba Temple</t>
  </si>
  <si>
    <t>SHRI KESHAVRAJ MADHYAMIK VIDYALAYA</t>
  </si>
  <si>
    <t>SECONDARY SCHOOL CERTIFICATE ,LATUR, MAHARASHTRA</t>
  </si>
  <si>
    <t>SANT TUKARAM NATIONAL MODEL SCHOOL</t>
  </si>
  <si>
    <t>CENTRAL BOARD OF SECONDARY EDUCATION LATUR MAHARASHTRA</t>
  </si>
  <si>
    <t>COLLEGE OF ENGINEERING PUNE, PUNE , MAHARASHTRA</t>
  </si>
  <si>
    <t>AutoCAD,MS Office,MS Project,Primavera,MS Excel,Revit,Power BI</t>
  </si>
  <si>
    <t>Manisha Group Pvt. Ltd. | Billing Engineer | Pune | Sep 2023 | Feb 2024 | 0Y 5M | 1.8</t>
  </si>
  <si>
    <t>New Consolidated Construction Company Ltd (NCCCL) | Planning and Execution Intern | Dombivli, Mumbai | May 2026 | Jul 2026 | 8.7142857142857 Weeks | Campus Internship</t>
  </si>
  <si>
    <t>Staad Pro
Project Planning using MSP
QS and Billing using MS Excel</t>
  </si>
  <si>
    <t>P25700095</t>
  </si>
  <si>
    <t>SREEHARI</t>
  </si>
  <si>
    <t>Sreehari V</t>
  </si>
  <si>
    <t>sreehariv181@gmail.com</t>
  </si>
  <si>
    <t>p25700095@student.nicmar.ac.in</t>
  </si>
  <si>
    <t>18-Jan-2000</t>
  </si>
  <si>
    <t>4065 8415 5943</t>
  </si>
  <si>
    <t>O.P.ANANDHAKRISHNAN</t>
  </si>
  <si>
    <t>BUILDING SUPER</t>
  </si>
  <si>
    <t>SAI GEETHA .V</t>
  </si>
  <si>
    <t>INDIRALAYAM(HOUSE),ARANGOTTUKARA(P/O),THRISSUR(DIST),KERALA</t>
  </si>
  <si>
    <t>SREE MAHARSHI VIDYALAYA</t>
  </si>
  <si>
    <t>CBSE - KERALA</t>
  </si>
  <si>
    <t>CBSE-KERALA</t>
  </si>
  <si>
    <t>THEJUS ENGINEERING COLLEGE  ,KERALA</t>
  </si>
  <si>
    <t>AutoCAD,MS Office,REVIT ARCHITECTURE,REVIT STRUCTURE</t>
  </si>
  <si>
    <t>SAM BUILDERS | Site engineer | palakkad | Jun 2023 | Oct 2024 | 1Y 4M | 1.2</t>
  </si>
  <si>
    <t>SUPREME DESIGNERS | SITE ENGINEER | THRISSUR | May 2022 | Apr 2023 | 51.571428571429 Weeks</t>
  </si>
  <si>
    <t>P25700096</t>
  </si>
  <si>
    <t>PRANAY</t>
  </si>
  <si>
    <t>SUTAR</t>
  </si>
  <si>
    <t>Pranay Bhanudas Sutar</t>
  </si>
  <si>
    <t>pranaybsutar@gmail.com</t>
  </si>
  <si>
    <t>p25700096@student.nicmar.ac.in</t>
  </si>
  <si>
    <t>14-Feb-1998</t>
  </si>
  <si>
    <t>2098 7983 9337</t>
  </si>
  <si>
    <t>BHANUDAS SUTAR</t>
  </si>
  <si>
    <t>SUREKHA SUTAR</t>
  </si>
  <si>
    <t>403 Varadvinayak Apt. House No.408/475 Shiravane Sector 1 Nerul Navi Mumbai 400706</t>
  </si>
  <si>
    <t>ST. XAVIER'S HIGH SCHOOL</t>
  </si>
  <si>
    <t>2002-Jun</t>
  </si>
  <si>
    <t>AGNEL POLYTECHNIC VASHI MAHARASHTRA</t>
  </si>
  <si>
    <t>PILLAI HOC COLLEGE OF ENGINEERING AND TECHNOLOGY</t>
  </si>
  <si>
    <t>Indrayani Developers | Site Engineer | Mumbai Goa hwy, near karnala bird sanctuary Panvel | May 2021 | Apr 2023 | 1Y 11M | 2.2</t>
  </si>
  <si>
    <t>Shrikrupa Enterprises | Project intern | Nerul,NaviMumbai | Jul 2023 | Dec 2023 | 26.142857142857 Weeks
City and Industrial Development Corporation  (CIDCO) | Trainee | Navi Mumbai metro Rail 1 | Jun 2019 | Jul 2019 | 2.8571428571429 Weeks
Ajwani Infrastructure private Ltd. | Trainee engineer | NaviMumbai | May 2016 | Jun 2016 | 4.4285714285714 Weeks</t>
  </si>
  <si>
    <t>NON destructive test on Concrete: An innovative Approach
ISRO's Remote sensing and Digital Image analysis
MACQUARIE University's EXCEl skills for Business : Essentials.
GOOGLE's Foundation of Project Management
Business Foundation &amp; Integration with SAP ERP 6.07
Planning &amp; Control with  Oracle Primavera PPM  Professional
Primavera P6 - Project Setup and Basic Management
Construction Cost Estimation and cost Control (Columbia University)
Data Driven Decisions With Power BI
Google's Agile Project Management Certificate
Google's Project Management Professional Certificate (PMP)</t>
  </si>
  <si>
    <t>P25700097</t>
  </si>
  <si>
    <t>SARTHAK</t>
  </si>
  <si>
    <t>Sarthak Sharma</t>
  </si>
  <si>
    <t>sarthak.sharma.ce@gmail.com</t>
  </si>
  <si>
    <t>p25700097@student.nicmar.ac.in</t>
  </si>
  <si>
    <t>9545 2500 6303</t>
  </si>
  <si>
    <t>VIRENDER KUMAR SHARMA</t>
  </si>
  <si>
    <t>POOJA SHARMA</t>
  </si>
  <si>
    <t>153/3, Jail Road, Mandi</t>
  </si>
  <si>
    <t>Mandi</t>
  </si>
  <si>
    <t>Himachal Pradesh</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</si>
  <si>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</si>
  <si>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</si>
  <si>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</si>
  <si>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</si>
  <si>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</si>
  <si>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t>
  </si>
  <si>
    <t>SRM INSTITUTE OF SCIENCE AND TECHNOLOGY, KATTANKULATHUR, TAMIL NADU</t>
  </si>
  <si>
    <t>Patel Engineering Ltd. | Civil Engineering Intern | Kinnaur, Himachal Pradesh | Jun 2023 | Jul 2023 | 4.1428571428571 Weeks</t>
  </si>
  <si>
    <t>Combat Sports
VIT
IZNIK
NPTEL</t>
  </si>
  <si>
    <t>P25700098</t>
  </si>
  <si>
    <t>BABU</t>
  </si>
  <si>
    <t>KORUBOTHU</t>
  </si>
  <si>
    <t>Karthik Babu Korubothu</t>
  </si>
  <si>
    <t>karthikkorubothu29@gmail.com</t>
  </si>
  <si>
    <t>p25700098@student.nicmar.ac.in</t>
  </si>
  <si>
    <t>29-Jun-2003</t>
  </si>
  <si>
    <t>ENGLISH, HINDI &amp; TELUGU</t>
  </si>
  <si>
    <t>5985 8110 4209</t>
  </si>
  <si>
    <t>KORUBOTHU KRISHNA</t>
  </si>
  <si>
    <t>KORUBOTHU SUWARNA</t>
  </si>
  <si>
    <t>1-1/52 Kondapur Village, Ghatkesar Mandal</t>
  </si>
  <si>
    <t>Medchal</t>
  </si>
  <si>
    <t>MINERVA GRAMMAR SCHOOL</t>
  </si>
  <si>
    <t>SAMSKRUTI COLLEGE OF ENGINEERING AND TECHNOLOGY</t>
  </si>
  <si>
    <t>Goa State Infrastructure Development Corporation GSIDC | Intern Site Execution | Bambolim GOA | May 2026 | Jul 2026 | 8.7142857142857 Weeks | Campus Internship
Ministry Of Road Transport &amp; Highways | Intern | Uppal, Hyderabad | Aug 2023 | Nov 2023 | 13.142857142857 Weeks
Irrigation &amp; CAD Department | Intern | Choppadandi(V), Karminagar | May 2023 | May 2023 | 2.5714285714286 Weeks</t>
  </si>
  <si>
    <t>P25700099</t>
  </si>
  <si>
    <t>AFRIDHEEN</t>
  </si>
  <si>
    <t>SHAIK</t>
  </si>
  <si>
    <t>Afridheen Shaik</t>
  </si>
  <si>
    <t>afridheenshaik1019@gmail.com</t>
  </si>
  <si>
    <t>p25700099@student.nicmar.ac.in</t>
  </si>
  <si>
    <t>23-Aug-2002</t>
  </si>
  <si>
    <t>ENGLISH,HINDI, TELUGU, URDU</t>
  </si>
  <si>
    <t>3876 7039 0842</t>
  </si>
  <si>
    <t>SHAIK ANJAIAH</t>
  </si>
  <si>
    <t>BUSSINESMAN</t>
  </si>
  <si>
    <t>SHAIK MASTAN BEE</t>
  </si>
  <si>
    <t>2-54,kakanipalem, Addanki, Addanki Mandal, Addanki(North)(u) Bapatla District, Andhra Pradesh-523201</t>
  </si>
  <si>
    <t>Bapatla</t>
  </si>
  <si>
    <t>SRI CHAITANYA TECHNO SCHOOL</t>
  </si>
  <si>
    <t>JAWAHARLAL NEHRU TECHNOLOGICAL UNIVERSITY KAKINADA</t>
  </si>
  <si>
    <t>S.R.K.R ENGINEERING COLLEGE,BHIMAVARAM</t>
  </si>
  <si>
    <t>AutoCAD,MS Office,MS Project,Primavera,ETABS,Revit</t>
  </si>
  <si>
    <t>SOBHA Limited | Planning Intern | Thrissur,Kerala | May 2026 | Jul 2026 | 9 Weeks | Campus Internship
Municipal Administration Department | Intern | Bhimavaram | Dec 2024 | Apr 2025 | 17.285714285714 Weeks
ASCENT CS GLOBAL | INTERN | HYDERABAD | Jul 2023 | Sep 2023 | 8.8571428571429 Weeks
Skill Dzire | Intern | Hyderabad | Dec 2024 | Apr 2025 | 17.285714285714 Weeks</t>
  </si>
  <si>
    <t>P25700100</t>
  </si>
  <si>
    <t>DNYANESHWAR</t>
  </si>
  <si>
    <t>GIRI</t>
  </si>
  <si>
    <t>Dnyaneshwar Shivaji Giri</t>
  </si>
  <si>
    <t>710giri30102002@gmail.com</t>
  </si>
  <si>
    <t>p25700100@student.nicmar.ac.in</t>
  </si>
  <si>
    <t>30-Oct-2002</t>
  </si>
  <si>
    <t>4416 8923 7103</t>
  </si>
  <si>
    <t>SHARDA</t>
  </si>
  <si>
    <t>Tuljabhawani Coloney Nagzari Road, Ambajogai</t>
  </si>
  <si>
    <t>Beed</t>
  </si>
  <si>
    <t>YOGESHWARI NUTAN VIDHALAYA AMBAJOGAI</t>
  </si>
  <si>
    <t>MAHARASHTRA</t>
  </si>
  <si>
    <t>YOGESHWARI POLYTECHNIC COLLEGE AMBAJOGAI</t>
  </si>
  <si>
    <t>D.K.T.E TEXTILE AND ENGINEERING INSTITUTE ICHALKARANJI</t>
  </si>
  <si>
    <t>AutoCAD,MS Office,MS Project,Primavera,Revit,Staddpro,CostX</t>
  </si>
  <si>
    <t>Rohan Builders Pune | Graduate Engineer Trainee (GET) | pune | Jul 2024 | Oct 2024 | 0Y 3M | 3.18
Infra Market | Graduate Engineer Trainee (Technical) | pune | Oct 2024 | Jan 2025 | 0Y 2M | 4</t>
  </si>
  <si>
    <t xml:space="preserve"> Badiyani Constructions | Summer Intern-Design Coordination+Exectution | pune | May 2026 | Jul 2026 | 9.7142857142857 Weeks | Campus Internship
UNIQUE UHPC INFRA LLP | Site Engineer Intern | Satara | Dec 2022 | Jan 2023 | 3.1428571428571 Weeks</t>
  </si>
  <si>
    <t>Research Paper publication
Rohan Skill Development Centre
REVIT
AUTOCAD</t>
  </si>
  <si>
    <t>P25700101</t>
  </si>
  <si>
    <t>TANISH</t>
  </si>
  <si>
    <t>SAMNERKAR</t>
  </si>
  <si>
    <t>Tanish Prashant Samnerkar</t>
  </si>
  <si>
    <t>tsamnerkar@gmail.com</t>
  </si>
  <si>
    <t>p25700101@student.nicmar.ac.in</t>
  </si>
  <si>
    <t>17-Apr-2003</t>
  </si>
  <si>
    <t>AB-ve</t>
  </si>
  <si>
    <t>5716 6794 5840</t>
  </si>
  <si>
    <t>PRASHANT BHIKA WANI</t>
  </si>
  <si>
    <t>MANISHA PRASHANT WANI</t>
  </si>
  <si>
    <t>11,'Prashant' Bunglow, Indraprastha Colony, Upnagar, Nashik-6</t>
  </si>
  <si>
    <t>SACRED HEART CONVENT HIGH SCHOOL</t>
  </si>
  <si>
    <t>GURU GOBIND SINGH POLYTECHNIC, NASHIK</t>
  </si>
  <si>
    <t>GOKHALE EDUCATION SOCIETY'S R. H. SAPAT COLLEGE OF ENGINEERING, MANAGEMENT STUDIES AND RESEARCH, NASHIK</t>
  </si>
  <si>
    <t>Fortune Group  | Construction Management Intern | Nashik | May 2026 | Jul 2026 | 8 Weeks | Campus Internship
RACHANA GROUP | SITE ENGINEER | NASHIK | Jan 2024 | Mar 2024 | 6.5714285714286 Weeks</t>
  </si>
  <si>
    <t>AutoCad
Professional Estimation and Costing Course
Professional Billing Course
Internship training in construction skill development</t>
  </si>
  <si>
    <t>P25700103</t>
  </si>
  <si>
    <t>Karthik K S</t>
  </si>
  <si>
    <t>karthikgeena678@gmail.com</t>
  </si>
  <si>
    <t>p25700103@student.nicmar.ac.in</t>
  </si>
  <si>
    <t>30-Aug-2002</t>
  </si>
  <si>
    <t>ENGLISH,MALAYALAM</t>
  </si>
  <si>
    <t>5610 6450 4723</t>
  </si>
  <si>
    <t>K U SUBRAMANIAN</t>
  </si>
  <si>
    <t>KERALA COOPERATIVE BANK MANAGER</t>
  </si>
  <si>
    <t>GEENA C M</t>
  </si>
  <si>
    <t>RET. GOVERNMENT EMPLOYEE</t>
  </si>
  <si>
    <t>KAIPPULLY HOUSE MEDICAL COLLEGE PO THRISSUR</t>
  </si>
  <si>
    <t>CHINMAYA VIDYALAYA KOLAZHY</t>
  </si>
  <si>
    <t>VIVEKODAYAM BOYS HIGHER SECONDARY SCHOOL</t>
  </si>
  <si>
    <t>GOVERNMENT OF KERALA BOARD OF HIGHER SECONDARY EXAMINATIONS</t>
  </si>
  <si>
    <t>JYOTHI ENGINEERING COLLEGE THRISSUR</t>
  </si>
  <si>
    <t>ACC LIMITED | HELP BIKE ENGINEER | Thrissur | Oct 2024 | Feb 2025 | 0Y 4M | 3</t>
  </si>
  <si>
    <t>THRISSUR BUILDERS PRIVATE LIMITED | INTERN | THRISSUR | Feb 2024 | Mar 2024 | 1.7142857142857 Weeks
PUBLIC WORK DEPARTMENTS KERALA | INTERN | WADDAKKANCHERRY | May 2023 | May 2023 | 1 Weeks</t>
  </si>
  <si>
    <t>P25700104</t>
  </si>
  <si>
    <t>RUTWIK</t>
  </si>
  <si>
    <t>SATISHRAO</t>
  </si>
  <si>
    <t>BHOGE</t>
  </si>
  <si>
    <t>Rutwik Satishrao Bhoge</t>
  </si>
  <si>
    <t>bhogerutwik2002@gmail.com</t>
  </si>
  <si>
    <t>p25700104@student.nicmar.ac.in</t>
  </si>
  <si>
    <t>23-Feb-2002</t>
  </si>
  <si>
    <t>9514 6997 3421</t>
  </si>
  <si>
    <t>SATISH K. BHOGE</t>
  </si>
  <si>
    <t>HARSHIKA S. BHOGE</t>
  </si>
  <si>
    <t>Ramnagar Bhagat Singh Chowk, C/o Sandip Bhandwalkar House, Wardha</t>
  </si>
  <si>
    <t>SUSHIL HIMATSINGAKA VIDYALAYA WARDHA</t>
  </si>
  <si>
    <t>MAHARASHTRA STATE BOARD OF SECONDARY AND HIGHER SECONDARY EDUCATION, PUNE , MAHARASHTRA</t>
  </si>
  <si>
    <t>ACHARYA SHRIMANNARAYAN POLYTECHNIC, PIPRI (MEGHE), WARDHA</t>
  </si>
  <si>
    <t>DR. BABASAHEB AMBEDKAR TECHNOLOGICAL UNIVERSITY LONERE - RAIGAD, MAHARASHTRA</t>
  </si>
  <si>
    <t>BAJAJ INSTITUTE OF TECHNOLOGY, WARDHA</t>
  </si>
  <si>
    <t>AutoCAD,MS Office,MS Project,Primavera,ESTIMATION,Revit,ETabs</t>
  </si>
  <si>
    <t>HonarAI Pvt Ltd | Graduate Engineer Trainee | Nashik | Jan 2024 | Mar 2025 | 1Y 2M | 2.4</t>
  </si>
  <si>
    <t>P25700105</t>
  </si>
  <si>
    <t>NARESH</t>
  </si>
  <si>
    <t>RAJPUT</t>
  </si>
  <si>
    <t>Ashutosh Naresh Rajput</t>
  </si>
  <si>
    <t>rajputashu5514@gmail.com</t>
  </si>
  <si>
    <t>p25700105@student.nicmar.ac.in</t>
  </si>
  <si>
    <t>29-Jul-2000</t>
  </si>
  <si>
    <t>2929 4828 6064</t>
  </si>
  <si>
    <t>NARESH PRABHAKAR RAJPUT</t>
  </si>
  <si>
    <t>MAYA PRABHAKAR RAJPUT</t>
  </si>
  <si>
    <t>AT POST BULDHANA NEAR SARASWATI COLLEGE CHIKALI ROAD</t>
  </si>
  <si>
    <t>ST. JOSEPH'S ENGLISH HIGH SCHOOL BULDHANA</t>
  </si>
  <si>
    <t>MAHARASHTRA STATE BOARD OF SECONDARY AND HIGHER SECONDARY EDUCATION PUNE</t>
  </si>
  <si>
    <t>RAMBHAU LINGADE POLYTECHNIC COLLEGE BULDHANA</t>
  </si>
  <si>
    <t>DR. D.Y. PATIL COLLEGE OF ENGINEERING AKURDI, PUNE</t>
  </si>
  <si>
    <t>SHIVPRABHU CONSTRUCTION | SITE ENGINEER  | BULDHANA | Oct 2025 | Feb 2025 | -34.571428571429 Weeks</t>
  </si>
  <si>
    <t>P25700106</t>
  </si>
  <si>
    <t>NITISH</t>
  </si>
  <si>
    <t>BARUAH</t>
  </si>
  <si>
    <t>Nitish Baruah</t>
  </si>
  <si>
    <t>nitishbaruah724@gmail.com</t>
  </si>
  <si>
    <t>p25700106@student.nicmar.ac.in</t>
  </si>
  <si>
    <t>19-Dec-1999</t>
  </si>
  <si>
    <t>ENGLISH, HINDI, ASSAMESE</t>
  </si>
  <si>
    <t>6134 7282 7525</t>
  </si>
  <si>
    <t>ROHINI KUMAR BARUAH</t>
  </si>
  <si>
    <t>ACCOUNTS OFFICER, ASSAM SECRETARIAT (RETIRED)</t>
  </si>
  <si>
    <t>HIRAMONI BARUAH</t>
  </si>
  <si>
    <t>Kharghuli Road, Near Subham Residency, Kharghuli</t>
  </si>
  <si>
    <t>DON BOSCO SCHOOL GUWHATI ASSAM</t>
  </si>
  <si>
    <t>CENTRAL BOARD OF SECONDARY EDUCATION, GUWAHATI, ASSAM</t>
  </si>
  <si>
    <t>TEZPUR UNIVERSITY ( A CENTRAL UNIVERSITY ), TEZPUR, ASSAM</t>
  </si>
  <si>
    <t>AutoCAD,MS Office,MS Project,Primavera,Revit,STAAD Pro</t>
  </si>
  <si>
    <t>Construction Industry Development Council, New Delhi | Intern (online) | Guwahati | Jun 2021 | Jul 2021 | 4.1428571428571 Weeks
OFFICE OF THE EXECUTIVE ENGINEER, DUDHNOI AND GOALPARA EAST TERRITORIAL ROAD DIVISION, GOALPARA, ASSAM (Public Works Department Government of Assam) | Intern | Goalpara, Assam | Dec 2020 | Jan 2021 | 4.4285714285714 Weeks</t>
  </si>
  <si>
    <t>AUTOCAD
STAAD Pro
Revit</t>
  </si>
  <si>
    <t>P25700107</t>
  </si>
  <si>
    <t>DELVIN</t>
  </si>
  <si>
    <t>DAVIS</t>
  </si>
  <si>
    <t>C</t>
  </si>
  <si>
    <t>Delvin Davis C</t>
  </si>
  <si>
    <t>delvindavis97@gmail.com</t>
  </si>
  <si>
    <t>p25700107@student.nicmar.ac.in</t>
  </si>
  <si>
    <t>27-Jun-1997</t>
  </si>
  <si>
    <t>ENGLISH, MALAYALAM,  HINDI</t>
  </si>
  <si>
    <t>5055 8012 2559</t>
  </si>
  <si>
    <t>DAVIS C J</t>
  </si>
  <si>
    <t>RETD. POSTAL ASSISTANT</t>
  </si>
  <si>
    <t>LINET</t>
  </si>
  <si>
    <t>Chemmannur House Thiroor, Behind St.Thomas Church, Mulagunnathukavu P.O, Thrissur.</t>
  </si>
  <si>
    <t>2004-Jun</t>
  </si>
  <si>
    <t>JYOTHI ENGINEERING COLLEGE THRISSUR/KERALA</t>
  </si>
  <si>
    <t>AutoCAD,MS Office,MS Project,Primavera,Planswift,MS Excel</t>
  </si>
  <si>
    <t>PROGRAMME IMPLEMENTATION UNIT, LSGD | SITE ENGINEER | Thrissur | Nov 2024 | Jun 2025 | 0Y 7M | 3
USHUS PROPERTIES AND INFRASTRUCTURE PVT.LTD. (TBPL) | SITE ENGINEER TRAINEE | Thrissur | Sep 2022 | Feb 2023 | 0Y 5M | 0.96</t>
  </si>
  <si>
    <t>CENTRE OF SCIENCE AND TECHNOLOGY FOR RURAL DEVELOPMENT | SITE SUPERVISION | THRISSUR | Jul 2018 | Jul 2018 | 0.57142857142857 Weeks</t>
  </si>
  <si>
    <t>QUANTITY SURVEYING
Finance for Non-Financial Managers
NPTEL/Business and Sustainable Development
NPTEL/Ethics in Engineering Practice</t>
  </si>
  <si>
    <t>P25700108</t>
  </si>
  <si>
    <t>KOUNAIN</t>
  </si>
  <si>
    <t>Kounain Khan</t>
  </si>
  <si>
    <t>kounain422@gmail.com</t>
  </si>
  <si>
    <t>p25700108@student.nicmar.ac.in</t>
  </si>
  <si>
    <t>02-Feb-2003</t>
  </si>
  <si>
    <t>5619 3286 5986</t>
  </si>
  <si>
    <t>NAWAB ALI</t>
  </si>
  <si>
    <t>TASLEEMUNNISA</t>
  </si>
  <si>
    <t>Plot No. 2/B/8, Shivaji Nagar, Govandi</t>
  </si>
  <si>
    <t>ENFANT INDIA ENGLISH SCHOOL</t>
  </si>
  <si>
    <t>SECONDARY SCHOOL CERTIFICATE, MUMBAI/ MAHARASHTRA</t>
  </si>
  <si>
    <t>VIVEKANAND EDUCATION SOCIETY'S POLYTECHNIC COLLEGE, MUMBAI/ MAHARASHTRA</t>
  </si>
  <si>
    <t>MAHATMA GANDHI MISSION'S COLLEGE OF ENGINEERING &amp; TECHNOLOGY, NAVI MUMBAI/ MAHARASHTRA</t>
  </si>
  <si>
    <t>Aakar Abhinav Consultants Pvt Ltd | Site Engineer | Mumbai, Maharashtra | Oct 2024 | Jul 2025 | 0Y 8M | 2.88</t>
  </si>
  <si>
    <t>P25700109</t>
  </si>
  <si>
    <t>SUBINIT</t>
  </si>
  <si>
    <t>NANDI</t>
  </si>
  <si>
    <t>Subinit Nandi</t>
  </si>
  <si>
    <t>nandisubinit@gmail.com</t>
  </si>
  <si>
    <t>p25700109@student.nicmar.ac.in</t>
  </si>
  <si>
    <t>09-Apr-1999</t>
  </si>
  <si>
    <t>BENGALI, ENGLISH, HINDI</t>
  </si>
  <si>
    <t>7619 4311 3106</t>
  </si>
  <si>
    <t>SIBAMOY NANDI</t>
  </si>
  <si>
    <t>RETIRED AXEN, NF RAILWAYS</t>
  </si>
  <si>
    <t>PAPRI NANDI</t>
  </si>
  <si>
    <t>B-14/13, KALYANI, NADIA, WEST BENGAL</t>
  </si>
  <si>
    <t>Nadia</t>
  </si>
  <si>
    <t>PANNALAL INSTITUTION</t>
  </si>
  <si>
    <t>WEST BENGAL BOARD OF SECONDARY EDUCATION WEST BENGAL</t>
  </si>
  <si>
    <t>WEST BENGAL COUNCIL OF HIGHER SECONDARY EDUCATION  WEST BENGAL</t>
  </si>
  <si>
    <t>HOOGHLY ENGINEERING &amp;TECHNOLOGY COLLEGE  WEST BENGAL</t>
  </si>
  <si>
    <t xml:space="preserve">AutoCAD, MS Office, MS Project, Primavera, BIM, CostX, </t>
  </si>
  <si>
    <t>VENSAR CONSTRUCTIONS COMPANY LIMITED | Graduate Trainee Engineer  | NAGALAND | Aug 2024 | Jun 2025 | 0Y 10M | 2.16</t>
  </si>
  <si>
    <t>Larsen &amp; Toubro Limited  | PLANNING AND EXECUTION | KALYANI, NADIA, WEST BENGAL | May 2026 | Jul 2026 | 8.7142857142857 Weeks | Campus Internship
Northeast Frontier Railway | INTERN | Maligaon, Guwahati | Jul 2022 | Aug 2022 | 4.1428571428571 Weeks</t>
  </si>
  <si>
    <t>WIND ENERGY</t>
  </si>
  <si>
    <t>P25700110</t>
  </si>
  <si>
    <t>Aditya Sarjerao Kshirsagar</t>
  </si>
  <si>
    <t>kshirsagaraditya2411@gmail.com</t>
  </si>
  <si>
    <t>p25700110@student.nicmar.ac.in</t>
  </si>
  <si>
    <t>24-Nov-2001</t>
  </si>
  <si>
    <t>4287 7810 1763</t>
  </si>
  <si>
    <t>SARJERAO B KSHIRSAGAR</t>
  </si>
  <si>
    <t>MEERA S KSHIRSAGAR</t>
  </si>
  <si>
    <t>Om Sadan, 71/1/2/197, Krushna Chowk Road ,near Samarth Vihar, New Sangavi Pune</t>
  </si>
  <si>
    <t>DAV PUBLIC SCHOOL AUNDH, PUNE</t>
  </si>
  <si>
    <t>CENTRAL BOARD OF SECONDARY EDUCATION (CBSE) PUNE, MAHARASHTRA</t>
  </si>
  <si>
    <t>2005-Feb</t>
  </si>
  <si>
    <t>A I S S M S POLYTECHNIC PUNE</t>
  </si>
  <si>
    <t>DR. D. Y. PATIL INSTITUTE OF TECHNOLOGY PUNE</t>
  </si>
  <si>
    <t>AutoCAD,MS Office,MS Project,Primavera,Staad pro,Ideastatica,RAM CONNECTIONS,CostX,Revit</t>
  </si>
  <si>
    <t>Partik Constructions | Site Engineer | Hinjawadi | Jun 2023 | Dec 2023 | 0Y 6M | 2.16
Antarkar Consulting Engineers | Structural Engineer | Bavdhan | Mar 2024 | Mar 2025 | 1Y 0M | 2.48</t>
  </si>
  <si>
    <t>Reliance Industries Limited, New Energy Business | Management Intern | Reliance Corporate Park, Ghansoli, Navi Mumbai | May 2026 | Jul 2026 | 8.5714285714286 Weeks | Campus Internship
RESONIC CONSTRUCTION | JUNIOR ENGINEER | PUNE | Dec 2023 | Feb 2024 | 8 Weeks
MAHARASHTRA METRO RAIL CORPORATION LIMITE, PUNE METRO | JUNIOR SITE ENGINEER INTERN | PUNE | Dec 2021 | Jan 2022 | 4.2857142857143 Weeks
ZILLA PARISHAD PUNE | JUNIOR ENGINEER | PUNE | May 2019 | Jun 2019 | 6 Weeks</t>
  </si>
  <si>
    <t>MSCIT
Information Technology
STAAD.PRO CONNECT edition
Finance for Non-Financial Managers</t>
  </si>
  <si>
    <t>P25700111</t>
  </si>
  <si>
    <t>DEVANSHU</t>
  </si>
  <si>
    <t>KODHEY</t>
  </si>
  <si>
    <t>Devanshu Dilip Kodhey</t>
  </si>
  <si>
    <t>devanshukodhey@gmail.com</t>
  </si>
  <si>
    <t>p25700111@student.nicmar.ac.in</t>
  </si>
  <si>
    <t>20-Jul-2003</t>
  </si>
  <si>
    <t>8857 6565 3854</t>
  </si>
  <si>
    <t>DILIP VITTHALRAO KODHEY</t>
  </si>
  <si>
    <t>RETIRED OFFICER</t>
  </si>
  <si>
    <t>VARSHA DILIP KODHEY</t>
  </si>
  <si>
    <t>FLAT NO. 1708, R16 - A BUILDING LIFE REPUBLIC MULSHI PUNE MARUNJI</t>
  </si>
  <si>
    <t>Plot No.459, New Subhedar Lay-out Near NIT Garden Nagpur</t>
  </si>
  <si>
    <t>SANJUBA HIGH SCHOOL</t>
  </si>
  <si>
    <t>MAHARASHTRA STATE BOARD OF SECONDARY AND HIGHER SECONDARY EDUCATION, PUNE  MAHARASHTRA</t>
  </si>
  <si>
    <t>G. H. RAISONI POLYTECHNIC, NAGPUR</t>
  </si>
  <si>
    <t>2019-Oct</t>
  </si>
  <si>
    <t>PRIYADARSHANI COLLEGE OF ENGINEERING, NAGPUR MAHARASHTRA.</t>
  </si>
  <si>
    <t>NABHA POWER LIMITED - Owned by L&amp;T | Trainee | Rajpura, Punjab. | Jun 2024 | Jul 2024 | 3 Weeks
PREETEE Builder | Trainee Engineer | Nagpur | Jul 2023 | Jul 2023 | 2.7142857142857 Weeks</t>
  </si>
  <si>
    <t>P25700113</t>
  </si>
  <si>
    <t>PARMAR</t>
  </si>
  <si>
    <t>KIRPALSINH</t>
  </si>
  <si>
    <t>NARENDRASINH</t>
  </si>
  <si>
    <t>Parmar Kirpalsinh Narendrasinh</t>
  </si>
  <si>
    <t>parmarkirpal4189@gmail.com</t>
  </si>
  <si>
    <t>p25700113@student.nicmar.ac.in</t>
  </si>
  <si>
    <t>20-Dec-2002</t>
  </si>
  <si>
    <t>GUJARATI, HINDI AND ENGLISH</t>
  </si>
  <si>
    <t>6102 0358 9494</t>
  </si>
  <si>
    <t>NARENDRASINH PARMAR</t>
  </si>
  <si>
    <t>TALUKA HEALTH SUPERVISOR</t>
  </si>
  <si>
    <t>BHAVNABEN PARMAR</t>
  </si>
  <si>
    <t>A7 Shastri Park Society, Nava Bajar, Karjan</t>
  </si>
  <si>
    <t>Vadodara</t>
  </si>
  <si>
    <t>PRAMUKH SWAMI VIDHYALAYA</t>
  </si>
  <si>
    <t>GUJARAT SECONDARY &amp; HIGHER SECONDARY EDUCATION BOARD, GUJARAT</t>
  </si>
  <si>
    <t>SARDAR VALLBHBHAI NATIONAL INSTITUTE OF TECHNOLOGY</t>
  </si>
  <si>
    <t>SARDAR VALLBHBHAI NATIONAL INSTITUTE OF TECHNOLOGY, SURAT</t>
  </si>
  <si>
    <t>ANP Shelter LLP | Internship Trainee | Pune | May 2026 | Jul 2026 | 8.7142857142857 Weeks | Campus Internship
NATIONAL HIGHWAY AUTHORITY OF INDIA, PIU-SURAT | INTERNSHIP TRAINEE | SURAT | Jan 2024 | Apr 2024 | 14.714285714286 Weeks
GUJARAT ALKALIES AND CHEMICALS LIMITED | APPRENTICE GRADUATE ENGINEER | DAHEJ | Apr 2025 | Jun 2025 | 12.714285714286 Weeks</t>
  </si>
  <si>
    <t>P25700114</t>
  </si>
  <si>
    <t>Aditya Krishna R</t>
  </si>
  <si>
    <t>adityakrishnar2002@gmail.com</t>
  </si>
  <si>
    <t>p25700114@student.nicmar.ac.in</t>
  </si>
  <si>
    <t>ENGLISH , MALAYALAM , HINDI</t>
  </si>
  <si>
    <t>4053 8309 4194</t>
  </si>
  <si>
    <t>P M REJIMON</t>
  </si>
  <si>
    <t>GOVERNMENT  SERVANT</t>
  </si>
  <si>
    <t>NIMMI DAMODHARAN</t>
  </si>
  <si>
    <t>REJI BHAVAN , MANIYAM KUNNU , POONJAR THEKKEKKARA , POONJAR THEKKEKKARA</t>
  </si>
  <si>
    <t>HOLY SPIRIT PUB SCH PAYYANITHOTTAM KOTTAYAM KL</t>
  </si>
  <si>
    <t>S M V HSS</t>
  </si>
  <si>
    <t>GOVERNMENT OF KERALA BOARD OF HIGHER SECONDARY EDUCATION</t>
  </si>
  <si>
    <t>A P J ABDUL KALAM TECHNOLOGICAL UNIVERSITY , THIRUVANANTHAPURAM , KERALA</t>
  </si>
  <si>
    <t>AMAL JYOTHI COLLEGE OF ENGINEERING , KANJIRAPPALLY , KERALA</t>
  </si>
  <si>
    <t>Silpi Global Pvt. Ltd. | Site Engineer | KOCHI | Jul 2024 | Jun 2025 | 0Y 10M | 2.34</t>
  </si>
  <si>
    <t>Rodic Consultants Pvt. Ltd. | Operations Intern | Work from home  | May 2026 | Jul 2026 | 8.5714285714286 Weeks | Campus Internship
Kerala State Public Works Department | Site Engineer Intern | KOTTAYAM  | May 2023 | May 2023 | 0.57142857142857 Weeks</t>
  </si>
  <si>
    <t>Introduction to AutoCAD</t>
  </si>
  <si>
    <t>P25700115</t>
  </si>
  <si>
    <t>Yash Santosh Kadam</t>
  </si>
  <si>
    <t>yk.yashkadam@gmail.com</t>
  </si>
  <si>
    <t>p25700115@student.nicmar.ac.in</t>
  </si>
  <si>
    <t>11-Feb-2003</t>
  </si>
  <si>
    <t>3916 9932 3288</t>
  </si>
  <si>
    <t>SANTOSH KADAM</t>
  </si>
  <si>
    <t>DIKSHA KADAM</t>
  </si>
  <si>
    <t>Dharma Apartments, Near Baal Gopal School, Pimpri Pune 411017.</t>
  </si>
  <si>
    <t>JAI HIND HIGH SCHOOL</t>
  </si>
  <si>
    <t>PIMPRI CHINCHWAD POLYTECHNIC, PUNE, MAHARASHTRA</t>
  </si>
  <si>
    <t>SYMBIOSIS SKILLS &amp; OPEN UNIVERSITY</t>
  </si>
  <si>
    <t>SYMBIOSIS SKILLS &amp; PROFESSIONAL UNIVERSITY, PUNE, MAHARASHTRA.</t>
  </si>
  <si>
    <t>P25700116</t>
  </si>
  <si>
    <t>DWITESH</t>
  </si>
  <si>
    <t>Dwitesh Dilip Pawar</t>
  </si>
  <si>
    <t>dwiteshpawar@gmail.com</t>
  </si>
  <si>
    <t>p25700116@student.nicmar.ac.in</t>
  </si>
  <si>
    <t>28-Jun-2002</t>
  </si>
  <si>
    <t>2250 9931 9141</t>
  </si>
  <si>
    <t>DILIP VISHRAM PAWAR</t>
  </si>
  <si>
    <t>SERVICE IN B.E.S.T</t>
  </si>
  <si>
    <t>DAKSHATA DILIP PAWAR</t>
  </si>
  <si>
    <t>201/7- Ravi Chintan, Ravi Chintan 7-8 CHS LTD., Gaurav Sankalp Phase-1, Next To Shanti Vidya Nagari, Near GCC Club, Hatkesh, Mira Road (E), Mira Bhayander Road, Thane</t>
  </si>
  <si>
    <t>VEDANT INTERNATIONAL HIGH SCHOOL</t>
  </si>
  <si>
    <t>ZAGDU SINGH CHARITABLE TRUST'S THAKUR POLYTECHNIC, KANDIVALI (E), MUMBAI, MAHARASHTRA.</t>
  </si>
  <si>
    <t>THAKUR COLLEGE OF ENGINEERING AND TECHNOLOGY, KANDIVALI (E), MUMBAI, MAHARASHTRA.</t>
  </si>
  <si>
    <t>AutoCAD, MS Office, MS Project, Primavera, Revit, SmartPLS</t>
  </si>
  <si>
    <t>INDIAN KNOWLEDGE SYSTEM DIVISION MINISTRY OF EDUCATION, GOVERNMENT OF INDIA | RESEARCH INTERN | MUMBAI | Aug 2023 | Oct 2023 | 8.7142857142857 Weeks
MINISTRY OF HOUSING AND URBAN AFFAIRS | RESEARCH INTERN | MUMBAI | Jul 2022 | Aug 2022 | 5 Weeks</t>
  </si>
  <si>
    <t>P25700117</t>
  </si>
  <si>
    <t>Utkarsh Singh</t>
  </si>
  <si>
    <t>singhu381@gmail.com</t>
  </si>
  <si>
    <t>p25700117@student.nicmar.ac.in</t>
  </si>
  <si>
    <t>01-Oct-2001</t>
  </si>
  <si>
    <t>ENGLISH &amp; HINDI</t>
  </si>
  <si>
    <t>7155 4007 3416</t>
  </si>
  <si>
    <t>VIMLESH</t>
  </si>
  <si>
    <t>AUDIT OFFICER</t>
  </si>
  <si>
    <t>LEENA ANANT</t>
  </si>
  <si>
    <t>House No.1, Adarsh Street 3, Adarsh Nagar, Mowa, Raipur</t>
  </si>
  <si>
    <t>Raipur</t>
  </si>
  <si>
    <t>GYAN GANGA EDUCATIONAL ACADEMY</t>
  </si>
  <si>
    <t>CENTRAL BOARD OF SECONDARY EDUCATION (RAIPUR,CHATTISGARH)</t>
  </si>
  <si>
    <t>CHHATTISGARH SWAMI VIVEKANAND TECHNICAL UNIVERSITY, BHILAI, CHATTISSGARH</t>
  </si>
  <si>
    <t>SHRI SHANKARACHARYA INSTITUTE OF PROFESSIONAL MANAGEMENT AND TECHNOLOGY, RAIPUR ,CHATTISSGARH</t>
  </si>
  <si>
    <t>AutoCAD,MS Office,MS Project,Primavera,MS EXCEL,MS POWERPOINT,POWER BI</t>
  </si>
  <si>
    <t>RITES LIMITED | Project Management Intern | GURUGRAM | May 2026 | Jul 2026 | 9 Weeks | Campus Internship
NAVA RAIPUR ATAL NAGAR SMART CITY CORPORATION LIMITED | SITE INTERN | RAIPUR | Feb 2023 | Aug 2023 | 25.714285714286 Weeks
CAD BRAIN | Design and Analyst Intern | Raipur | Jul 2022 | Jul 2022 | 1.7142857142857 Weeks</t>
  </si>
  <si>
    <t>REVIT
AUTOCAD</t>
  </si>
  <si>
    <t>P25700118</t>
  </si>
  <si>
    <t>PALASH</t>
  </si>
  <si>
    <t>BHAGAT</t>
  </si>
  <si>
    <t>Palash Bhagat</t>
  </si>
  <si>
    <t>palash.bhagat04@gmail.com</t>
  </si>
  <si>
    <t>p25700118@student.nicmar.ac.in</t>
  </si>
  <si>
    <t>04-Aug-2000</t>
  </si>
  <si>
    <t>9007 0678 2351</t>
  </si>
  <si>
    <t>RAVINDRA NATH BHAGAT</t>
  </si>
  <si>
    <t>ASHA BHAGAT</t>
  </si>
  <si>
    <t>E-601,JAI VIJAY , KOLTE PATIL_x000D_
VILE PARLE,MUMBAI</t>
  </si>
  <si>
    <t>Unit D, Sector 4, Row House 9_x000D_
Row House 9</t>
  </si>
  <si>
    <t>Ranchi</t>
  </si>
  <si>
    <t>Jharkhand</t>
  </si>
  <si>
    <t>DELHI PUBLIC SCHOOL,SAIL TOWNSHIP DHURWA,RANCHI,JH</t>
  </si>
  <si>
    <t>SUSHANT UNIVERSITY , GURUGRAM</t>
  </si>
  <si>
    <t>SCHOOL OF ART AND ARCHITECTURE , GURUGRAM</t>
  </si>
  <si>
    <t>AutoCAD,MS Office,MS Project,Primavera,ARCHICAD,PHOTOSHOP,SKETCHUP,LUMION</t>
  </si>
  <si>
    <t>DESIGNERS GROUP | ARCHITECT | Mumbai | May 2024 | Jul 2025 | 1Y 2M | 3</t>
  </si>
  <si>
    <t>We Design | Intern Architect | Delhi | Jun 2022 | Dec 2022 | 26.142857142857 Weeks</t>
  </si>
  <si>
    <t>P25700119</t>
  </si>
  <si>
    <t>AHMED</t>
  </si>
  <si>
    <t>SHEIKH</t>
  </si>
  <si>
    <t>Sahil Ahmed Sheikh</t>
  </si>
  <si>
    <t>sahil2b23@gmail.com</t>
  </si>
  <si>
    <t>p25700119@student.nicmar.ac.in</t>
  </si>
  <si>
    <t>27-Aug-1999</t>
  </si>
  <si>
    <t>ENGLISH , HINDI</t>
  </si>
  <si>
    <t>7827 7817 6531</t>
  </si>
  <si>
    <t>SHAKIR AHMED SHEIKH</t>
  </si>
  <si>
    <t>SHAMINA PARVIN SHEIKH</t>
  </si>
  <si>
    <t>G193/1-c ,near Church, Behind Lucky Palace, Bhopal Pura Road , Bhilwara</t>
  </si>
  <si>
    <t>Bhilwara</t>
  </si>
  <si>
    <t>SH ADARSH VIDYA NIKETAN SR. SEC. SCHOOL</t>
  </si>
  <si>
    <t>BOARD OF SECONDARY EDUCATION , RAJASTHAN</t>
  </si>
  <si>
    <t>SANGAM UNIVERSITY, BHILWARA, RAJASTHAN</t>
  </si>
  <si>
    <t>SANGAM UNIVERSITY</t>
  </si>
  <si>
    <t>Aditi Constructions | Site Engineer | BHILWARA, RAJASTHAN | Jul 2021 | Jun 2022 | 0Y 11M | 2.4</t>
  </si>
  <si>
    <t>SRI VAARAHI Real Assets | Real Estate Advisor  | Hyderabad | May 2026 | Jul 2026 | 8.7142857142857 Weeks | Campus Internship
GARUDA DEVELOPERS | INTERN | KUDASAN, GANDHINAGAR, GUJARAT | Jan 2021 | Jun 2021 | 24 Weeks</t>
  </si>
  <si>
    <t>AutoCAD / "Introduction to CAD"</t>
  </si>
  <si>
    <t>P25700121</t>
  </si>
  <si>
    <t>DEVGAONKAR</t>
  </si>
  <si>
    <t>Devgaonkar Yash Santosh</t>
  </si>
  <si>
    <t>ydevgaonkar@gmail.com</t>
  </si>
  <si>
    <t>p25700121@student.nicmar.ac.in</t>
  </si>
  <si>
    <t>3256 8722 9996</t>
  </si>
  <si>
    <t>SANTOSH DEVGAONKAR</t>
  </si>
  <si>
    <t>POOJA</t>
  </si>
  <si>
    <t>Rashin, Taluka: Karjat, District: Ahmednagar</t>
  </si>
  <si>
    <t>DYNAMIC ENGLISH SCHOOL</t>
  </si>
  <si>
    <t>KOTA MENTORS COLLEGE, KARJAT</t>
  </si>
  <si>
    <t>BHARTI VIDYAPEETH DEEMED UNIVERSITY PUNE</t>
  </si>
  <si>
    <t>BHARTI VIDYAPEETH COLLEGE OF ENGINEERING PUNE ,MAHARASHTRA</t>
  </si>
  <si>
    <t>PAVETECH CONSULTANTS PUNE | INTERN | PUNE | Jun 2024 | Aug 2024 | 8.7142857142857 Weeks</t>
  </si>
  <si>
    <t>P25700122</t>
  </si>
  <si>
    <t>MANISHA</t>
  </si>
  <si>
    <t>HADIMANI</t>
  </si>
  <si>
    <t>Manisha M Hadimani</t>
  </si>
  <si>
    <t>hadimanimanisha@gmail.com</t>
  </si>
  <si>
    <t>p25700122@student.nicmar.ac.in</t>
  </si>
  <si>
    <t>14-Dec-2002</t>
  </si>
  <si>
    <t>2294 7071 2810</t>
  </si>
  <si>
    <t>M M HADIMANI</t>
  </si>
  <si>
    <t>POLICE DEPT</t>
  </si>
  <si>
    <t>ANUMATI</t>
  </si>
  <si>
    <t>#16, Shakti Colony, NEAR Water Tank, Sub Jail, Hubli, Karnataka</t>
  </si>
  <si>
    <t>Hubli</t>
  </si>
  <si>
    <t>KENDRIYA VIDYALAYA NO. 1</t>
  </si>
  <si>
    <t>VIDYANIKETHAN SC PU COLLEGE</t>
  </si>
  <si>
    <t>PRELIMINARY UNIVERSITY EDUCATION, HUBLI, KARNATAKA</t>
  </si>
  <si>
    <t>KLE TECHNOLOGICAL UNIVERSITY ( BVB), HUBLI KARNATAKA</t>
  </si>
  <si>
    <t>KLE TECHNOLOGICAL UNIVERSITY (BVB), HUBLI KARNATAKA</t>
  </si>
  <si>
    <t>AutoCAD,MS Office,MS Project,Primavera,Sap2000,Revit,Etabs,Surfer,Python,Matlab</t>
  </si>
  <si>
    <t>N B Hiremath | Project Intern | H.No. 7, 3rd cross, Hosur, HUBLI- 580021 | Jan 2024 | Mar 2024 | 8.5714285714286 Weeks</t>
  </si>
  <si>
    <t>P25700123</t>
  </si>
  <si>
    <t>PREETHIKA</t>
  </si>
  <si>
    <t>KUNDURU</t>
  </si>
  <si>
    <t>Preethika Kunduru</t>
  </si>
  <si>
    <t>kundurupreethika@gmail.com</t>
  </si>
  <si>
    <t>p25700123@student.nicmar.ac.in</t>
  </si>
  <si>
    <t>07-Aug-2002</t>
  </si>
  <si>
    <t>ENGLISH, HINDI, TELUGU</t>
  </si>
  <si>
    <t>7039 0680 7357</t>
  </si>
  <si>
    <t>SRINIVASULU KUNDURU</t>
  </si>
  <si>
    <t>UDAYASRI KUNDURU</t>
  </si>
  <si>
    <t>Flat No. 502, Sai Mayuri Residency,_x000D_
H No. 1-1-538/1/502,_x000D_
Near Andhra Cafe,_x000D_
Gandhi Nagar, New Bakaram</t>
  </si>
  <si>
    <t>FIITJEE WORLD SCHOOL</t>
  </si>
  <si>
    <t>METHODIST COLLEGE OF ENGINEERING AND TECHNOLOGY, TELANGANA</t>
  </si>
  <si>
    <t>MS Office,MS Project,Tableau,Power BI</t>
  </si>
  <si>
    <t>Imarat Consulting Services | Intern | Hyderabad | Oct 2021 | Nov 2021 | 4.4285714285714 Weeks
TURINGMINDS.AI | DATA SCIENTIST  | HYDERABAD | Oct 2022 | May 2023 | 31.857142857143 Weeks</t>
  </si>
  <si>
    <t>P25700124</t>
  </si>
  <si>
    <t>SONAWANE</t>
  </si>
  <si>
    <t>Sonawane Rutuja Pravin</t>
  </si>
  <si>
    <t>sonawanerutuja72@gmail.com</t>
  </si>
  <si>
    <t>p25700124@student.nicmar.ac.in</t>
  </si>
  <si>
    <t>ENGLISH , HINDI , MARATHI</t>
  </si>
  <si>
    <t>5031 4442 1144</t>
  </si>
  <si>
    <t>PRAVIN DAMU SONAWANE</t>
  </si>
  <si>
    <t>MALTI PRAVIN SONAWANE</t>
  </si>
  <si>
    <t>More Nagar,Satana , Nashik .</t>
  </si>
  <si>
    <t>BEST ENGLISH MEDIUM SCHOOL</t>
  </si>
  <si>
    <t>MAHARASHTRA STATE BOARD OF SECONDARY AND HIGHER SECONDARY EDUCATION , PUNE</t>
  </si>
  <si>
    <t>SIDDHI INTERNATIONAL SCHOOL AND JUNIOR COLLEGE</t>
  </si>
  <si>
    <t>ALL INDIA SHRI SHIVAJI MEMORIAL SOCIETY COLLEGE OF ENGINEERING, PUNE</t>
  </si>
  <si>
    <t>KRUSHNARANG DEVELOPERS | Site Engineer | Pune | Dec 2022 | Jan 2023 | 4 Weeks</t>
  </si>
  <si>
    <t>P25700125</t>
  </si>
  <si>
    <t>SUBHASH</t>
  </si>
  <si>
    <t>WATADE</t>
  </si>
  <si>
    <t>Shraddha Subhash Watade</t>
  </si>
  <si>
    <t>shraddhawatade@gmail.com</t>
  </si>
  <si>
    <t>p25700125@student.nicmar.ac.in</t>
  </si>
  <si>
    <t>06-Aug-2000</t>
  </si>
  <si>
    <t>MARATHI, ENGLISH, HINDI</t>
  </si>
  <si>
    <t>8696 1844 8185</t>
  </si>
  <si>
    <t>SUBHASH WATADE</t>
  </si>
  <si>
    <t>CHEMICAL ENGINEER</t>
  </si>
  <si>
    <t>ASHA WATADE</t>
  </si>
  <si>
    <t>R.C.F. Colony,_x000D_
Type 3B, Bldg No. 36, Room No. 408, Landmark R.C.F. Sports Complex, _x000D_
Chembur, Mumbai 400074.</t>
  </si>
  <si>
    <t>LORETO CONVENT SCHOOL</t>
  </si>
  <si>
    <t>MAHATMA GANDHI MISSION'S COLLEGE OF ENGINEERING AND TECHNOLOGY</t>
  </si>
  <si>
    <t>AutoCAD,MS Office,MS Project,Primavera,Lean 6 Sigma Green Belt</t>
  </si>
  <si>
    <t>Geeta Enterprises | Civil Engineer | Chembur, Mumbai | Jan 2024 | Jun 2025 | 1Y 5M | 2.4</t>
  </si>
  <si>
    <t>A K Associates Engineer &amp; Contractors | Civil Engineer | Mumbai | Oct 2022 | Sep 2023 | 51.571428571429 Weeks
Agami Realty | Business Development | Bandra, Mumbai | May 2026 | Jul 2026 | 8.7142857142857 Weeks</t>
  </si>
  <si>
    <t>Supply Chain &amp; Operation Management
Project Management with Primavera p6
General Management - Leadership &amp; Function of Management</t>
  </si>
  <si>
    <t>P25700126</t>
  </si>
  <si>
    <t>SRI VANI</t>
  </si>
  <si>
    <t>GAJJALAKONDA</t>
  </si>
  <si>
    <t>Sri Vani Gajjalakonda</t>
  </si>
  <si>
    <t>srivanigajjalakonda@gmail.com</t>
  </si>
  <si>
    <t>p25700126@student.nicmar.ac.in</t>
  </si>
  <si>
    <t>14-Aug-2001</t>
  </si>
  <si>
    <t>ENGLISH,HINDI,TELUGU</t>
  </si>
  <si>
    <t>2624 3757 6330</t>
  </si>
  <si>
    <t>G VENKATARAO</t>
  </si>
  <si>
    <t>DAILY WORKER</t>
  </si>
  <si>
    <t>G JAYA LAKSHMI</t>
  </si>
  <si>
    <t>ASHA WORKER</t>
  </si>
  <si>
    <t>70-1-12,6/1 BAVAJI NAGAR, I.P.D COLONY, SANGADIGUNTA</t>
  </si>
  <si>
    <t>Guntur</t>
  </si>
  <si>
    <t>Block No:C10,Flat No:F1,AP Tidco House,Adavitakkellapadu,Guntur West</t>
  </si>
  <si>
    <t>SRI SATYA SAI VIDYA VIHAR PRIMARY SCHOOL, SAI BOMMIDALA NAGAR, GUNTUR</t>
  </si>
  <si>
    <t>M.B.T.S.GOVT. POLYTECHNIC-GUNTUR</t>
  </si>
  <si>
    <t>JAWAHARLAL NEHRU TECHNOLOGICAL UNIVERSITY, KAKINADA</t>
  </si>
  <si>
    <t>SAGI RAMA KRISHNAM RAJU ENGINEERING COLLEGE (AUTONOMOUS), ANDHRA PRADESH</t>
  </si>
  <si>
    <t>AutoCAD, STAAD Pro(Structural Analysis), MS Project, Primavera P6, CostX(Quantity Takeoff &amp; Cost Estimation), Autodesk Revit(BIM Modeling), Autodesk Navisworks(Clash Detection &amp; Model Coordination), Microsoft Excel &amp; PowerPoint, SmartPLS</t>
  </si>
  <si>
    <t>FORTRESS INFRACON LIMITED | INTERN(Infrastructure Advisory &amp; Project Consulting) | AMARAVATHI | May 2026 | Jul 2026 | 8.7142857142857 Weeks | Campus Internship
HENOTIC TECHNOLOGY PVT LTD | Internship Trainee | HYDERABAD | Jul 2022 | Sep 2022 | 8.7142857142857 Weeks
ROADS AND BUILDINGS DEPARTMENT, KAKINADA | SITE ENGINEER TRAINEE | EAST GODAVARI, AP | Jun 2023 | Jul 2023 | 8.5714285714286 Weeks
TATA PROJECTS LIMITED | STRUCTURAL ANALYSIS AND DESIGN INTERN | SECUNDERABAD | Dec 2023 | Mar 2024 | 15.428571428571 Weeks</t>
  </si>
  <si>
    <t>P25700127</t>
  </si>
  <si>
    <t>ARPITA</t>
  </si>
  <si>
    <t>RITESH</t>
  </si>
  <si>
    <t>DESHMUKH</t>
  </si>
  <si>
    <t>Arpita Ritesh Deshmukh</t>
  </si>
  <si>
    <t>arpitadeshmukh0501@gmail.com</t>
  </si>
  <si>
    <t>p25700127@student.nicmar.ac.in</t>
  </si>
  <si>
    <t>05-Jan-2001</t>
  </si>
  <si>
    <t>6712 4245 3895</t>
  </si>
  <si>
    <t>RITESH DESHMUKH</t>
  </si>
  <si>
    <t>GOVERNMENT EMPLOYEE (MSRDC)</t>
  </si>
  <si>
    <t>VAISHALI DESHMUKH</t>
  </si>
  <si>
    <t>Shree Laxmi Milestone Apartment, Kirti Nagar, Dighori, Nagpur</t>
  </si>
  <si>
    <t>RELIANCE FOUNDATION SCHOOL, DAHALI MOUDA, NAGPUR</t>
  </si>
  <si>
    <t>2007-Jun</t>
  </si>
  <si>
    <t>NUTAN BHARAT VIDHYALAYA &amp; JR. COLLEGE</t>
  </si>
  <si>
    <t>PRIYADARSHINI INSTITUTE OF ARCHITECTURE AND DESIGN STUDIES, NAGPUR, MAHARASHTRA</t>
  </si>
  <si>
    <t>AutoCAD,MS Office,MS Project,Sketch up,Lumion,Enscape,Photoshop,Revit</t>
  </si>
  <si>
    <t>Saptak Patel Architects | Architectural Intern | Ahmedabad | Dec 2023 | Apr 2024 | 15.857142857143 Weeks</t>
  </si>
  <si>
    <t>Certified Associate in  Project Management  (CAPM)</t>
  </si>
  <si>
    <t>P25700128</t>
  </si>
  <si>
    <t>RAKSHITHA</t>
  </si>
  <si>
    <t>G R</t>
  </si>
  <si>
    <t>Rakshitha G R</t>
  </si>
  <si>
    <t>rakshitha.gondkar@gmail.com</t>
  </si>
  <si>
    <t>p25700128@student.nicmar.ac.in</t>
  </si>
  <si>
    <t>19-Jun-2000</t>
  </si>
  <si>
    <t>ENGLISH, HINDI, KANNADA, TAMIL, MARATHI</t>
  </si>
  <si>
    <t>4978 7619 0376</t>
  </si>
  <si>
    <t>RAJESH G L</t>
  </si>
  <si>
    <t>DEPUTY MANAGER, BHARAT ELECTRONICS LIMITED,BENGALURU</t>
  </si>
  <si>
    <t>AARATHI K</t>
  </si>
  <si>
    <t>ASSISTANT ADMINISTRATIVE OFFICER, DEFENCE ESTATES OFFICE,GOA</t>
  </si>
  <si>
    <t>1366, 5TH MAIN, E BLOCK, 2ND STAGE, RAJAJINAGAR, BENGALURU-560010</t>
  </si>
  <si>
    <t>SRI VANI PUBLIC SCHOOL, BANGALORE</t>
  </si>
  <si>
    <t>MES KISHORA KENDRA PU COLLEGE, BANGALORE</t>
  </si>
  <si>
    <t>B.M.S COLLEGE OF ARCHITECTURE, BENGALURU</t>
  </si>
  <si>
    <t>AutoCAD,MS Office,MS Project,Primavera,SKETCHUP,VRAY,PHOTOSHOP,ENSCAPE,LUMION</t>
  </si>
  <si>
    <t>Int-Hab - Architecture + Design Studio | JUNIOR ARCHITECT | BENGALURU | Sep 2023 | Dec 2024 | 1Y 3M | 2.04</t>
  </si>
  <si>
    <t>THE DESIGN FIRM | INTERN ARCHITECT | BENGALURU | Aug 2022 | Dec 2022 | 15.714285714286 Weeks</t>
  </si>
  <si>
    <t>P25700129</t>
  </si>
  <si>
    <t>ANEENA</t>
  </si>
  <si>
    <t>JOHNSON</t>
  </si>
  <si>
    <t>Aneena Johnson</t>
  </si>
  <si>
    <t>aneenajohnsonpanokkaran@gmail.com</t>
  </si>
  <si>
    <t>p25700129@student.nicmar.ac.in</t>
  </si>
  <si>
    <t>14-Feb-2003</t>
  </si>
  <si>
    <t>ENGLISH,MALAYALAM,HINDI</t>
  </si>
  <si>
    <t>4844 6087 4025</t>
  </si>
  <si>
    <t>JOHNSON P L</t>
  </si>
  <si>
    <t>RETIRED SENIOR SUPERINTENDENT,KSEB</t>
  </si>
  <si>
    <t>JASMINE JACOB</t>
  </si>
  <si>
    <t>ASSISTANT MANAGER,KSFE</t>
  </si>
  <si>
    <t>Panokkaran House,Kovilakaparambu,Ayyanthole,Thrissur,_x000D_
Kerala,680003</t>
  </si>
  <si>
    <t>DEVAMATHA CMI PUBLIC SCHOOL THIRUVAMBADY THRISSUR KL</t>
  </si>
  <si>
    <t>CENTRAL BOARD OF SECONDARY EDUCATION, KERALA</t>
  </si>
  <si>
    <t>VIDYA ACADEMY OF SCIENCE AND TECHNOLOGY, THRISSUR</t>
  </si>
  <si>
    <t>AutoCAD,REVIT,MS Project,Primavera,STAAD Pro</t>
  </si>
  <si>
    <t>KABI &amp; ASSOCIATES-ARBITRATION CHAMBERS | Contracts and Claims Management Intern | New Delhi | May 2026 | Jul 2026 | 8.7142857142857 Weeks | Campus Internship
PUBLIC WORKS DEPARTMENT BUILDINGS SECTION NO.2 AYYANTHOLE, THRISSUR | INTERN | AYYANTHOLE,THRISSUR,KERALA | Jul 2024 | Jul 2024 | 0.57142857142857 Weeks
KOCHI METRO RAIL LIMITED (KMRL) | INTERN | KOCHI,KERALA | May 2023 | May 2023 | 1 Weeks</t>
  </si>
  <si>
    <t>P25700130</t>
  </si>
  <si>
    <t>PRANJAL</t>
  </si>
  <si>
    <t>ANNASAHEB</t>
  </si>
  <si>
    <t>KAJABE</t>
  </si>
  <si>
    <t>Pranjal Annasaheb Kajabe</t>
  </si>
  <si>
    <t>ar.pranjalkajabe@gmail.com</t>
  </si>
  <si>
    <t>p25700130@student.nicmar.ac.in</t>
  </si>
  <si>
    <t>03-Jul-2001</t>
  </si>
  <si>
    <t>7833 7849 9653</t>
  </si>
  <si>
    <t>BEBI</t>
  </si>
  <si>
    <t>ANURAG APARTMENT , FALT NO.-4 , FLOOR-2ND , NEAR  NAVSHANTI NIKETAN SOCIETY</t>
  </si>
  <si>
    <t>RUTUGANDHA BUNGLOW,NEAR BANJ NOF MAHARASHTRA ALE, AT POST ALEPHATA</t>
  </si>
  <si>
    <t>R.B.D.VIDYALAYA WADGAON ANAND</t>
  </si>
  <si>
    <t>SPPU PUNE</t>
  </si>
  <si>
    <t>DYANMANDIR JUNIOR COLLEGE ,ALE</t>
  </si>
  <si>
    <t>SPPU</t>
  </si>
  <si>
    <t>D.Y. PATIL COLLEGE OF ARCHITECTURE AKURDI,PUNE</t>
  </si>
  <si>
    <t>AutoCAD,MS Office,MS Project,Primavera,SKETCHUP,PHOTOSHOP,LUMION,WORLD,ENSCAPE,REVIT</t>
  </si>
  <si>
    <t>ARVIND VAIDYA &amp; ASOCCIATES | INTERN - ARCHITECTURE&amp; DESIGN | SANGAMNER | Jul 2023 | Dec 2023 | 21.285714285714 Weeks</t>
  </si>
  <si>
    <t>P25700131</t>
  </si>
  <si>
    <t>PRAGATHY</t>
  </si>
  <si>
    <t>S P</t>
  </si>
  <si>
    <t>Pragathy S P</t>
  </si>
  <si>
    <t>pragathysp123@gmail.com</t>
  </si>
  <si>
    <t>p25700131@student.nicmar.ac.in</t>
  </si>
  <si>
    <t>07-Mar-2000</t>
  </si>
  <si>
    <t>3431 3233 8679</t>
  </si>
  <si>
    <t>PRASANNA KUMAR S K</t>
  </si>
  <si>
    <t>SUMA S</t>
  </si>
  <si>
    <t>GOVERMENT EMPLOYEE</t>
  </si>
  <si>
    <t>Prasadam, AGRA 33L, Aiswarya Gardens, Vazhayila, Peroorkada P.O, Thiruvananthapuram, 695005</t>
  </si>
  <si>
    <t>Thiruvananthapuram</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</si>
  <si>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</si>
  <si>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</si>
  <si>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</si>
  <si>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</si>
  <si>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</si>
  <si>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AutoCAD,MS Project,Primavera,Revit Architecture,3DS Max,STAAD Pro,V-Ray,CostX</t>
  </si>
  <si>
    <t>CAD DESK, Trivandrum, Kerala | CAD Engineer - Civil | Thampanoor, Thiruvananthapuram, Kerala | Apr 2024 | May 2025 | 1Y 0M | 1.47</t>
  </si>
  <si>
    <t>Suryapriya Constructions Private Limited | Project Co-Ordinater | Bangalore | May 2026 | Jul 2026 | 8.7142857142857 Weeks | Campus Internship
PUBLIC WORKS DEPARTMENT, SPECIAL BUILDINGS SECTION NO.VI, THIRUVANATHAPURAM | INTERN | THIRUVANATHAPURAM, KERALA | Oct 2021 | Oct 2021 | 0.85714285714286 Weeks</t>
  </si>
  <si>
    <t>Master Diploma in Civil CAD
Computer Hardware and Networking</t>
  </si>
  <si>
    <t>P25700132</t>
  </si>
  <si>
    <t>PURVA</t>
  </si>
  <si>
    <t>INGOLE</t>
  </si>
  <si>
    <t>Purva Ramesh Ingole</t>
  </si>
  <si>
    <t>purvaingole1112@gmail.com</t>
  </si>
  <si>
    <t>p25700132@student.nicmar.ac.in</t>
  </si>
  <si>
    <t>06-Jun-2003</t>
  </si>
  <si>
    <t>4119 6025 6858</t>
  </si>
  <si>
    <t>SHITAL</t>
  </si>
  <si>
    <t>Nikita Appt Flat No. 1, Near Jagruti Vidyalay Ranpise Nagar, Akola, 444001</t>
  </si>
  <si>
    <t>VIVEKANAND ENGLISH HIGH SCHOOL, AKOLA</t>
  </si>
  <si>
    <t>MAHARASHTRA STATE BOARD  OF SECONDARY AND HIGHER SECONDARY EDUCATION, PUNE</t>
  </si>
  <si>
    <t>SHREE SAMARTH JR. COLLAGE OF SCIENCE, AKOLA</t>
  </si>
  <si>
    <t>COLLEGE OF ENGINEERING AND TECHNOLOGY AKOLA/ MAHARASHTRA</t>
  </si>
  <si>
    <t>Atal Real Tech LTD | Site - Intern | Akola | Jun 2024 | Jul 2024 | 2.2857142857143 Weeks</t>
  </si>
  <si>
    <t>P25700133</t>
  </si>
  <si>
    <t>DISHA</t>
  </si>
  <si>
    <t>AVINASH</t>
  </si>
  <si>
    <t>KAMBLE</t>
  </si>
  <si>
    <t>Disha Avinash Kamble</t>
  </si>
  <si>
    <t>dishaavinashkamble@gmail.com</t>
  </si>
  <si>
    <t>p25700133@student.nicmar.ac.in</t>
  </si>
  <si>
    <t>02-Oct-2001</t>
  </si>
  <si>
    <t>6569 0736 5931</t>
  </si>
  <si>
    <t>AVINASH BALKRISHNA KAMBLE</t>
  </si>
  <si>
    <t>OTHERS</t>
  </si>
  <si>
    <t>SUCHETA AVINASH KAMBLE</t>
  </si>
  <si>
    <t>Build No 230 Room No 8975 Kannamwarnagar 1 Vikhroli East</t>
  </si>
  <si>
    <t>ST JOSEPH'S HIGH SCHOOL</t>
  </si>
  <si>
    <t>MAHARASHTRA STATE BOARD MUMBAI/MAHARAHSTRA</t>
  </si>
  <si>
    <t>VIDYA NIKETAN JUNIOR COLLEGE OF COMMERCE AND SCIENCE</t>
  </si>
  <si>
    <t>MAHARASHTRA STATE BOARD MUMBAI/MAHARASHTRA</t>
  </si>
  <si>
    <t>DATTA MEGHE COLLEGE OF ENGINEERING, NAVI MUMBAI MAHARASHTRA</t>
  </si>
  <si>
    <t>AHLUWALIA CONTRACTS | Summer Intern | MUMBAI  | May 2026 | Jun 2026 | 8.1428571428571 Weeks | Campus Internship
GEO INFO TECH | GIS INTERN | NAVI MUMBAI | Jun 2022 | Jul 2022 | 4.5714285714286 Weeks
BHABHA ATOMIC RESEARCH CENTRE (BARC) | STRUCTURAL DESIGN INTERN | MUMBAI  | Dec 2021 | Jan 2022 | 6.8571428571429 Weeks
INDIAN INSTITUTE OF TECHNOLOGY BOMBAY (IIT BOMBAY) | PROJECT ASSOCIATE | POWAI MUMBAI | Jul 2023 | Dec 2024 | 77.428571428571 Weeks</t>
  </si>
  <si>
    <t>STAAD PRO
PRIMAVERA
MSP PROJECT
AUTOCAD 2D</t>
  </si>
  <si>
    <t>P25700134</t>
  </si>
  <si>
    <t>SANGEETHA</t>
  </si>
  <si>
    <t>S S</t>
  </si>
  <si>
    <t>Sangeetha S S</t>
  </si>
  <si>
    <t>sangeethasskmr@gmail.com</t>
  </si>
  <si>
    <t>p25700134@student.nicmar.ac.in</t>
  </si>
  <si>
    <t>05-Jan-1998</t>
  </si>
  <si>
    <t>6291 3257 0765</t>
  </si>
  <si>
    <t>SASIKUMARAN.M</t>
  </si>
  <si>
    <t>RETIRED MECHANICAL SUPERVISOR</t>
  </si>
  <si>
    <t>SINDHU.S</t>
  </si>
  <si>
    <t>TC 51/2127 Saraswathy Vilasam Pappanamcode, Industrial Estate</t>
  </si>
  <si>
    <t>CARMEL E. M. GIRLS H.S.S. VAZHUTHACAUD</t>
  </si>
  <si>
    <t>STATE, THIRUVANANTHAPURAM</t>
  </si>
  <si>
    <t>LBS INSTITUTE OF TECHNOLOGY FOR WOMEN, POOJAPURA</t>
  </si>
  <si>
    <t>AutoCAD,MS Project,Primavera,3ds Max,Revit,Costx</t>
  </si>
  <si>
    <t>Econstruct Design &amp; Build Pvt. Ltd. | Project Management Intern | Bangalore | May 2026 | Jun 2026 | 8.1428571428571 Weeks | Campus Internship
Spangeo Consultancy &amp; Engineering Pvt.Ltd. | Assistant Project Engineer | Thiruvananthapuram, Kerala  | Aug 2023 | May 2024 | 42.142857142857 Weeks</t>
  </si>
  <si>
    <t>Autocad 3D
Project Management certification by Google on Coursera
Ethics in Engineering Practice</t>
  </si>
  <si>
    <t>P25700135</t>
  </si>
  <si>
    <t>ANJALY</t>
  </si>
  <si>
    <t>FEROSE</t>
  </si>
  <si>
    <t>Anjaly Ferose</t>
  </si>
  <si>
    <t>feroseanjaly2000@gmail.com</t>
  </si>
  <si>
    <t>p25700135@student.nicmar.ac.in</t>
  </si>
  <si>
    <t>ENGLISH, MALAYALAM, HINDI, TAMIL</t>
  </si>
  <si>
    <t>9517 2221 2520</t>
  </si>
  <si>
    <t>FEROSE M G</t>
  </si>
  <si>
    <t>SATHY FEROSE</t>
  </si>
  <si>
    <t>SOPANAM, MULLAMPARAMBIL(H)_x000D_
ARAKULAM WEST_x000D_
P.O KODUNGALLUR</t>
  </si>
  <si>
    <t>HOLY GRACE ACADEMY, MALA</t>
  </si>
  <si>
    <t>SCMS SCHOOL OF ENGINEERING AND TECHNOLOGY, KERALA</t>
  </si>
  <si>
    <t>STEEL INDUSTRIALS KERALA LIMITED | APPRENTICE ENGINEER | OTTAPALAM, KERALA | Nov 2022 | Nov 2023 | 52 Weeks</t>
  </si>
  <si>
    <t>P25700136</t>
  </si>
  <si>
    <t>PARAMITA</t>
  </si>
  <si>
    <t>SAHA</t>
  </si>
  <si>
    <t>Paramita Saha</t>
  </si>
  <si>
    <t>paramitasaha601@gmail.com</t>
  </si>
  <si>
    <t>p25700136@student.nicmar.ac.in</t>
  </si>
  <si>
    <t>19-Apr-1996</t>
  </si>
  <si>
    <t>ENGLISH, HINDI &amp; BENGALI</t>
  </si>
  <si>
    <t>9386 1228 5580</t>
  </si>
  <si>
    <t>LATE SIB PRASAD SAHA</t>
  </si>
  <si>
    <t>EX. EXECUTIVE ENGINEER PWD</t>
  </si>
  <si>
    <t>PRITI SAHA</t>
  </si>
  <si>
    <t>Bl-II, Venketesh Heights, 5th Floor, Dumdum Canyonment</t>
  </si>
  <si>
    <t>Kolkata</t>
  </si>
  <si>
    <t>NALANDA VIDYAPITH</t>
  </si>
  <si>
    <t>BALURGHAT LALIT MOHAN ADARSHA UCHHA VIDYALAYA</t>
  </si>
  <si>
    <t>WEST BENGAL COUNCIL OF HIGHER SECONDARY EDUCATION</t>
  </si>
  <si>
    <t>DURGAPUR DR. B.C.ROY ENGINEERING COLLEGE</t>
  </si>
  <si>
    <t>AutoCAD,MS Office,MS Power Point,MS Excel</t>
  </si>
  <si>
    <t>Govt. Of West Bengal PWD | Clerk | Kolkata | Mar 2023 | Jun 2025 | 2Y 3M | 2.62
RITES Ltd. | Graduate Apprentice | Kolkata | Jan 2020 | Dec 2020 | 0Y 11M | 1.68</t>
  </si>
  <si>
    <t>3 Years 3 Months</t>
  </si>
  <si>
    <t>Sobha Ltd | Costing Management Intern | Gurgaon | May 2026 | Jul 2026 | 9 Weeks | Campus Internship
Shivarth Design And Consultancy Pvt. Ltd | Asst. Estimator | Jharkhand | Jan 2021 | Jan 2023 | 104.28571428571 Weeks</t>
  </si>
  <si>
    <t>P25700137</t>
  </si>
  <si>
    <t>TAUFIQ</t>
  </si>
  <si>
    <t>Taufiq A</t>
  </si>
  <si>
    <t>taufiqsajitha@gmail.com</t>
  </si>
  <si>
    <t>p25700137@student.nicmar.ac.in</t>
  </si>
  <si>
    <t>01-Apr-2002</t>
  </si>
  <si>
    <t>7698 6111 3723</t>
  </si>
  <si>
    <t>AJI BASHEER</t>
  </si>
  <si>
    <t>DEPUTY TOWN PLANNER</t>
  </si>
  <si>
    <t>SAJITHA P</t>
  </si>
  <si>
    <t>ASSOCIATE PROFESSOR</t>
  </si>
  <si>
    <t>JAMILATH RNRA-31,RESMI NAGAR,MUTTADA PO,TVM</t>
  </si>
  <si>
    <t>ST THOMAS RESIDENTIAL SCHOOL</t>
  </si>
  <si>
    <t>COUNCIL FOR THE INDIAN SCHOOL CERTIFICATE EXAMINATION, NEW DELHI</t>
  </si>
  <si>
    <t>GOVERNMENT ENGINEERING COLLEGE BARTON HILL, KERALA</t>
  </si>
  <si>
    <t>MS Office,MS Project</t>
  </si>
  <si>
    <t>TRV (KERALA) INTERNATIONAL AIRPORT LIMITED | CIVIL ENGINEERING APPRENTICE | TRIVANDRUM | Oct 2024 | Jun 2025 | 0Y 8M | 1.08</t>
  </si>
  <si>
    <t>Confident Group | Summer Intern | Trivandrum | May 2026 | Jun 2026 | 8.1428571428571 Weeks | Campus Internship</t>
  </si>
  <si>
    <t>P25700138</t>
  </si>
  <si>
    <t>KRISHNAKANT</t>
  </si>
  <si>
    <t>DUBEY</t>
  </si>
  <si>
    <t>Krishnakant Dubey</t>
  </si>
  <si>
    <t>krishnakantdubey963@gmail.com</t>
  </si>
  <si>
    <t>p25700138@student.nicmar.ac.in</t>
  </si>
  <si>
    <t>02-Jan-2002</t>
  </si>
  <si>
    <t>2629 6471 3986</t>
  </si>
  <si>
    <t>CHANDRA SHEKHAR DUBEY</t>
  </si>
  <si>
    <t>ALKA DUBEY</t>
  </si>
  <si>
    <t>1871,New Ram Nagar, Orai</t>
  </si>
  <si>
    <t>Jalaun</t>
  </si>
  <si>
    <t>V S B EDUCATION CENTRE ORAI JALAUN UP</t>
  </si>
  <si>
    <t>S R PUB SCH KALPI ROAD ORAI JALAUN UP</t>
  </si>
  <si>
    <t>GLA UNIVERSITY, MATHURA U.P</t>
  </si>
  <si>
    <t>AutoCAD,MS Office,MS Project,Primavera,RIB CostX,AutodeskRevit,StaadPro</t>
  </si>
  <si>
    <t>KEC International ltd. | Engineer | Noida | Aug 2023 | Sep 2024 | 1Y 1M | 4</t>
  </si>
  <si>
    <t>Project Planning: Putting it All Together authorized by Google
Foundations of Project management authorized by Google
Project Initiation: Starting a Successful Project Authorized by Google
Finance for Non-Financial Manager Authorized by Emory University and offered through Coursera</t>
  </si>
  <si>
    <t>P25700139</t>
  </si>
  <si>
    <t>GOKUL</t>
  </si>
  <si>
    <t>SONWANE</t>
  </si>
  <si>
    <t>Aditya Gokul Sonwane</t>
  </si>
  <si>
    <t>adgsonwane02@gmail.com</t>
  </si>
  <si>
    <t>p25700139@student.nicmar.ac.in</t>
  </si>
  <si>
    <t>20-Feb-2002</t>
  </si>
  <si>
    <t>ENGLISH, MARATHI AND HINDI</t>
  </si>
  <si>
    <t>7555 5410 9852</t>
  </si>
  <si>
    <t>PRATIBHA</t>
  </si>
  <si>
    <t>FLAT NO. 303, SHIVAANI RESIDENCY, NEAR AMAR TECH PARK, BALEWADI ROAD, BALEWADI, PUNE</t>
  </si>
  <si>
    <t>Plot No. 5(B), Survey No. 226/1, Behind Jolly Petrol Pump, K.N.P.N Nagar, Bhusawal, Jalgaon</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</si>
  <si>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</si>
  <si>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</si>
  <si>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</si>
  <si>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</si>
  <si>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</si>
  <si>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Jay Jyotirling Construction Company | Site Engineer | Madh Island (Mumbai) | Jun 2023 | Jul 2023 | 5.2857142857143 Weeks
Imperial Lifestyle Private Limited | Site Engineer | Vasai | May 2022 | Jul 2022 | 8.8571428571429 Weeks
YMS Consulting Engineers | Civil &amp; Structural Design Engineer | Borivali | Jun 2024 | Oct 2024 | 17.857142857143 Weeks</t>
  </si>
  <si>
    <t>Master Diploma in Project Planning and Management
Proficient in Staad Pro
Proficient in Autocad for Civil Engineers and Architects</t>
  </si>
  <si>
    <t>P25700140</t>
  </si>
  <si>
    <t>VEDANT</t>
  </si>
  <si>
    <t>KAILAS</t>
  </si>
  <si>
    <t>Vedant Kailas Patil</t>
  </si>
  <si>
    <t>vedantkpatil08@gmail.com</t>
  </si>
  <si>
    <t>p25700140@student.nicmar.ac.in</t>
  </si>
  <si>
    <t>08-Apr-2003</t>
  </si>
  <si>
    <t>ENGLISH, HINDI AND MARATHI</t>
  </si>
  <si>
    <t>9735 5127 5569</t>
  </si>
  <si>
    <t>KAILAS PATIL</t>
  </si>
  <si>
    <t>FINANCIAL ADVISOR</t>
  </si>
  <si>
    <t>NILIMA PATIL</t>
  </si>
  <si>
    <t>STATIONERY BUSINESS</t>
  </si>
  <si>
    <t>POST OFFICE, 25/1, NICMAR, N.I.A., BALEWADI RD, RAM NAGAR, BANER</t>
  </si>
  <si>
    <t>Plot 59, Ved, Trimurti Chowk, Durga Nagar, Cidco</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</si>
  <si>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</si>
  <si>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</si>
  <si>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</si>
  <si>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</si>
  <si>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</si>
  <si>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AutoCAD,MS Project,Primavera</t>
  </si>
  <si>
    <t>Maharashtra Metro Rail Corporation Limited | Project Management Intern | Pimpri-Chinchwad, Maharashtra | May 2026 | Jul 2026 | 9.7142857142857 Weeks | Campus Internship
MAHARASHTRA ENGINEERING RESEARCH INSTITUTE | INTERN | NASHIK | Dec 2023 | Jan 2024 | 4.1428571428571 Weeks</t>
  </si>
  <si>
    <t>Primavera P6
AutoCAD 2D</t>
  </si>
  <si>
    <t>P25700141</t>
  </si>
  <si>
    <t>GOWRI</t>
  </si>
  <si>
    <t>Gowri Krishna V</t>
  </si>
  <si>
    <t>gowrikv8080@gmail.com</t>
  </si>
  <si>
    <t>p25700141@student.nicmar.ac.in</t>
  </si>
  <si>
    <t>16-Jan-2001</t>
  </si>
  <si>
    <t>2687 7445 2833</t>
  </si>
  <si>
    <t>VINOD.S</t>
  </si>
  <si>
    <t>LAKSHMI VINOD</t>
  </si>
  <si>
    <t>Kanjirathu Parambu ,chathanad Ward,North Of Kochukalappura Temple Aryad South,Avalukkunnu, Alappuzha</t>
  </si>
  <si>
    <t>ST MARY'S RESIDENTIAL CENTRAL SCHOOL</t>
  </si>
  <si>
    <t>SAINTGITS COLLEGE OF ENGINEERING</t>
  </si>
  <si>
    <t>AutoCAD,Revit</t>
  </si>
  <si>
    <t>JayArc Construction | intern | online | Jun 2021 | Jun 2021 | 0.57142857142857 Weeks
Kerala State Electronics Development Corporation Ltd | Intern | Kochi | Dec 2021 | Jan 2022 | 0.85714285714286 Weeks</t>
  </si>
  <si>
    <t>P25700142</t>
  </si>
  <si>
    <t>ANVESH</t>
  </si>
  <si>
    <t>Anvesh Roy</t>
  </si>
  <si>
    <t>anveshroy007@gmail.com</t>
  </si>
  <si>
    <t>p25700142@student.nicmar.ac.in</t>
  </si>
  <si>
    <t>29-Jun-1999</t>
  </si>
  <si>
    <t>ENGLISH AND HINDI.</t>
  </si>
  <si>
    <t>5737 0717 0721</t>
  </si>
  <si>
    <t>SHIV KUMAR</t>
  </si>
  <si>
    <t>RETIRED GOVERNMENT EMPLOYEE</t>
  </si>
  <si>
    <t>SUMAN KUMARI</t>
  </si>
  <si>
    <t>House Number 5  Sector 14 Vikas Nagar .</t>
  </si>
  <si>
    <t>CITY MONTESSORI SCHOOL</t>
  </si>
  <si>
    <t>INDIAN CERTIFICATE OF SECONDARY EDUCATION , DELHI</t>
  </si>
  <si>
    <t>CENTRAL ACADEMY</t>
  </si>
  <si>
    <t>SRM INSTITUTE OF SCIENCE AND TECHNOLOGY , TAMIL NADU</t>
  </si>
  <si>
    <t>Kamal Construction Company | Civil Engineer  | Bharatpur (Rajasthan) | Oct 2022 | Jan 2025 | 2Y 3M | 2.16</t>
  </si>
  <si>
    <t>2 Years 4 Months</t>
  </si>
  <si>
    <t>Shiv shakti Infravision pvt ltd | Intern | Lucknow | Jun 2019 | Jun 2019 | 4.1428571428571 Weeks</t>
  </si>
  <si>
    <t>P25700143</t>
  </si>
  <si>
    <t>KIRTI</t>
  </si>
  <si>
    <t>SIHOTE</t>
  </si>
  <si>
    <t>Kirti Sihote</t>
  </si>
  <si>
    <t>kirtisihote0304@gmail.com</t>
  </si>
  <si>
    <t>p25700143@student.nicmar.ac.in</t>
  </si>
  <si>
    <t>03-Apr-1998</t>
  </si>
  <si>
    <t>9572 3223 7532</t>
  </si>
  <si>
    <t>RAVI SIHOTE</t>
  </si>
  <si>
    <t>ADMINISTRATIVE OFFICER</t>
  </si>
  <si>
    <t>KALPANA SIHOTE</t>
  </si>
  <si>
    <t>House No. 36, Krishna Vihar Colony</t>
  </si>
  <si>
    <t>Ujjain</t>
  </si>
  <si>
    <t>BAL BHARTI SCHOOL</t>
  </si>
  <si>
    <t>2013-Apr</t>
  </si>
  <si>
    <t>CENTRAL BOARD OF SECONDARY EDUCATION, REWA, MADHYA PRADESH</t>
  </si>
  <si>
    <t>POORNIMA UNIVERSITY, JAIPUR, RAJASTHAN</t>
  </si>
  <si>
    <t>AutoCAD,MS Office,MS Project,Photoshop,Enscape,Sketchup,Revit</t>
  </si>
  <si>
    <t>LIVSPACE | DESIGNER | BANGLORE | Dec 2021 | Mar 2023 | 1Y 3M | 3.7
Design Cafe | Lead Designer | Bangalore | Jun 2023 | Jun 2025 | 2Y 0M | 7.2</t>
  </si>
  <si>
    <t>ManAssure  Advisory &amp; Consultancy | Research &amp; Market Intelligence Intern | Hyderabad | May 2026 | Jul 2026 | 8.5714285714286 Weeks | Campus Internship
Designers Forum | Junior Architect | Panchkula | Jan 2020 | Mar 2020 | 10.714285714286 Weeks</t>
  </si>
  <si>
    <t>P25700144</t>
  </si>
  <si>
    <t>MANDALE</t>
  </si>
  <si>
    <t>ABHISHREE</t>
  </si>
  <si>
    <t>JAYESH</t>
  </si>
  <si>
    <t>Mandale Abhishree Jayesh</t>
  </si>
  <si>
    <t>abhishreemandale054@gmail.com</t>
  </si>
  <si>
    <t>p25700144@student.nicmar.ac.in</t>
  </si>
  <si>
    <t>06-Apr-2000</t>
  </si>
  <si>
    <t>7990 1052 8968</t>
  </si>
  <si>
    <t>JAYESH MANDALE</t>
  </si>
  <si>
    <t>PRAVINA MANDALE</t>
  </si>
  <si>
    <t>FLAT NO 201, PLOT NO 133, SHRI SAI_x000D_
GAJANAN APPARTMENT_x000D_
SNEHASAMWARDHAK SOCIETY,_x000D_
R.B.I. COLONY JAIPRAKASH NAGAR,_x000D_
KHAMLA</t>
  </si>
  <si>
    <t>Plot No 35, "Annapurna", Wardha Road, Ganguli Layout, Somalwada, Khamla, Nagpur</t>
  </si>
  <si>
    <t>T.B.R.A.N' S. MUNDLE ENGLISH MEDIUM SCHOOL, NAGPUR,MAHARASHTRA</t>
  </si>
  <si>
    <t>MAHARASHTRA STATE BOARD OF SECONDARY &amp; HIGHER SECONDARY EDUCATION, PUNE, MAHARASHTRA</t>
  </si>
  <si>
    <t>MAJOR HEMANT JAKATE VIDYANIKETAN INSTITUTE OF SCIENCE &amp; COMMERCE, NAGPUR, MAHARASHTRA</t>
  </si>
  <si>
    <t>RASHTRASANT TUKDOJI MAHARAJ NAGPUR UNIVERSITY, NAGPUR, MAHARASHTRA</t>
  </si>
  <si>
    <t>AutoCAD,MS Office,MS Project,Primavera,Revit,Sketchup &amp; Lumion,Photoshop</t>
  </si>
  <si>
    <t>Neilsoft Ltd. | Jr. Architect | Hinjewadi, Pune  | Jul 2023 | Jan 2025 | 1Y 6M | 3.68</t>
  </si>
  <si>
    <t>Design Co-ordinates, Nagpur | Architectural Intern | Nagpur  | Jan 2022 | Sep 2022 | 34.571428571429 Weeks</t>
  </si>
  <si>
    <t>COURSERA | FINANCE FOR NON-FINANCIAL MANAGERS |
NPTEL | Ethics of Engineering |</t>
  </si>
  <si>
    <t>P25700145</t>
  </si>
  <si>
    <t>KORRAPATI</t>
  </si>
  <si>
    <t>Balaji Korrapati</t>
  </si>
  <si>
    <t>korrapati2001@gmail.com</t>
  </si>
  <si>
    <t>p25700145@student.nicmar.ac.in</t>
  </si>
  <si>
    <t>13-Apr-2001</t>
  </si>
  <si>
    <t>TELUGU, ENGLISH, HINDI</t>
  </si>
  <si>
    <t>2337 7947 6396</t>
  </si>
  <si>
    <t>KORRAPATI SUDHAKAR</t>
  </si>
  <si>
    <t>INSURANCE ADVISOR</t>
  </si>
  <si>
    <t>KORRAPATI PUSHPA</t>
  </si>
  <si>
    <t>15-75/1, Tholimitta Street, Venkatagiri.</t>
  </si>
  <si>
    <t>Sri Balaji</t>
  </si>
  <si>
    <t>KENDRIYA VIDYALAYA SANGATHAN</t>
  </si>
  <si>
    <t>CENTRAL BOARD OF SECONDARY EDUCATION ANDHRA PRADESH</t>
  </si>
  <si>
    <t>RAJIV GANDHI UNIVERSITY OF KNOWLEDGE TECHNOLOGIES</t>
  </si>
  <si>
    <t>RAJIV KNOWLEDGE VALLEY ANDHRA PRADESH</t>
  </si>
  <si>
    <t>AutoCAD, MS Office, MS Project, Primavera, Basics of BIM, Costex</t>
  </si>
  <si>
    <t>Pidilite Industries | Marketing Intern B2B  | Bangalore | May 2026 | Jun 2026 | 7.5714285714286 Weeks | Campus Internship</t>
  </si>
  <si>
    <t>Financial and Non-Financial Managers
NPTEL online course on German-1</t>
  </si>
  <si>
    <t>P25700146</t>
  </si>
  <si>
    <t>MALAVIKA</t>
  </si>
  <si>
    <t>Malavika S Nair</t>
  </si>
  <si>
    <t>malavikasnair07@gmail.com</t>
  </si>
  <si>
    <t>p25700146@student.nicmar.ac.in</t>
  </si>
  <si>
    <t>11-May-2001</t>
  </si>
  <si>
    <t>ENGLISH, HINDI,MALAYALAM</t>
  </si>
  <si>
    <t>3244 5087 2053</t>
  </si>
  <si>
    <t>SAJEEV KUMAR R</t>
  </si>
  <si>
    <t>ASSISTANT MANAGER MECHANICAL, FACT</t>
  </si>
  <si>
    <t>SANDYA P</t>
  </si>
  <si>
    <t>TEACHER, MINISTRY OF EDUCATION, MALDIVES</t>
  </si>
  <si>
    <t>MANASA, C K ROAD, Manjummel P.O, Eloor</t>
  </si>
  <si>
    <t>MODEL TECHNICAL HIGHER SECONDARY SCHOOL, KALOOR</t>
  </si>
  <si>
    <t>KERALA BOARD OF PUBLIC EXAMINATION</t>
  </si>
  <si>
    <t>BOARD OF SECONDARY EXAMINATIONS, KERALA</t>
  </si>
  <si>
    <t>FEDERAL INSTITUTE OF SCIENCE AND TECHNOLOGY, ANGAMALY</t>
  </si>
  <si>
    <t>AutoCAD,MS Office,MS Project,TEKLA</t>
  </si>
  <si>
    <t>CLAYSYS LIFESTYLE PVT LTD | CIVIL ENGINEER- L1 | INFOPARK,KAKKANAD,KOCHI | May 2024 | May 2025 | 1Y 0M | 1.92</t>
  </si>
  <si>
    <t>Rodic Consultants Pvt Ltd | Operations Intern | Work from home | May 2026 | Jul 2026 | 8.5714285714286 Weeks | Campus Internship
FERTILIZERS AND CHEMICALS TRAVANCORE LIMITED | DESIGN TEAM | UDOGAMANDAL ELOOR | Sep 2022 | Sep 2022 | 0.85714285714286 Weeks</t>
  </si>
  <si>
    <t>P25700147</t>
  </si>
  <si>
    <t>GOPAL</t>
  </si>
  <si>
    <t>CHOMWAL</t>
  </si>
  <si>
    <t>Shubham Gopal Chomwal</t>
  </si>
  <si>
    <t>shubhamchomwal@gmail.coom</t>
  </si>
  <si>
    <t>p25700147@student.nicmar.ac.in</t>
  </si>
  <si>
    <t>14-Mar-2000</t>
  </si>
  <si>
    <t>3910 7685 1338</t>
  </si>
  <si>
    <t>SWATI</t>
  </si>
  <si>
    <t>Chamunda Bunglow B-2  Near Swami Samarth Mandir, SBI Colony No 5, Umari Akola</t>
  </si>
  <si>
    <t>HOLY CROSS CONVENT HIGH SCHOOL AKOLA</t>
  </si>
  <si>
    <t>MAHARASHTRA SATE BOARD OF SECONDARY AND HIGHER SECONDARY EDUCATION</t>
  </si>
  <si>
    <t>SHRI SAMARTH JUNIOR COLLEGE OF SCIENCE, AKOLA</t>
  </si>
  <si>
    <t>COLLEGE OF ENGINEERING AND TECHNOLOGY AKOLA</t>
  </si>
  <si>
    <t>Medigence Solutions Pvt. Ltd. | Project Management Intern | Ahmedabad | May 2026 | Jul 2026 | 8.7142857142857 Weeks | Campus Internship
Ragita Constructions Pvt Ltd | Site Engineer | Akola | Mar 2024 | Jul 2025 | 66.857142857143 Weeks</t>
  </si>
  <si>
    <t>P25700148</t>
  </si>
  <si>
    <t>HARI</t>
  </si>
  <si>
    <t>MANIKANTA</t>
  </si>
  <si>
    <t>YATHAM</t>
  </si>
  <si>
    <t>Hari Manikanta Yatham</t>
  </si>
  <si>
    <t>hariyatham2k3@gmail.com</t>
  </si>
  <si>
    <t>p25700148@student.nicmar.ac.in</t>
  </si>
  <si>
    <t>18-Jan-2003</t>
  </si>
  <si>
    <t>8889 7953 0027</t>
  </si>
  <si>
    <t>SRINIVASU</t>
  </si>
  <si>
    <t>NAGA LAKSHMI</t>
  </si>
  <si>
    <t>H No 7-24/2, P.V Road, Vadali, Penugonda Mandal</t>
  </si>
  <si>
    <t>West Godavari</t>
  </si>
  <si>
    <t>DR.K.K.R'S GOWTHAM (EM) SCHOOL</t>
  </si>
  <si>
    <t>SASI JUNIOR COLLEGE</t>
  </si>
  <si>
    <t>SAGI RAMA KRISHNAM RAJU ENGINEERING COLLEGE, BHIMAVARAM</t>
  </si>
  <si>
    <t>AutoCAD,MS Office,MS Project,Primavera,Power BI,CostX</t>
  </si>
  <si>
    <t>ZYETA PRIVATE LIMITED | PROJECT MANAGEMENT INTERN | Bangalore | May 2026 | Jul 2026 | 8.5714285714286 Weeks | Campus Internship
GKC PROJECTS LTD | PROJECT MANAGEMENT INTERN  | HYDERABAD | Dec 2024 | Apr 2025 | 17.285714285714 Weeks
LARSEN &amp; TOUBRO (L&amp;T) | PROJECT MONITORING INTERN  | ANAND, GUJRAT | Jun 2024 | Jun 2024 | 4.1428571428571 Weeks</t>
  </si>
  <si>
    <t>P25700150</t>
  </si>
  <si>
    <t>MANISH</t>
  </si>
  <si>
    <t>SHEDE</t>
  </si>
  <si>
    <t>Manish Mahesh Shede</t>
  </si>
  <si>
    <t>manishshede22@gmail.com</t>
  </si>
  <si>
    <t>p25700150@student.nicmar.ac.in</t>
  </si>
  <si>
    <t>18-Oct-2002</t>
  </si>
  <si>
    <t>8040 7465 6581</t>
  </si>
  <si>
    <t>NILAM</t>
  </si>
  <si>
    <t>At Post Sakharpa, Bhandarwadi</t>
  </si>
  <si>
    <t>Ratnagiri</t>
  </si>
  <si>
    <t>SHRIMAN TUKARAM GANSHET GANDHI VIDYALAY  KONDGAON</t>
  </si>
  <si>
    <t>KONKAN DIVISIONAL BOARD ,RATNAGIRI</t>
  </si>
  <si>
    <t>GOVERNMENT POLYTECHNIC KARAD , KARAD/MAHARASHTRA</t>
  </si>
  <si>
    <t>ZEAL COLLEGE OF ENGINEERING &amp; RESEARCH PUNE , PUNE/MAHARASHTRA</t>
  </si>
  <si>
    <t>P25700151</t>
  </si>
  <si>
    <t>PRANAV</t>
  </si>
  <si>
    <t>MENON</t>
  </si>
  <si>
    <t>Pranav Menon V</t>
  </si>
  <si>
    <t>menonpranavv@gmail.com</t>
  </si>
  <si>
    <t>p25700151@student.nicmar.ac.in</t>
  </si>
  <si>
    <t>29-Oct-2002</t>
  </si>
  <si>
    <t>4010 5844 2004</t>
  </si>
  <si>
    <t>VIJAYAKUMAR PP</t>
  </si>
  <si>
    <t>DIVYA M</t>
  </si>
  <si>
    <t>Parakkal Puthiyaveedu,P O MANKAVU,Mankavu S O,Kozhikode,Kerala</t>
  </si>
  <si>
    <t>Kozhikode</t>
  </si>
  <si>
    <t>BHARATIYA VIDYA BHAVAN</t>
  </si>
  <si>
    <t>CENTRAL BOARD OF SECONDARY EDUCATION, KOZHIKODE, KERALA</t>
  </si>
  <si>
    <t>SCMS SCHOOL OF ENGINEERING AND TECHNOLOGY, ERNAKULAM, KERALA</t>
  </si>
  <si>
    <t>Goa State Infrastructure Development  | Site Execution | Bambolim , Ga | May 2026 | Jul 2026 | 8.7142857142857 Weeks | Campus Internship
TC ONE PROPERTIES AND PROJECTS PVT.LTD | SITE ENGINEER TRAINEE | KOZHIKODE | Jan 2025 | Jun 2025 | 24 Weeks</t>
  </si>
  <si>
    <t>P25700152</t>
  </si>
  <si>
    <t>NIRAJ</t>
  </si>
  <si>
    <t>LAXMIKANT</t>
  </si>
  <si>
    <t>PATANGE</t>
  </si>
  <si>
    <t>Niraj Laxmikant Patange</t>
  </si>
  <si>
    <t>nirajpatange15@gmail.com</t>
  </si>
  <si>
    <t>p25700152@student.nicmar.ac.in</t>
  </si>
  <si>
    <t>15-Sep-2002</t>
  </si>
  <si>
    <t>9296 5043 1935</t>
  </si>
  <si>
    <t>MADHAVI</t>
  </si>
  <si>
    <t>HOUSEWIVE</t>
  </si>
  <si>
    <t>Prabhat Colony, Keshavnagar Chinchwad</t>
  </si>
  <si>
    <t>MANORAM PRIMARY SCHOOL</t>
  </si>
  <si>
    <t>PIMPRI CHINCHWAD POLYTECHNIC PUNE</t>
  </si>
  <si>
    <t>RAJARSHI SHAHU COLLEGE OF ENGINEERING PUNE</t>
  </si>
  <si>
    <t>Infraking consulting engineers pvt. ltd. | Site trainee engineer | pimpri chinchwad | Dec 2024 | Jun 2025 | 26 Weeks</t>
  </si>
  <si>
    <t>P25700153</t>
  </si>
  <si>
    <t>KARTHIK VIJAY VARMA</t>
  </si>
  <si>
    <t>NIDADAVOLU</t>
  </si>
  <si>
    <t>Karthik Vijay Varma Nidadavolu</t>
  </si>
  <si>
    <t>karthik.nidadavolu@gmail.com</t>
  </si>
  <si>
    <t>p25700153@student.nicmar.ac.in</t>
  </si>
  <si>
    <t>09-Jul-2001</t>
  </si>
  <si>
    <t>8193 6038 9728</t>
  </si>
  <si>
    <t>NIDADAVOLU SITARAMA RAJU</t>
  </si>
  <si>
    <t>NONE</t>
  </si>
  <si>
    <t>NIDADAVOLU BHAVANI DEVI</t>
  </si>
  <si>
    <t>TAILOR</t>
  </si>
  <si>
    <t>3-4/7, Ramakrishna Nagar, Vakalapudi, Kakinada Rural.</t>
  </si>
  <si>
    <t>Kakinada</t>
  </si>
  <si>
    <t>KRISHNAVENI TALENT SCHOOL</t>
  </si>
  <si>
    <t>JNTUA COLLEGE OF ENGINEERING KALIKIRI</t>
  </si>
  <si>
    <t>AutoCAD,MS Project,Primavera,Power BI,CostX,MS Excel</t>
  </si>
  <si>
    <t>S&amp;P Constructions | Management Intern-QS | Hyderabad | Jul 2024 | Jan 2025 | 26.285714285714 Weeks</t>
  </si>
  <si>
    <t>P25700154</t>
  </si>
  <si>
    <t>Ayush Kumar</t>
  </si>
  <si>
    <t>ayush2003august@gmail.com</t>
  </si>
  <si>
    <t>p25700154@student.nicmar.ac.in</t>
  </si>
  <si>
    <t>4347 3845 9960</t>
  </si>
  <si>
    <t>PANKAJ KUMAR</t>
  </si>
  <si>
    <t>MENKA KUMARI</t>
  </si>
  <si>
    <t>Sr No 279/1/1A Plot No-113 Kutwal Colon, Sathe Wasti , Lohaegaon, Pune 411047</t>
  </si>
  <si>
    <t>MOUNT ST.PATRICK ACADEMY</t>
  </si>
  <si>
    <t>RAO JUNIOR COLLEGE OF SCIENCE, PUNE</t>
  </si>
  <si>
    <t>SHREE HARE KRISHNA INFRA | EXECUTION INTERN | PUNE | May 2026 | Jul 2026 | 8.7142857142857 Weeks | Campus Internship
HAARDIK IMPULSE DEVELOPERS LLP | Estimation &amp; Documentation Intern | Moshi pune  | Dec 2023 | Jan 2024 | 4.4285714285714 Weeks</t>
  </si>
  <si>
    <t>Finance for non financial managers</t>
  </si>
  <si>
    <t>P25700155</t>
  </si>
  <si>
    <t>SARABJIT</t>
  </si>
  <si>
    <t>Sarabjit Yadav</t>
  </si>
  <si>
    <t>ysarabjit88@gmail.com</t>
  </si>
  <si>
    <t>p25700155@student.nicmar.ac.in</t>
  </si>
  <si>
    <t>17-Feb-2000</t>
  </si>
  <si>
    <t>ENGLISH,HINDI AND BENGALI</t>
  </si>
  <si>
    <t>6331 3758 6605</t>
  </si>
  <si>
    <t>BHIKHU YADAV</t>
  </si>
  <si>
    <t>SUGANTI DEVI</t>
  </si>
  <si>
    <t>TEXMACO DARWAN GARAD, BELGHARIA, KAMARHATI M 4 NO RAIL GATE</t>
  </si>
  <si>
    <t>North 24 Parganas</t>
  </si>
  <si>
    <t>BHOLANANDA NATIONAL VIDYALAYA</t>
  </si>
  <si>
    <t>CENTRAL BOARD OF SECONDARY EDUCATION,  NEW DELHI</t>
  </si>
  <si>
    <t>BARRACKPORE CANTONMENT VIDYAPITH (HIGH SCHOOL)</t>
  </si>
  <si>
    <t>WEST BENGAL COUNCIL OF HIGHER SECONDARY EDUCATION KOLKATA</t>
  </si>
  <si>
    <t>MAULANA ABUL KALAM AZAD UNIVERSITY OF TECHNOLOGY, WEST BENGAL</t>
  </si>
  <si>
    <t>NETAJI SUBHASH ENGINEERING COLLEGE KOLKATA</t>
  </si>
  <si>
    <t>AutoCAD,MS Office,MS Project,EXCEL,BAR BENDING SCHEDULE</t>
  </si>
  <si>
    <t>ICICI BANK | ASSISTANT MANAGER  | Kolkata | Mar 2023 | May 2023 | 0Y 1M | 3.21
MEGHA ENGINEERING AND INFRASTRUCTURE LIMITED | ENGINEER - STRCS | JAMMU AND KASHMIR | May 2023 | Jun 2025 | 2Y 1M | 3.48</t>
  </si>
  <si>
    <t>WIPRO | TRAINEE | KOLKATA | Apr 2022 | Jul 2022 | 11.857142857143 Weeks
KOLKATA CENTRAL HEALTH DIVISION PWD | TRAINEE | KOLKATA | Aug 2021 | Sep 2021 | 3 Weeks</t>
  </si>
  <si>
    <t>P25700156</t>
  </si>
  <si>
    <t>Devendra</t>
  </si>
  <si>
    <t>Vikas</t>
  </si>
  <si>
    <t>Kulkarni</t>
  </si>
  <si>
    <t>Devendra Vikas Kulkarni</t>
  </si>
  <si>
    <t>devendrakulkarni001@gmail.com</t>
  </si>
  <si>
    <t>p25700156@student.nicmar.ac.in</t>
  </si>
  <si>
    <t>11-Mar-2000</t>
  </si>
  <si>
    <t>3626 9859 8523</t>
  </si>
  <si>
    <t>VIKAS</t>
  </si>
  <si>
    <t>SERVICE (RETIRED )</t>
  </si>
  <si>
    <t>LATE</t>
  </si>
  <si>
    <t>Vaishnavi, Namrata Hsg. Soc. Nakhate Nagar Behind Dhangarbaba Mandir Thergaon</t>
  </si>
  <si>
    <t>SHREE FATTECHAND JAIN VIDYALAYA AND JR. COLLAGE CHINCHWAD</t>
  </si>
  <si>
    <t>CUSROW WADIA INSTITUTE OF TECHNOLOGY PUNE</t>
  </si>
  <si>
    <t>TSSMS PADMABHUSHAN VASANT DADA PATIL INSTITUTE OF TECHNOLOGY BAVADHAN</t>
  </si>
  <si>
    <t>A A PMC AND ENGINERRING LLP | Junior Engineer | Taloja phase 2 Navi Mumbai | Mar 2022 | Jun 2025 | 3Y 3M | 5.06</t>
  </si>
  <si>
    <t>Sribal Construction Company  | Intern  | Bidadi Banglore  | May 2026 | Jul 2026 | 8.7142857142857 Weeks | Campus Internship
Legacy Life spaces LLP | Trainee engineer | Rahatni Pimpri | May 2017 | Jun 2017 | 3.7142857142857 Weeks</t>
  </si>
  <si>
    <t>P25700157</t>
  </si>
  <si>
    <t>SAMEER</t>
  </si>
  <si>
    <t>Sameer Satish Jadhav</t>
  </si>
  <si>
    <t>jadhavsameer.work@gmail.com</t>
  </si>
  <si>
    <t>p25700157@student.nicmar.ac.in</t>
  </si>
  <si>
    <t>9150 3564 3561</t>
  </si>
  <si>
    <t>SATISH JADHAV</t>
  </si>
  <si>
    <t>MANISHA JADHAV</t>
  </si>
  <si>
    <t>4, Navalkar Building, Ram Maruti Road, Dadar [West] Mumbai - 400028</t>
  </si>
  <si>
    <t>IES MODERN ENGLISH SCHOOL, DADAR (WEST) MUMBAI</t>
  </si>
  <si>
    <t>MAHARASHTRA STATE BOARD OF SECONDARY AND HIGHER EDUCATION, PUNE</t>
  </si>
  <si>
    <t>M.H. SABOO SIDDIK POLYTECHNIC, BYCULLA, MUMBAI</t>
  </si>
  <si>
    <t>DATTA MEGHE COLLEGE OF ENGINEERING, AIROLI, NAVI MUMBAI</t>
  </si>
  <si>
    <t>MS Project, Primavera, REVIT, AutoCAD</t>
  </si>
  <si>
    <t>Kolte-Patil Developers Limited | Construction &amp; Operations Intern | Pune, Maharashtra | May 2026 | Jul 2026 | 9.7142857142857 Weeks | Campus Internship
CIDCO, BELAPUR, NAVI MUMBAI | INTERN | ULWE, NAVI MUMBAI | Dec 2023 | Jan 2024 | 3.5714285714286 Weeks</t>
  </si>
  <si>
    <t>Project Management - Initiation and Planning â€“ L&amp;T EduTech (Coursera)
Foundations of Project Management â€“ Google (Coursera)
Project Monitoring and Control â€“ L&amp;T EduTech (Coursera)</t>
  </si>
  <si>
    <t>P25700158</t>
  </si>
  <si>
    <t>RATHOD</t>
  </si>
  <si>
    <t>Himanshu Vijay Rathod</t>
  </si>
  <si>
    <t>himanshu.rathodhr1998@gmail.com</t>
  </si>
  <si>
    <t>p25700158@student.nicmar.ac.in</t>
  </si>
  <si>
    <t>09-Feb-1998</t>
  </si>
  <si>
    <t>3857 3629 1015</t>
  </si>
  <si>
    <t>VIJAY RATHOD</t>
  </si>
  <si>
    <t>ANITA RATHOD</t>
  </si>
  <si>
    <t>73, Chandrabhaga Nagar Hudkeshwar Road Nagpur</t>
  </si>
  <si>
    <t>SOUTH POINT SCHOOL</t>
  </si>
  <si>
    <t>SHIVAJI SCIENCE COLLEGE</t>
  </si>
  <si>
    <t>YESHWANTRAO CHAVAN COLLEGE OF ENGINEERING NAGPUR</t>
  </si>
  <si>
    <t>AutoCAD,MS Project,Primavera,Advanced Excel,Power BI,Business Analytics</t>
  </si>
  <si>
    <t>Orange city water Pvt Ltd | Junior Engineer | Nagpur | Jul 2020 | Oct 2021 | 1Y 2M | 2.52</t>
  </si>
  <si>
    <t>Kalpataru limited  | Projects Department  | Mumbai | May 2026 | Jul 2026 | 8.4285714285714 Weeks | Campus Internship
NAGPUR MUNCIPAL CORPORATION NAGPUR | JUNIOR ENGINEER TRAINEE | NAGPUR | Aug 2024 | Jun 2025 | 43.428571428571 Weeks
Maharashtra metro rail corporation limited | Intern | Nagpur | May 2018 | Jun 2018 | 1.5714285714286 Weeks
L&amp;T REALTY MUMBAI | TRAINEE ENGINEER | MUMBAI | Jun 2023 | Feb 2024 | 34.714285714286 Weeks</t>
  </si>
  <si>
    <t>Finance for Non-Financial Managers
STAADPRO
Autocad</t>
  </si>
  <si>
    <t>P25700159</t>
  </si>
  <si>
    <t>PRATIK</t>
  </si>
  <si>
    <t>BHIMRAJ</t>
  </si>
  <si>
    <t>SUDRIK</t>
  </si>
  <si>
    <t>Pratik Bhimraj Sudrik</t>
  </si>
  <si>
    <t>pratiksudrikofficial2002@gmail.com</t>
  </si>
  <si>
    <t>p25700159@student.nicmar.ac.in</t>
  </si>
  <si>
    <t>24-Apr-2002</t>
  </si>
  <si>
    <t>MARATHI, ENGLISH &amp; HINDI</t>
  </si>
  <si>
    <t>7843 0709 6484</t>
  </si>
  <si>
    <t>PRIVATE SERVICE</t>
  </si>
  <si>
    <t>ROHINI SUDRIK</t>
  </si>
  <si>
    <t>404,06 BUILDING NO, AMARANTE SOCITY,KALAMBOLI ROADPALI, NAVI MUMBAI, PLOT 04, SEC 9 E</t>
  </si>
  <si>
    <t>A37/4, PUSHPAK HOUSING SOCIETY,_x000D_
NEAR GANESH MANDIR, VENUNAGAR, WAKAD.</t>
  </si>
  <si>
    <t>CREATIVE PUBLIC SCHOOL, RAVET</t>
  </si>
  <si>
    <t>MAHARASHTRA STATE BORD OF SECONDARY AND HIGHER SECONDARY EDUCATION.</t>
  </si>
  <si>
    <t>FR. AGNEL POLYTECHNIC, VASHI</t>
  </si>
  <si>
    <t>MAHATMA GANDHI MISSION'S COLLEGE OF ENGINEERING AND TECHNOLOGY, KAMOTHE, NAVI MUMBAI</t>
  </si>
  <si>
    <t>CAPACITE INFRAPROJECTS LTD | QUANTITY SURVEY &amp; BILLING GRADUATE ENGINEER TRAINEE | RAYMOND, RAYMOND ROAD, THANE, BEHIND VIVIANA MALL. | Jan 2025 | Jun 2025 | 0Y 5M | 2.52</t>
  </si>
  <si>
    <t>NAVI MUMBAI MUNICIPAL COPORATION | INTERN | BELAPUR WARD, SECTOR 11 | Jun 2023 | Jul 2023 | 3.5714285714286 Weeks</t>
  </si>
  <si>
    <t>P25700160</t>
  </si>
  <si>
    <t>AMITKUMAR</t>
  </si>
  <si>
    <t>Pranav Amitkumar Patil</t>
  </si>
  <si>
    <t>pranavpatil949529@gmail.com</t>
  </si>
  <si>
    <t>p25700160@student.nicmar.ac.in</t>
  </si>
  <si>
    <t>29-Apr-2003</t>
  </si>
  <si>
    <t>7150 6982 0121</t>
  </si>
  <si>
    <t>255/B WARD Plot No 39 Tararani Colony Sambhaji Nagar Kolhapur</t>
  </si>
  <si>
    <t>NEW ENGLISH MEDIUM SCHOOL</t>
  </si>
  <si>
    <t>MAHARAHTRA STATE BOARD OF SECONDARY AND HIGHER SECONDARY EDUCATION PUNE</t>
  </si>
  <si>
    <t>SHIVAJI UNIVERSITY KOLHAPUR</t>
  </si>
  <si>
    <t>DY PATIL COLLEGE OF ENGINEEERING AND TECHNOLOGY KOLHAPUR</t>
  </si>
  <si>
    <t>AutoCAD,MS Office,MS Project,Primavera,Revit</t>
  </si>
  <si>
    <t>Kolte-Patil Developers Ltd. | Management Intern - Construction &amp; Operations | Pune, Maharashtra | May 2026 | Jul 2026 | 9.7142857142857 Weeks | Campus Internship</t>
  </si>
  <si>
    <t>Certificate Program in Contract Management (CPCM)
Excel Skills for Business : Essentials</t>
  </si>
  <si>
    <t>P25700161</t>
  </si>
  <si>
    <t>ISHWAR</t>
  </si>
  <si>
    <t>MALAGI</t>
  </si>
  <si>
    <t>Ishwar Malagi</t>
  </si>
  <si>
    <t>malagiishwar529@gmail.com</t>
  </si>
  <si>
    <t>p25700161@student.nicmar.ac.in</t>
  </si>
  <si>
    <t>28-Jul-2001</t>
  </si>
  <si>
    <t>ENGLISH, HINDI, KANNADA AND TELUGU</t>
  </si>
  <si>
    <t>4651 4137 3877</t>
  </si>
  <si>
    <t>DYAVAPPA</t>
  </si>
  <si>
    <t>HANAMAVVA</t>
  </si>
  <si>
    <t>S/O Dyavappa, Muttalageri_x000D_
Po:Muttalageri, Dist:Bagalkot, Karnataka-587201</t>
  </si>
  <si>
    <t>Bagalkot</t>
  </si>
  <si>
    <t>SHRI SWAMI VIVEKANANDA ENGLISH MEDIUM HIGH SCHOOL, CHALUKYANAGAR, BADAMI</t>
  </si>
  <si>
    <t>VAGDEVI INDP PU COLLEGE, SHIGIKERI B-R BYEPASS RD, BAGALKOT</t>
  </si>
  <si>
    <t>DEPARTMENT OF PRE-UNIVERSITY EDUCATION</t>
  </si>
  <si>
    <t>KLS GOGTE INSTITUTE OF TECHNOLOGY, BELAGAVI</t>
  </si>
  <si>
    <t>BELAGAVI</t>
  </si>
  <si>
    <t>AutoCAD,MS Office,MS Project,ERP Software,Project Management Software</t>
  </si>
  <si>
    <t>Nina Percept Pvt Ltd, Subsidiary of Pidilite Industries. | Engineer - QAQC | Bengaluru | Aug 2023 | Jun 2025 | 1Y 9M | 3.6</t>
  </si>
  <si>
    <t>Rodic Consultants Pvt. Ltd | Business Development | New Delhi | May 2026 | Jul 2026 | 8.5714285714286 Weeks | Campus Internship
Indian Institute of Technology, Madras | Student Intern - Ambient Air Quality Monitoring and Analysis. | Chennai | Aug 2022 | Oct 2022 | 7.4285714285714 Weeks</t>
  </si>
  <si>
    <t>Plastic Waste Management
Intellectual Property Rights and Competition Law
English Language for Competitive Exams</t>
  </si>
  <si>
    <t>P25700162</t>
  </si>
  <si>
    <t>SHARIKA</t>
  </si>
  <si>
    <t>Sharika S S</t>
  </si>
  <si>
    <t>sharikasshyna@gmail.com</t>
  </si>
  <si>
    <t>p25700162@student.nicmar.ac.in</t>
  </si>
  <si>
    <t>7616 0952 1875</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</si>
  <si>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</si>
  <si>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</si>
  <si>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</si>
  <si>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</si>
  <si>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</si>
  <si>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</si>
  <si>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COCHIN REFINERIES SCHOOL AMBALAMUGAL</t>
  </si>
  <si>
    <t>CENTRAL BOARD OF SECONDARY EDUCATION KOCHI</t>
  </si>
  <si>
    <t>RAJAGIRI SCHOOL OF ENGINEERING AND TECHNOLOGY</t>
  </si>
  <si>
    <t>NeST Hi-Tek Park Private Limited | Civil Engineer Trainee | Kalamassery , Ernakulam, Kerala | Dec 2023 | May 2025 | 1Y 4M | 2.4</t>
  </si>
  <si>
    <t>Uralungal Labour Contract Co-operative Society(ULCCS) | Intern | Varkala, Kerala | May 2026 | Jul 2026 | 8 Weeks | Campus Internship
KEC International Limited | Intern | Kochi | Oct 2022 | Oct 2022 | 0.57142857142857 Weeks</t>
  </si>
  <si>
    <t>P25700163</t>
  </si>
  <si>
    <t>KHUSHI</t>
  </si>
  <si>
    <t>KHANNA</t>
  </si>
  <si>
    <t>Khushi Khanna</t>
  </si>
  <si>
    <t>khannakhushi43@gmail.com</t>
  </si>
  <si>
    <t>p25700163@student.nicmar.ac.in</t>
  </si>
  <si>
    <t>23-Mar-2002</t>
  </si>
  <si>
    <t>4376 0748 5575</t>
  </si>
  <si>
    <t>SANJAY KHANNA</t>
  </si>
  <si>
    <t>MAYA KHANNA</t>
  </si>
  <si>
    <t>KD-122, Kavinagar, D Block</t>
  </si>
  <si>
    <t>Ghaziabad</t>
  </si>
  <si>
    <t>THE DPS-G INTERNATIONAL HINDON NGR GHAZIABAD UP</t>
  </si>
  <si>
    <t>CBSE GHAZIABAD/UTTAR PRADESH</t>
  </si>
  <si>
    <t>2012-Apr</t>
  </si>
  <si>
    <t>MANIPAL UNIVERSITY JAIPUR</t>
  </si>
  <si>
    <t>MANIPAL UNIVERSITY JAIPUR/ RAJASTHAN</t>
  </si>
  <si>
    <t>AutoCAD,MS Office,MS Project,SketchUp,Revit,Lumion,Photoshop,Illustrator</t>
  </si>
  <si>
    <t>Ecofirst Services Limited | Architect Trainee | Navi Mumbai | Aug 2024 | Jan 2025 | 0Y 5M | 4.5</t>
  </si>
  <si>
    <t>BIPOLAR DESIGNS LLP | INTERN | DELHI | Jan 2023 | Apr 2023 | 15.571428571429 Weeks</t>
  </si>
  <si>
    <t>Internation Studies in Vernacular Architecture</t>
  </si>
  <si>
    <t>P25700164</t>
  </si>
  <si>
    <t>SRIVATSAV</t>
  </si>
  <si>
    <t>GOLLAPALLI</t>
  </si>
  <si>
    <t>Surya Srivatsav Gollapalli</t>
  </si>
  <si>
    <t>gollapallisuryasrivatsav@gmail.com</t>
  </si>
  <si>
    <t>p25700164@student.nicmar.ac.in</t>
  </si>
  <si>
    <t>10-Jun-2003</t>
  </si>
  <si>
    <t>ENGLISH , TELUGU, HINDI</t>
  </si>
  <si>
    <t>3416 1119 3649</t>
  </si>
  <si>
    <t>SRINIVASA RAO GOLLAPALLI</t>
  </si>
  <si>
    <t>CONTRACTOR</t>
  </si>
  <si>
    <t>LALITHA SUNDARI GOLLAPALLI</t>
  </si>
  <si>
    <t>DEMISED</t>
  </si>
  <si>
    <t>Mig 2 Block No 16 F3, Visweswaraya Nagar, Autonagar D Block Extn. BHPV Post</t>
  </si>
  <si>
    <t>DE PAUL SCHOOL</t>
  </si>
  <si>
    <t>COUNCIL FOR THE INDIAN SCHOOL CERTIFICATE EXAMINATIONS, VISAKHAPATNAM</t>
  </si>
  <si>
    <t>2006-Jul</t>
  </si>
  <si>
    <t>BOARD OF INTERMEDIATE EDUCATION,KAKINADA</t>
  </si>
  <si>
    <t>GITAM INSTITUTE OF TECHNOLOGY AND MANAGEMENT</t>
  </si>
  <si>
    <t>GITAM UNIVERSITY , VISAKHAPATNAM</t>
  </si>
  <si>
    <t>NHAI | Site intern | visakhapatnam | May 2024 | Jun 2024 | 4.5714285714286 Weeks</t>
  </si>
  <si>
    <t>P25700165</t>
  </si>
  <si>
    <t>RAGHVENDRA</t>
  </si>
  <si>
    <t>Raghvendra Singh</t>
  </si>
  <si>
    <t>raghvendrasinghnagar@gmail.com</t>
  </si>
  <si>
    <t>p25700165@student.nicmar.ac.in</t>
  </si>
  <si>
    <t>19-Sep-2001</t>
  </si>
  <si>
    <t>6656 7928 0086</t>
  </si>
  <si>
    <t>RAVINDER NAGAR</t>
  </si>
  <si>
    <t>DIMPLE NAGAR</t>
  </si>
  <si>
    <t>III-A/87, Nehru Nagar III, Ghaziabad</t>
  </si>
  <si>
    <t>DELHI PUBLIC SCHOOL INDIRAPURAM GHAZIABAD UP</t>
  </si>
  <si>
    <t>CENTRAL BOARD OF SECONDARY EDUCATION, GHAZIABAD UP</t>
  </si>
  <si>
    <t>SHIV NADAR (INSTITUTE OF EMINENCE DEEMED TO BE UNIVERSITY)</t>
  </si>
  <si>
    <t>SHIV NADAR (INSTITUTE OF EMINENCE DEEMED TO BE UNIVERSITY), GREATER NOIDA, UP</t>
  </si>
  <si>
    <t>AutoCAD,MS Office,MS Project,ANSYS</t>
  </si>
  <si>
    <t>NAGAR BUILDERS | CONSTRUCTION PROJECT TRAINEE | GHAZIABAD | Nov 2024 | Mar 2025 | 18 Weeks
Indian Road Safety Campaign in association with Transport Department, Uttar Pradesh and Ministry of Road Transport and Highways | Traffic Survey and Road Safety Intern | Dadri | Jan 2022 | Mar 2022 | 12.714285714286 Weeks</t>
  </si>
  <si>
    <t>P25700166</t>
  </si>
  <si>
    <t>SARFARAZ</t>
  </si>
  <si>
    <t>KAZI</t>
  </si>
  <si>
    <t>Mihir Sarfaraz Kazi</t>
  </si>
  <si>
    <t>mihirkazi2430@gmail.com</t>
  </si>
  <si>
    <t>p25700166@student.nicmar.ac.in</t>
  </si>
  <si>
    <t>6466 1405 3773</t>
  </si>
  <si>
    <t>SARFARAZ KAZI</t>
  </si>
  <si>
    <t>MAKASUDA KAZI</t>
  </si>
  <si>
    <t>SILVER STONE SOCIETY HANDEWADI</t>
  </si>
  <si>
    <t>Kazi Galli Mangalvedhe</t>
  </si>
  <si>
    <t>SINHGAD CITY SCHOOL</t>
  </si>
  <si>
    <t>CYGNET PUBLIC SCHOOL</t>
  </si>
  <si>
    <t>HIGHER SECONDARY CERTIFICATE EXAMINATION</t>
  </si>
  <si>
    <t>VISHWAKARMA INSTITUTE OF INFORMATION TECHNOLOGY , KONDHWA BK , PUNE</t>
  </si>
  <si>
    <t>P25700167</t>
  </si>
  <si>
    <t>BASIREDDY</t>
  </si>
  <si>
    <t>KARTHIKEYA</t>
  </si>
  <si>
    <t>Basireddy Karthikeya</t>
  </si>
  <si>
    <t>basireddykarthikeya29@gmail.com</t>
  </si>
  <si>
    <t>p25700167@student.nicmar.ac.in</t>
  </si>
  <si>
    <t>29-Jun-2004</t>
  </si>
  <si>
    <t>ENGLISH,TELUGU,HINDI,KANNADA,</t>
  </si>
  <si>
    <t>7545 4147 1048</t>
  </si>
  <si>
    <t>JAYARAMIREDDY</t>
  </si>
  <si>
    <t>JYOTHI</t>
  </si>
  <si>
    <t>ASSISTANT PROFESSOR</t>
  </si>
  <si>
    <t>45-201/16-4,BALAJI NAGAR, CHEMMUMIYAPETA</t>
  </si>
  <si>
    <t>Kadapa</t>
  </si>
  <si>
    <t>BASIREDDY KARTHIKEYA</t>
  </si>
  <si>
    <t>NEW HORIZON COLLEGE OF ENGINEERING ,BENGALURU</t>
  </si>
  <si>
    <t>REPPLEN PROJECTS PRIVATE LIMITED | Project Planning Intern | Alibag | May 2026 | Jun 2026 | 8.1428571428571 Weeks | Campus Internship
S V CONSTRUCTIONS | SITE ENGINEER INTERN  | VIJAYAPURA, KARNATAKA | Feb 2025 | Jul 2025 | 21.142857142857 Weeks
M.V.V SATYANARRAYANA |  INTERN | BENGALURU | Aug 2023 | Oct 2023 | 9.2857142857143 Weeks</t>
  </si>
  <si>
    <t>P25700168</t>
  </si>
  <si>
    <t>THOTA</t>
  </si>
  <si>
    <t>SAI NITHISH ROYAL</t>
  </si>
  <si>
    <t>Thota Sai Nithish Royal</t>
  </si>
  <si>
    <t>nithishroyal369@gmail.com</t>
  </si>
  <si>
    <t>p25700168@student.nicmar.ac.in</t>
  </si>
  <si>
    <t>13-Sep-2002</t>
  </si>
  <si>
    <t>ENGLISH,TELUGU,HINDI,KANNADA</t>
  </si>
  <si>
    <t>7861 8605 7800</t>
  </si>
  <si>
    <t>THOTA GIRIDHAR</t>
  </si>
  <si>
    <t>BUSINESS,POLITICIAN</t>
  </si>
  <si>
    <t>THOTA SUNITHA</t>
  </si>
  <si>
    <t>Mulakalacheruvu, Chittor Dst, MBT Road, Opposite Market Yard</t>
  </si>
  <si>
    <t>S P V B HIGH SCHOOL</t>
  </si>
  <si>
    <t>BOARD OF SECONDARY EDUCATION , CHITTOR /ANDHRA PRADESH</t>
  </si>
  <si>
    <t>VEMU JUNIOR COLLEGE</t>
  </si>
  <si>
    <t>BOARD OF INTERMEDIATE EDUCATION , P KOTHAKOTA / ANDHRA PRADESH</t>
  </si>
  <si>
    <t>VTU BELAGAVI</t>
  </si>
  <si>
    <t>NEW HORIZON COLLAGE OF ENGINEERING , BENGALURU / KARNATAKA</t>
  </si>
  <si>
    <t>AutoCAD,MS Office,MS Project,Primavera,REVIT,SKETCHUP</t>
  </si>
  <si>
    <t>Kattu | Project Management Intern | Bengaluru | May 2026 | Jul 2026 | 8.7142857142857 Weeks | Campus Internship
SBR Group | Intern | Bengaluru | Aug 2024 | Dec 2024 | 17.285714285714 Weeks</t>
  </si>
  <si>
    <t>P25700169</t>
  </si>
  <si>
    <t>HANUMANDAS</t>
  </si>
  <si>
    <t>CHANDAK</t>
  </si>
  <si>
    <t>Mitali Hanumandas Chandak</t>
  </si>
  <si>
    <t>mitalichandak22@gmail.com</t>
  </si>
  <si>
    <t>p25700169@student.nicmar.ac.in</t>
  </si>
  <si>
    <t>22-Apr-2001</t>
  </si>
  <si>
    <t>2603 5496 8570</t>
  </si>
  <si>
    <t>Shri Nagar Colony, Nachangaon Road, Pulgaon</t>
  </si>
  <si>
    <t>GANDHI CITY PUBLIC SCHOOL</t>
  </si>
  <si>
    <t>CENTRAL BOARD OF SECONDARY EDUCATION, WARDHA</t>
  </si>
  <si>
    <t>M.P.DEO MEMORIAL DHARAMPETH SCIENCE COLLEGE</t>
  </si>
  <si>
    <t>MAHARASHTRA STATE BOARD, NAGPUR</t>
  </si>
  <si>
    <t>SMT MANORAMABAI MUNDLE COLLEGE OF ARCHITECTURE, NAGPUR</t>
  </si>
  <si>
    <t>MS Office,MS Project,Primavera,Adobe Revit, CostX, AutoCAD, Adobe photoshop,Project Coordination,Stakeholder and client management,Powerpoint,Cost estimation,MS Excel</t>
  </si>
  <si>
    <t>N.Z.Associates | Architectural designer | Nagpur | Aug 2023 | Jun 2025 | 1Y 9M | 2.16</t>
  </si>
  <si>
    <t>Architect Rushikesh H | Project Management Intern | Pune | May 2026 | Jul 2026 | 9.5714285714286 Weeks | Campus Internship
Ambience Design | Architectural Intern | Ahmedabad | Jun 2022 | Sep 2022 | 17.285714285714 Weeks</t>
  </si>
  <si>
    <t>DigiQC
Coursera - Finance for Non-finance Manager
Coursera - Construction Equipment Maintenance &amp; Safety</t>
  </si>
  <si>
    <t>P25700170</t>
  </si>
  <si>
    <t>PRATEEK</t>
  </si>
  <si>
    <t>Prateek Sharma</t>
  </si>
  <si>
    <t>ps2555061@gmail.com</t>
  </si>
  <si>
    <t>p25700170@student.nicmar.ac.in</t>
  </si>
  <si>
    <t>15-Aug-2002</t>
  </si>
  <si>
    <t>8881 0094 5337</t>
  </si>
  <si>
    <t>MADAN LAL SHARMA</t>
  </si>
  <si>
    <t>PRIVATE SECTOR</t>
  </si>
  <si>
    <t>ANITA SHARMA</t>
  </si>
  <si>
    <t>EDUCATION DEPARTMENT</t>
  </si>
  <si>
    <t>Om Bhawan Lane 15, Sector 4, Phase 2 Near Dav School New Shimla</t>
  </si>
  <si>
    <t>Shimla</t>
  </si>
  <si>
    <t>DAV PUBLIC SCHOOL NEW SHIMLA</t>
  </si>
  <si>
    <t>JCB PUBLIC SCHOOL NEW SHIMLA</t>
  </si>
  <si>
    <t>JAYPEE UNIVERSITY OF INFORMATION TECHNOLOGY</t>
  </si>
  <si>
    <t>JAYPEE UNIVERSITY OF INFORMATION TECHNOLOGY , SOLAN</t>
  </si>
  <si>
    <t>AMBUJA CEMENTS | INTERNSHIP TRAINEE | AMBUJA PLANT DARLAGHAT | Jun 2023 | Jul 2023 | 6.2857142857143 Weeks
SPC INFRA PROJECTS | CIVIL ENGINEER (INTERN) | CHANDRAPUR, MAHARASHTRA  | Aug 2024 | Feb 2025 | 30.142857142857 Weeks</t>
  </si>
  <si>
    <t>P25700171</t>
  </si>
  <si>
    <t>DHIMAN</t>
  </si>
  <si>
    <t>DAS</t>
  </si>
  <si>
    <t>Dhiman Das</t>
  </si>
  <si>
    <t>dhimandas9@gmail.com</t>
  </si>
  <si>
    <t>p25700171@student.nicmar.ac.in</t>
  </si>
  <si>
    <t>16-Mar-1995</t>
  </si>
  <si>
    <t>ENGLISH, HINDI, BENGALI AND GERMANY(A1)</t>
  </si>
  <si>
    <t>3081 9739 3862</t>
  </si>
  <si>
    <t>KRISHNAGOPAL DAS</t>
  </si>
  <si>
    <t>BIDULA DAS</t>
  </si>
  <si>
    <t>Chunavati Village Road, Near School Math, Uttar Podrah, P.O. Podrah, P.S. Sankrail</t>
  </si>
  <si>
    <t>Howrah</t>
  </si>
  <si>
    <t>MARIA'S DAY SCHOOL</t>
  </si>
  <si>
    <t>S.E.R.MIXED HIGH SCHOOL (E.M.)</t>
  </si>
  <si>
    <t>2011-Apr</t>
  </si>
  <si>
    <t>MEGHNAD SAHA INSTITUTE OF TECHNOLOGY, KOLKATA</t>
  </si>
  <si>
    <t>AutoCAD,MS Office,MS Project,Primavera,Power BI,Excel,Staad Pro,Staad Foundation,Revit</t>
  </si>
  <si>
    <t>Korus Engineering Solutions Pvt Ltd | Project Monitoring Engineer | Tatanagar, Jamshedpur, India | Nov 2023 | Oct 2024 | 0Y 11M | 1.62
Simplex Infrastructures Limited | Assistant Engineer | Kolkata, West Bengal, India | Aug 2017 | Aug 2019 | 2Y 0M | 3.18
B.K.Ray &amp; Associates | Valuation Surveyor | Kolkata, West Bengal, India | Aug 2021 | Sep 2023 | 2Y 1M | 0.6</t>
  </si>
  <si>
    <t>5 Years 1 Month</t>
  </si>
  <si>
    <t>Cemindia Projects Limited | Intern | Powai, Mumbai | May 2026 | Jul 2026 | 9.5714285714286 Weeks | Campus Internship
ITD Cementation India Limited | Trainee | Kolkata, West Bengal. India | Dec 2015 | Jan 2016 | 4.1428571428571 Weeks
BCE Design Services LLP | Intern | Kolkata, West Bengal. India | Apr 2017 | May 2017 | 7.2857142857143 Weeks</t>
  </si>
  <si>
    <t>Primavera P6 Project Planning and Scheduling Masterclass
Goethe Certificate A1</t>
  </si>
  <si>
    <t>P25700172</t>
  </si>
  <si>
    <t>NIYATEE</t>
  </si>
  <si>
    <t>Niyatee Bhanudas Patil</t>
  </si>
  <si>
    <t>niyateep7777@gmail.com</t>
  </si>
  <si>
    <t>p25700172@student.nicmar.ac.in</t>
  </si>
  <si>
    <t>26-Jan-2002</t>
  </si>
  <si>
    <t>5407 5205 2713</t>
  </si>
  <si>
    <t>BHANUDAS PATIL</t>
  </si>
  <si>
    <t>RUPALI PATIL</t>
  </si>
  <si>
    <t>701, NEW SADHANA CHS, PANDURANG WADI, DOMBIVLI EAST</t>
  </si>
  <si>
    <t>NACHIKETAS HIGH SCHOOL &amp; JR. COLLEGE</t>
  </si>
  <si>
    <t>MAHARASHTRA STATE BOARD KOLHAPUR DIVISIONAL</t>
  </si>
  <si>
    <t>SHRI BHASKARACHARYA PRATISHTAN</t>
  </si>
  <si>
    <t>MAHARASHTRA STATE BOARD AURANGABAD DIVISIONAL</t>
  </si>
  <si>
    <t>DR. VISHWANATH KARAD MIT-WORLD PEACE UNIVERSITY</t>
  </si>
  <si>
    <t>DR. VISHWANATH KARAD MIT-WORLD PEACE UNIVERSITY PUNE</t>
  </si>
  <si>
    <t>AutoCAD,MS Office,MS Project,Primavera,REVIT,POWER BI</t>
  </si>
  <si>
    <t>Unique Pest Control Service | Civil Engineer | Mumbai | Dec 2023 | Mar 2024 | 0Y 3M | 3</t>
  </si>
  <si>
    <t>0 Years 3 Months</t>
  </si>
  <si>
    <t>Pidilite Industries | Summer Intern | Mumbai | May 2026 | Jun 2026 | 7.5714285714286 Weeks | Campus Internship
Maharashtra Metro Rail Corporation Limited | Project Management Engineer Trainee | Pune | Dec 2021 | Jan 2022 | 4.2857142857143 Weeks
Meera Cleanfuels Limited | Jr. Project Engineer Trainee | Mumbai | Oct 2022 | Apr 2023 | 28.142857142857 Weeks</t>
  </si>
  <si>
    <t>REVIT</t>
  </si>
  <si>
    <t>P25700174</t>
  </si>
  <si>
    <t>DHOLAY</t>
  </si>
  <si>
    <t>GULABRAO</t>
  </si>
  <si>
    <t>Dholay Vaishnavi Gulabrao</t>
  </si>
  <si>
    <t>vdholay@gmail.com</t>
  </si>
  <si>
    <t>p25700174@student.nicmar.ac.in</t>
  </si>
  <si>
    <t>29-Dec-1996</t>
  </si>
  <si>
    <t>3558 8275 6556</t>
  </si>
  <si>
    <t>GULABRAO SOMNATH DHOLAY</t>
  </si>
  <si>
    <t>LATIKA GULABRAO DHOLAY</t>
  </si>
  <si>
    <t>B 804, JEEVAN,  YASHWIN JEEVAN &amp; ORCHID, YASHWIN ROAD, NEAR VIBGYOR SCHOOL, SUS, PUNE</t>
  </si>
  <si>
    <t>Dhole Vasti, Near Daulat Petrol Pump, Akole Road Kasara Dumala, Sangamner 422605</t>
  </si>
  <si>
    <t>2014-Feb</t>
  </si>
  <si>
    <t>SINHGAD COLLEGE OF ARCHITECTURE</t>
  </si>
  <si>
    <t>AutoCAD,MS Office,MS Project,Sketch up,Lumion,V-ray</t>
  </si>
  <si>
    <t>Mind Manifestation Design | Assistant Architect | Pune | Mar 2021 | Mar 2023 | 2Y 0M | 3
Kabra Architects | Architect | Pune | Apr 2023 | May 2025 | 2Y 1M | 3.36</t>
  </si>
  <si>
    <t>4 Years 2 Months</t>
  </si>
  <si>
    <t>Planhigh Architects and Project Management Consultants | Project Coordinator | Thane | May 2026 | Jul 2026 | 8.5714285714286 Weeks | Campus Internship
Avinash Nawathe  Architects | Internship Trainee | Pune | May 2019 | Nov 2019 | 25.857142857143 Weeks</t>
  </si>
  <si>
    <t>P25700175</t>
  </si>
  <si>
    <t>ANUSHA</t>
  </si>
  <si>
    <t>MATH</t>
  </si>
  <si>
    <t>Anusha R Math</t>
  </si>
  <si>
    <t>anushamath01@gmail.com</t>
  </si>
  <si>
    <t>p25700175@student.nicmar.ac.in</t>
  </si>
  <si>
    <t>21-Jul-2001</t>
  </si>
  <si>
    <t>English, Hindi, Kannada</t>
  </si>
  <si>
    <t>7283 3989 2176</t>
  </si>
  <si>
    <t>RAJIV MATH</t>
  </si>
  <si>
    <t>GAYATRI R MATH</t>
  </si>
  <si>
    <t>H.NO 1-1495/40_x000D_
PLT.NO 24_x000D_
GODUTAI COLONY 2ND CROSS OPP TO YASH KOTHARI _x000D_
GULBARGA_x000D_
2ND CROSS</t>
  </si>
  <si>
    <t>Gulbarga</t>
  </si>
  <si>
    <t>11-1624/2_x000D_
Vidya Nagar_x000D_
Bahamanipura_x000D_
Gulbarga Karnataka - 585103</t>
  </si>
  <si>
    <t>CHANDRAKANT PATIL ENGLISH MEDIUM SCHOOL CBSE</t>
  </si>
  <si>
    <t>CBSE, KALABURGI</t>
  </si>
  <si>
    <t>GURUKUL INDEPENDENT PU COLLEGE</t>
  </si>
  <si>
    <t>KARNATAKA BOARD OF THE PRE-UNIVERSITY EDUCATION,KALABURGI</t>
  </si>
  <si>
    <t>VISVESVARAYA TECHNOLOGICAL UNIVERSITY (VTU), BELAGAVI</t>
  </si>
  <si>
    <t>POOJYA DODDAPPA APPA COLLEGE OF ENGINEERING, KALABURGI</t>
  </si>
  <si>
    <t>AutoCAD,MS Office,MS Project,AutoCAD,Lumion,3DS Max,Photoshop,Sketchup</t>
  </si>
  <si>
    <t>Architect Rushikesh H | Project Management Intern | Mumbai | May 2026 | Jul 2026 | 8.7142857142857 Weeks | Campus Internship
shobha and mahesh associates | Architectural Intern | bengaluru | Jun 2023 | Oct 2023 | 17.714285714286 Weeks</t>
  </si>
  <si>
    <t>Ethics in Engineering Practice
Finance for Non-Financial Managers</t>
  </si>
  <si>
    <t>P25700176</t>
  </si>
  <si>
    <t>VEDITH</t>
  </si>
  <si>
    <t>N</t>
  </si>
  <si>
    <t>Vedith N Rai</t>
  </si>
  <si>
    <t>vedithrai57@gmail.com</t>
  </si>
  <si>
    <t>p25700176@student.nicmar.ac.in</t>
  </si>
  <si>
    <t>17-Apr-2002</t>
  </si>
  <si>
    <t>ENGLISH,HINDI,KANNADA,</t>
  </si>
  <si>
    <t>6039 6056 8662</t>
  </si>
  <si>
    <t>NAVEEN RAI N</t>
  </si>
  <si>
    <t>DIVYA RAI</t>
  </si>
  <si>
    <t>S/O Naveen Rai N Behind N E S Colony Vedhavathi NIlaya Hunsur</t>
  </si>
  <si>
    <t>TALENT PUBLIC SCHOOL</t>
  </si>
  <si>
    <t>CENTRAL BOARD OF SECONDARY EDUCATION,HUNSUR/KARNATAKA</t>
  </si>
  <si>
    <t>TALENT PRE UNIVERSITY COLLEGE</t>
  </si>
  <si>
    <t>DEPARTMENT OF PRE UNIVERSITY EDUCATION</t>
  </si>
  <si>
    <t>JSS SCIENCE AND TECHNOLOGY UNIVERSITY</t>
  </si>
  <si>
    <t>JSS SCIENCE AND TECHNOLOGY UNIVERSITY,MYSORE/KARNATAKA</t>
  </si>
  <si>
    <t>AutoCAD,MS Office,MS Project,Primavera,Sketch-up,Revit,Lumion</t>
  </si>
  <si>
    <t>Naksha | Civil Intern | Mysore | Sep 2024 | Feb 2025 | 23.285714285714 Weeks
M.S Construction Engineers And Builders | Civil Intern | Mysore | Mar 2025 | Jun 2025 | 14.142857142857 Weeks</t>
  </si>
  <si>
    <t>P25700177</t>
  </si>
  <si>
    <t>NIMIT</t>
  </si>
  <si>
    <t>BHAVESH</t>
  </si>
  <si>
    <t>SHAH</t>
  </si>
  <si>
    <t>Nimit Bhavesh Shah</t>
  </si>
  <si>
    <t>nimitshah2001@gmail.com</t>
  </si>
  <si>
    <t>p25700177@student.nicmar.ac.in</t>
  </si>
  <si>
    <t>27-Aug-2001</t>
  </si>
  <si>
    <t>ENGLISH, HINDI, GUJRATI</t>
  </si>
  <si>
    <t>7242 6748 7992</t>
  </si>
  <si>
    <t>BHAVESH RAMNIKLAL SHAH</t>
  </si>
  <si>
    <t>HETAL BHAVESH SHAH</t>
  </si>
  <si>
    <t>FLAT NO. 602, TATVASHILA BUILDING, KASTURBA ROAD, MULUND WEST, MUMBAI - 400080</t>
  </si>
  <si>
    <t>SHETH KARAMSHI KANJI ENGLISH SCHOOL, MUMBAI</t>
  </si>
  <si>
    <t>K. J. SOMAIYA POLYTECHNIC, MUMBAI</t>
  </si>
  <si>
    <t>DATTA MEGHE COLLEGE OF ENGINEERING, NAVI MUMBAI</t>
  </si>
  <si>
    <t>AutoCAD,MS Office,MS Project,Primavera,ETABS,Revit,STAAD</t>
  </si>
  <si>
    <t>J. Kumar Infraprojects Ltd  | Intern  | Mumbai  | May 2026 | Jul 2026 | 9.7142857142857 Weeks | Campus Internship
RRC Ventures Private Limited | Construction Supervisor Intern | Mumbai | Dec 2022 | Jan 2023 | 4.4285714285714 Weeks
CITY AND INDUSTRIAL DEVELOPMENT CORPORATION OF MAHARASHTRA LIMITED (CIDCO) | Construction Supervisor Intern | Navi Mumbai | Jun 2022 | Jul 2022 | 7 Weeks
ACE Properties | Junior Site Engineer | Thane | Jul 2024 | Feb 2025 | 34.571428571429 Weeks</t>
  </si>
  <si>
    <t>MahaRERA Real Estate Agent Training and Examination</t>
  </si>
  <si>
    <t>P25700178</t>
  </si>
  <si>
    <t>RISHIKESH</t>
  </si>
  <si>
    <t>REDDY</t>
  </si>
  <si>
    <t>PADIDAM</t>
  </si>
  <si>
    <t>Rishikesh Reddy Padidam</t>
  </si>
  <si>
    <t>rishikesh13reddy@gmail.com</t>
  </si>
  <si>
    <t>p25700178@student.nicmar.ac.in</t>
  </si>
  <si>
    <t>13-Nov-2003</t>
  </si>
  <si>
    <t>7285 3447 9290</t>
  </si>
  <si>
    <t>PADIDAM RAM MOHAN REDDY</t>
  </si>
  <si>
    <t>GOVT. DEGREE COLLEGE PRINCIPAL</t>
  </si>
  <si>
    <t>SRILEKHA MAMILLA</t>
  </si>
  <si>
    <t>11-1-1927/1a/1, Street No-9, Road No-4, Gangastan Phase-1, Kanteshwar, Nizamabad, Telangana-503002</t>
  </si>
  <si>
    <t>Nizamabad</t>
  </si>
  <si>
    <t>VELOCITY HIGH SCHOOL</t>
  </si>
  <si>
    <t>BOARD OF SECONDARY EDUCATION TELANGANA STATE</t>
  </si>
  <si>
    <t>NARAYANA JR COLLEGE</t>
  </si>
  <si>
    <t>JAWAHARLAL NEHRU TECHNOLOGICAL UNIVERSITY HYDERABAD (JNTUH)</t>
  </si>
  <si>
    <t>VNR VIGNANA JOTHI INSTITUTE OF ENGINEERING &amp; TECHNOLOGY, HYDERABAD</t>
  </si>
  <si>
    <t>HBS Infra Engineers India Pvt Ltd | Management Intern | Hyderabad | May 2026 | Jul 2026 | 8.7142857142857 Weeks | Campus Internship
A Right Builders Pvt. Ltd. | Intern-Supervision of Residential Project | Khammam, Telangana, India | May 2024 | May 2024 | 3.4285714285714 Weeks
NATIONAL INSTITUTE OF TECHNOLOGY, WARANGAL | INTERN | WARANGAL, TELANGANA,INDIA | Jun 2023 | Jun 2023 | 2.8571428571429 Weeks</t>
  </si>
  <si>
    <t>Plastic Waste Management
Plumbing Design and Fire Fighting
Finance for Non-Financial Managers</t>
  </si>
  <si>
    <t>P25700179</t>
  </si>
  <si>
    <t>SPOORTHI</t>
  </si>
  <si>
    <t>Spoorthi M</t>
  </si>
  <si>
    <t>spoorthimahesh39@gmail.com</t>
  </si>
  <si>
    <t>p25700179@student.nicmar.ac.in</t>
  </si>
  <si>
    <t>28-Jul-2002</t>
  </si>
  <si>
    <t>ENGLISH, HINDI AND KANNADA</t>
  </si>
  <si>
    <t>8543 2459 4563</t>
  </si>
  <si>
    <t>MAHESH B R</t>
  </si>
  <si>
    <t>OUT SOURSE EMPLYEE CMC SAGAR</t>
  </si>
  <si>
    <t>LATHA MAHESH</t>
  </si>
  <si>
    <t>#123 Kuttira, Near Govt Ladies Hostel, Jambagaru</t>
  </si>
  <si>
    <t>Shimoga</t>
  </si>
  <si>
    <t>SRI RAMAKRISHNA ENG.MED HIGH SCHOOL SAGAR</t>
  </si>
  <si>
    <t>MES CHAITHANYA PU COLLEGE, COLLEGE ROAD SIRSI</t>
  </si>
  <si>
    <t>REVA UNIVERSITY, BENGALURU</t>
  </si>
  <si>
    <t>AutoCAD,MS Project,Primavera,STAAD PRO 2D,ERP Oracle,cost-x</t>
  </si>
  <si>
    <t>New Consolidated Construction CO. LTD. | QA/QC and EHS | Banglore | Jul 2023 | Aug 2023 | 4.4285714285714 Weeks</t>
  </si>
  <si>
    <t>P25700180</t>
  </si>
  <si>
    <t>HARIDAS</t>
  </si>
  <si>
    <t>BINGI</t>
  </si>
  <si>
    <t>Rohit Haridas Bingi</t>
  </si>
  <si>
    <t>rohitbingi0710@gmail.com</t>
  </si>
  <si>
    <t>p25700180@student.nicmar.ac.in</t>
  </si>
  <si>
    <t>07-Oct-2002</t>
  </si>
  <si>
    <t>ENGLISH, MARATHI, HINDI , TELUGU</t>
  </si>
  <si>
    <t>6315 2430 3150</t>
  </si>
  <si>
    <t>HARIDAS NARSAYYA BINGI</t>
  </si>
  <si>
    <t>TAILOR LABOUR.</t>
  </si>
  <si>
    <t>VIJAYLAXMI HARIDAS BINGI</t>
  </si>
  <si>
    <t>VIDI LABOUR</t>
  </si>
  <si>
    <t>86 A. C Falmari Paccha Peth ,Dattanagar Solapur</t>
  </si>
  <si>
    <t>KUCHAN HIGH SCHOOL</t>
  </si>
  <si>
    <t>MAHARASHTRA BOARD</t>
  </si>
  <si>
    <t>KUCHAN JR. COLLEGE</t>
  </si>
  <si>
    <t>PUNYASHLOK AHILYADEVI HOLKAR SOLAPUR UNIVERSITY,SOLAPUR</t>
  </si>
  <si>
    <t>AutoCAD,MS Office,MS Project,CostX (Beginner),Primavera P6 (Beginner),Google Sketchup,Revit</t>
  </si>
  <si>
    <t>Wani Projects and infra Pvt. Ltd. | Jr.Planning  Engineer. | Satara -Pune | Jun 2024 | Jun 2025 | 1Y 0M | 2.85</t>
  </si>
  <si>
    <t>AK CONSTRUCTION | Intern | SOLAPUR | Aug 2023 | Aug 2023 | 2 Weeks
Vasant Vihar Realty Ltd. | Intern | Solapur | Mar 2023 | Mar 2023 | 2.2857142857143 Weeks
Wani Projects &amp; infra | Engineer Trainee (Planning &amp; Quantity Estimation) | Pune (head Office) | Dec 2023 | May 2024 | 26 Weeks</t>
  </si>
  <si>
    <t>Microsoft Project Beginners 2019
Master AutoCAD Corporate Layouts: Design &amp; Drafting Skills (EDUCBA)
Project Planning and Execution Management  (L&amp;T EduTech)</t>
  </si>
  <si>
    <t>P25700181</t>
  </si>
  <si>
    <t>ADVAITH</t>
  </si>
  <si>
    <t>JINESH</t>
  </si>
  <si>
    <t>Advaith Jinesh</t>
  </si>
  <si>
    <t>advaithjineshaj@gmail.com</t>
  </si>
  <si>
    <t>p25700181@student.nicmar.ac.in</t>
  </si>
  <si>
    <t>4022 7354 8276</t>
  </si>
  <si>
    <t>JINESH R</t>
  </si>
  <si>
    <t>POOJA JINESH</t>
  </si>
  <si>
    <t>Plot No.38_x000D_
Press Club Colony, Edappally PO, Kochi_x000D_
Edappally, KERALAÂ 682024_x000D_
India</t>
  </si>
  <si>
    <t>SARASWATHI VIDYANIKETAN PUBLIC SCHOOL ELAMAKARA COCHIN</t>
  </si>
  <si>
    <t>AMRITA VISHWA VIDYAPEETHAM: DEEMED UNIVERSITY</t>
  </si>
  <si>
    <t>AMRITA SCHOOL OF ENGINEERING, COIMBATORE</t>
  </si>
  <si>
    <t>AutoCAD,MS Project,CostX</t>
  </si>
  <si>
    <t>L&amp;T Constructions, Chennai | Internship Trainee | Larsen and Toubro Limited, Manapakkam, Chennai, Tamil Nadu 600089 | Jun 2024 | Jul 2024 | 1.5714285714286 Weeks
National Highway Authority of India | Internship Trainee | NHAI Project of Six Laning of stretch from Thuravoor to Paravoor to  Kottukulangara in NH-66 in the State of Kerala on EPC Mode as part of Bharathmala Pariyojana | Jan 2024 | Jan 2024 | 0.57142857142857 Weeks</t>
  </si>
  <si>
    <t>P25700182</t>
  </si>
  <si>
    <t>SANSKRITI</t>
  </si>
  <si>
    <t>S Sanskriti</t>
  </si>
  <si>
    <t>sanskritisahu158@gmail.com</t>
  </si>
  <si>
    <t>p25700182@student.nicmar.ac.in</t>
  </si>
  <si>
    <t>28-Dec-2001</t>
  </si>
  <si>
    <t>7404 4108 6419</t>
  </si>
  <si>
    <t>LAXMI NARAYAN SAHU</t>
  </si>
  <si>
    <t>RETIRED GOVERNMENT SERVENT</t>
  </si>
  <si>
    <t>SWAPNA KUMARI KAR</t>
  </si>
  <si>
    <t>Ram Nagar Lane 2, Kamapalli Square, Berhampur, Odisha</t>
  </si>
  <si>
    <t>Angul</t>
  </si>
  <si>
    <t>KENDRIYA VIDYALAYA BALASORE</t>
  </si>
  <si>
    <t>GUIDANCE ENG MED SCHOOL, BHUBNESHWAR, KHORDHA OD</t>
  </si>
  <si>
    <t>ODISHA UNIVERSITY OF TECHNOLOGY AND RESEARCH</t>
  </si>
  <si>
    <t>BHUBNESHWAR</t>
  </si>
  <si>
    <t>AutoCAD,MS Office,Learned Architectural Design,Drawings,Rendering,Video Editing</t>
  </si>
  <si>
    <t>Archi Wing Studio | Architect | Hyderabad | Sep 2024 | May 2025 | 0Y 8M | 2.4</t>
  </si>
  <si>
    <t>Sanil Kumar Associates Architectural Design | Architect | Bangalore | Jun 2023 | Nov 2023 | 26 Weeks
Courtyard Design Studio | Intern | Berhampur | Oct 2022 | Feb 2023 | 20.714285714286 Weeks
Ministry of Housing and Urban Affairs | Intern | Bhubneshwar | Jul 2022 | Aug 2022 | 5 Weeks</t>
  </si>
  <si>
    <t>P25700183</t>
  </si>
  <si>
    <t>OLAPU</t>
  </si>
  <si>
    <t>Raju Olapu</t>
  </si>
  <si>
    <t>rajuolapu967@gmail.com</t>
  </si>
  <si>
    <t>p25700183@student.nicmar.ac.in</t>
  </si>
  <si>
    <t>01-Jun-2000</t>
  </si>
  <si>
    <t>7590 1631 9384</t>
  </si>
  <si>
    <t>SADANANDAM</t>
  </si>
  <si>
    <t>LAXMI</t>
  </si>
  <si>
    <t>1-5 Kistapur Nallagunta (Meenajipet), Mahamutharam (Mdl.), Jayashankar Bhupalpally (Dist.)-506169, Telangana</t>
  </si>
  <si>
    <t>TELANGANA STATE MODEL SCHOOL</t>
  </si>
  <si>
    <t>BOARD OF SECONDARY EDUCATION -TELANGANA</t>
  </si>
  <si>
    <t>EKASHILA JUNIOR COLLEGE</t>
  </si>
  <si>
    <t>KAKATIYA UNIVERSITY</t>
  </si>
  <si>
    <t>KAKATIYA INSTITUTE OF TECHNOLOGY &amp; SCIENCE, WARANGAL/TELANGANA</t>
  </si>
  <si>
    <t>AutoCAD,MS Office,MS Project,QGIS</t>
  </si>
  <si>
    <t>Aarvee Engineering Consultants Ltd. | Engineer | Hyderabad | Jun 2023 | Jun 2025 | 2Y 0M | 5</t>
  </si>
  <si>
    <t>2 Years 0 Months</t>
  </si>
  <si>
    <t>Rodic Consultants Private Limited | Project Management Intern | New Delhi | May 2026 | Jul 2026 | 8.7142857142857 Weeks | Campus Internship
AARVEE ENGINEERING CONSULTANTS LIMITED | QUALITY CONTROL AND QUALITY ASSURANCE INTERN | HYDERABAD | Jun 2022 | Aug 2022 | 8.7142857142857 Weeks</t>
  </si>
  <si>
    <t>P25700184</t>
  </si>
  <si>
    <t>AMAR</t>
  </si>
  <si>
    <t>SHIVDAS</t>
  </si>
  <si>
    <t>BHOSALE</t>
  </si>
  <si>
    <t>Amar Shivdas Bhosale</t>
  </si>
  <si>
    <t>bhosaleamar257@gmail.com</t>
  </si>
  <si>
    <t>p25700184@student.nicmar.ac.in</t>
  </si>
  <si>
    <t>25-Jun-2002</t>
  </si>
  <si>
    <t>4802 7721 4464</t>
  </si>
  <si>
    <t>ASHA</t>
  </si>
  <si>
    <t>Flat No. 05, Jyoti Darshan 1, Visawa Society, Near Taljai Busstop, Dhankawadi</t>
  </si>
  <si>
    <t>SHREE SHIVAJI PREPARATORY MILITARY SCHOOL</t>
  </si>
  <si>
    <t>SSC PUNE/MAHARASHTRA</t>
  </si>
  <si>
    <t>SMT. SUSHEELA BAHUDHANI JUNIOR COLLEGE</t>
  </si>
  <si>
    <t>HSC PUNE/MAHARASHTRA</t>
  </si>
  <si>
    <t>SAVITRABAI PHULE PUNE UNIVERSITY</t>
  </si>
  <si>
    <t>ALL INDIAN SHREE SHIVAJI MEMORIAL SOCIETY, COLLEGE OF ENGINEERING, PUNE/MAHARASHTRA</t>
  </si>
  <si>
    <t>AutoCAD,MS Office,MS Project,Primavera,CostX,Revit,BIM,Quantity Estimation,Quality Control</t>
  </si>
  <si>
    <t>Dhankawade Group | Intern  | Ambegaon, Pune. | Dec 2023 | Jan 2024 | 5.5714285714286 Weeks</t>
  </si>
  <si>
    <t>Lean Six Sigma Yellow Belt
Ethics in Engineering Pratice
Finance for Non-Financial Management</t>
  </si>
  <si>
    <t>P25700185</t>
  </si>
  <si>
    <t>MOKSHITHAA</t>
  </si>
  <si>
    <t>H S</t>
  </si>
  <si>
    <t>Mokshithaa H S</t>
  </si>
  <si>
    <t>mokshithaasiddappa@gmail.com</t>
  </si>
  <si>
    <t>p25700185@student.nicmar.ac.in</t>
  </si>
  <si>
    <t>24-Jul-2001</t>
  </si>
  <si>
    <t>English , Kannada , Hindi</t>
  </si>
  <si>
    <t>3377 0911 1869</t>
  </si>
  <si>
    <t>SIDDAPPA C</t>
  </si>
  <si>
    <t>SIDDAGANGAMMA C</t>
  </si>
  <si>
    <t># 303 , 3rd Cross , Maruthi Nagar , Chandra Layout , Bengaluru - 560072</t>
  </si>
  <si>
    <t>SRI SIDDAGANGA HIGHER PRIMARY SCHOOL</t>
  </si>
  <si>
    <t>KLE INDEPENDENT PU COLLEGE</t>
  </si>
  <si>
    <t>VISVESVARAYA TECHNOLOGICAL UNIVERSITY , BELAGAVI</t>
  </si>
  <si>
    <t>SJB SCHOOL OF ARCHITECTURE AND PLANNING , KENGERI / KARNATAKA</t>
  </si>
  <si>
    <t>AutoCAD,MS Office,MS Project,Sketchup,Revit,Lumion,Enscape,Adobe Photoshop</t>
  </si>
  <si>
    <t>RAINEO ARCHITECTS | JUNIOR ARCHITECT | Bengaluru  | May 2024 | Jun 2025 | 1Y 1M | 2.7</t>
  </si>
  <si>
    <t>Ashoka Builders India Private Limited (ASBL Private Limited) | Design Coordinator Intern | Hyderabad | May 2026 | Jul 2026 | 8.7142857142857 Weeks | Campus Internship
KENAR ARCHITECTS | INTERN  | BENGALURU | Jan 2024 | Apr 2024 | 15.714285714286 Weeks</t>
  </si>
  <si>
    <t>P25700186</t>
  </si>
  <si>
    <t>NAMDEV</t>
  </si>
  <si>
    <t>KADOLKAR</t>
  </si>
  <si>
    <t>Yash Namdev Kadolkar</t>
  </si>
  <si>
    <t>yashkadolkar99@gmail.com</t>
  </si>
  <si>
    <t>p25700186@student.nicmar.ac.in</t>
  </si>
  <si>
    <t>29-Apr-2001</t>
  </si>
  <si>
    <t>ENGLISH,HINDI AND MARATHI</t>
  </si>
  <si>
    <t>9552 1753 7296</t>
  </si>
  <si>
    <t>NAMDEV SHANKAR KADOLKAR</t>
  </si>
  <si>
    <t>OTHER</t>
  </si>
  <si>
    <t>SUVIDYA NAMDEV KADOLKAR</t>
  </si>
  <si>
    <t>Sutar Mala, Gandhi Camp,Ichalkaranji</t>
  </si>
  <si>
    <t>VYANKATRAO HIGH-SCHOOL AND JUNIOR COLLEGE</t>
  </si>
  <si>
    <t>KOLHAPUR,MAHARASTRA</t>
  </si>
  <si>
    <t>GOVINDRAO JUNIOR COLLEGE</t>
  </si>
  <si>
    <t>SHIVAJI UNIVERSITY, KOHAPUR</t>
  </si>
  <si>
    <t>D.K.T.E. SOCIETY'S TEXTILE AND ENGINEERING INSTITUTE</t>
  </si>
  <si>
    <t>AutoCAD,MS Office,MS Project,Staad Pro,costx</t>
  </si>
  <si>
    <t>Madhure Infra Pvt. Ltd. | Junior Engineer | Pune | Nov 2024 | Jun 2025 | 0Y 7M | 2.16
Rangate Associates | Junior Engineer  | Ichalkaranji  | Jul 2023 | Oct 2024 | 1Y 3M | 1.94</t>
  </si>
  <si>
    <t>Rangate Associates | Junior Engineer | Ichalkaranji | Dec 2021 | Jan 2022 | 2.8571428571429 Weeks</t>
  </si>
  <si>
    <t>P25700187</t>
  </si>
  <si>
    <t>NIKHIL</t>
  </si>
  <si>
    <t>UTTAM</t>
  </si>
  <si>
    <t>Nikhil Uttam Patil</t>
  </si>
  <si>
    <t>nikhilpat9090@gmail.com</t>
  </si>
  <si>
    <t>p25700187@student.nicmar.ac.in</t>
  </si>
  <si>
    <t>13-Dec-1999</t>
  </si>
  <si>
    <t>4665 5846 7501</t>
  </si>
  <si>
    <t>UTTAM MAHADEO PATIL</t>
  </si>
  <si>
    <t>CHEMIST</t>
  </si>
  <si>
    <t>MANISHA UTTAM PATIL</t>
  </si>
  <si>
    <t>C 304, LEO LAND HSG SOCIETY, RAJE SHIVAJI NAGAR, L And T GATE NO 7 OPP, SV ROAD, POWAI</t>
  </si>
  <si>
    <t>BOMBAY CAMBRIDGE GURUKUL ANDHERI EAST</t>
  </si>
  <si>
    <t>SECONDARY SCHOOL CERTIFICATE MUMBAI MAHARASHTRA</t>
  </si>
  <si>
    <t>2005-Jul</t>
  </si>
  <si>
    <t>PACE JUNIOR SCIENCE COLLEGE POWAI</t>
  </si>
  <si>
    <t>HIGHER SECONDARY CERTIFICATE MUMBAI MAHARASHTRA</t>
  </si>
  <si>
    <t>2015-Sep</t>
  </si>
  <si>
    <t>MIT WORLD PEACE UNIVERSITY</t>
  </si>
  <si>
    <t>MIT WORLD PEACE UNIVERSITY PUNE MAHARASHTRA</t>
  </si>
  <si>
    <t>Technoheights Constructions (I) Pvt Ltd | Asst. Project Civil Engineer | Mumbai | Sep 2023 | Jan 2025 | 1Y 4M | 4.8
Gensys Technologies Pvt Ltd | Junior Planning and Billing Engineer | Pune | Feb 2025 | Jun 2025 | 0Y 4M | 4.8</t>
  </si>
  <si>
    <t>VM CONSULTANT (JSW STEEL PLANT, DOLVI, MH) | JR STRUCTURAL AUDITOR | DOLVI PEN MAHARASHTRA | Jun 2022 | Sep 2022 | 16.571428571429 Weeks
Vilas Javdekar | Training Engineer | Pune | Jan 2021 | Apr 2021 | 16.571428571429 Weeks
WORLEY INDIA | CSA ENGINEER | NAVI MUMBAI | Mar 2023 | Aug 2023 | 26.142857142857 Weeks</t>
  </si>
  <si>
    <t>P25700188</t>
  </si>
  <si>
    <t>HARIHARAN</t>
  </si>
  <si>
    <t>Hariharan K</t>
  </si>
  <si>
    <t>hariharank5679@gmail.com</t>
  </si>
  <si>
    <t>p25700188@student.nicmar.ac.in</t>
  </si>
  <si>
    <t>26-Apr-2004</t>
  </si>
  <si>
    <t>English, Tamil, Telugu</t>
  </si>
  <si>
    <t>9256 3548 4887</t>
  </si>
  <si>
    <t>KUMARAN K</t>
  </si>
  <si>
    <t>SRIMATHI K</t>
  </si>
  <si>
    <t>PLOT NO 9 VEERAVANJI STREET CHITLAPAKKAM CHENNAI</t>
  </si>
  <si>
    <t>Chengalpattu</t>
  </si>
  <si>
    <t>SREEVATSA VISWANATHAN VIVEKANANDA VIDYALAYA SENIOR SECONDARY SCHOOL</t>
  </si>
  <si>
    <t>SRI SIVASUBRAMANIYA NADAR COLLEGE OF ENGINEERING</t>
  </si>
  <si>
    <t>AutoCAD,MS Office,MS Project,PLAXIS 2D</t>
  </si>
  <si>
    <t>KPMG INDIA | Project Management Intern – Major Projects Advisory (MPA) | BANGALORE | May 2026 | Jun 2026 | 7.5714285714286 Weeks | Campus Internship
VGK BUILDERS | Intern-site Engineer  | Chennai | Jul 2024 | Aug 2024 | 4.5714285714286 Weeks</t>
  </si>
  <si>
    <t>Lean Six Sigma Green Belt Certification By KPMG</t>
  </si>
  <si>
    <t>P25700189</t>
  </si>
  <si>
    <t>MACHHINDRA</t>
  </si>
  <si>
    <t>GANGADHAR</t>
  </si>
  <si>
    <t>UBALE</t>
  </si>
  <si>
    <t>Machhindra Gangadhar Ubale</t>
  </si>
  <si>
    <t>machhindraubale8@gmail.com</t>
  </si>
  <si>
    <t>p25700189@student.nicmar.ac.in</t>
  </si>
  <si>
    <t>15-Jan-2000</t>
  </si>
  <si>
    <t>8653 5193 6749</t>
  </si>
  <si>
    <t>YAMUNABAI</t>
  </si>
  <si>
    <t>GANORI TQ PHULAMBRI AURANGABAD MAHARASHTRA - 431008</t>
  </si>
  <si>
    <t>SHREE SAINATH VIDHYALAY WALUJ</t>
  </si>
  <si>
    <t>MAHARASHTRA STATE OF SECONDARY AND HIGHER SECONDARY EDUCATION, PUNE</t>
  </si>
  <si>
    <t>MAHARASHTRA COLLEGE OF ART, COMMERCE AND SCIENCE WALUJ, AURANGABAD</t>
  </si>
  <si>
    <t>DR. BABASAHEB AMBEDKAR MARATHWADA UNIVERSITY</t>
  </si>
  <si>
    <t>INTERNATIONAL CENTER OF EXCELLENCE ENGINEERING AND MANAGEMENT AURANGABAD</t>
  </si>
  <si>
    <t>P25700190</t>
  </si>
  <si>
    <t>ABHINENDRA</t>
  </si>
  <si>
    <t>Abhinendra Pratap Singh</t>
  </si>
  <si>
    <t>abhinendrapratap800@gmail.com</t>
  </si>
  <si>
    <t>p25700190@student.nicmar.ac.in</t>
  </si>
  <si>
    <t>03-May-2001</t>
  </si>
  <si>
    <t>English, Hindi</t>
  </si>
  <si>
    <t>7410 0902 8327</t>
  </si>
  <si>
    <t>RAKESH CHANDRA</t>
  </si>
  <si>
    <t>SHASHI KALA</t>
  </si>
  <si>
    <t>House Number 306 Sitaram Kushwah Colony _x000D_
Infornt Of Circuit House Near Mangal Hotel</t>
  </si>
  <si>
    <t>EMMANUEL MISSION SENIOR SECONDARY SCHOOL</t>
  </si>
  <si>
    <t>BOARD OF SECONDAY EDUCATION RAJASTHAN</t>
  </si>
  <si>
    <t>SANATAN DHARM SIKSHA SADAN SENIOR SECONDARY SCHOOL</t>
  </si>
  <si>
    <t>SRM INSTITUE OF SCIENCE AND TECHNOLOGY</t>
  </si>
  <si>
    <t>SRM INSTITUE OF SCIENCE AND TECHNOLOGY, KATTANKULATHUR - TAMIL NADU</t>
  </si>
  <si>
    <t>AutoCAD,MS Project,Primavera,COST X,Advanced Excel,Powerpoint,Revit,Candy</t>
  </si>
  <si>
    <t>M/S Ganga Dhar Agrawal | Field Engineer | Bharatpur | Nov 2022 | Jan 2025 | 2Y 2M | 1.92</t>
  </si>
  <si>
    <t>Truboard Partners | Real Estate (Asset Management) Intern | Gurugram | May 2026 | Jun 2026 | 8.1428571428571 Weeks | Campus Internship
PUBLIC WORKS DEPARTMENT - RAJASTHAN | CIVIL ENGINEERING INTERN | DHOLPUR - RAJASTHAN | Jun 2019 | Jun 2019 | 4.1428571428571 Weeks</t>
  </si>
  <si>
    <t>Business Analytics with Excel: Elementary to Advanced -  John Hopkins University
Foundations of Project Management - Google
Project Initiation: Starting a Successful Project</t>
  </si>
  <si>
    <t>P25700191</t>
  </si>
  <si>
    <t>AKASH</t>
  </si>
  <si>
    <t>Utkarsh Akash Bhoir</t>
  </si>
  <si>
    <t>utkarshbhoir45@gmail.com</t>
  </si>
  <si>
    <t>p25700191@student.nicmar.ac.in</t>
  </si>
  <si>
    <t>14-May-2002</t>
  </si>
  <si>
    <t>5838 7523 0510</t>
  </si>
  <si>
    <t>AKASH KAMLAKAR BHOIR</t>
  </si>
  <si>
    <t>AKASHTA AKASH BHOIR</t>
  </si>
  <si>
    <t>House No. 533/1, Main Road, Juchandra, Near Railway Fatak, Naigaon East, Vasai, Palghar, Maharashtra</t>
  </si>
  <si>
    <t>Palghar</t>
  </si>
  <si>
    <t>DON BOSCO HIGH SCHOOL AND JUNIOR COLLEGE</t>
  </si>
  <si>
    <t>VIDYAVARDHINI'S BHAUSAHEB VARTAK POLYTECHNIC, VASAI, MAHARASHTRA</t>
  </si>
  <si>
    <t>THAKUR COLLEGE OF ENGINEERING AND TECHNOLOGY, KANDIVALI EAST, MUMBAI</t>
  </si>
  <si>
    <t>AutoCAD, MS Office, MS Project, Primavera, CostX</t>
  </si>
  <si>
    <t>Konark Infra | Site Engineer | Mumbai | Jun 2024 | Jun 2025 | 1Y 0M | 2.5</t>
  </si>
  <si>
    <t>Indian Knowledge system Division Ministry of Education, Govt. of India | Research Intern | Mumbai | Jul 2022 | Aug 2022 | 6.8571428571429 Weeks
Ministry of Housing and urban affairs, Government of India | Research Intern | Mumbai | Jul 2022 | Aug 2022 | 5 Weeks</t>
  </si>
  <si>
    <t>P25700192</t>
  </si>
  <si>
    <t>RAJESH</t>
  </si>
  <si>
    <t>UNARKER</t>
  </si>
  <si>
    <t>Nishant Rajesh Unarker</t>
  </si>
  <si>
    <t>nishantunarker.architect@gmail.com</t>
  </si>
  <si>
    <t>p25700192@student.nicmar.ac.in</t>
  </si>
  <si>
    <t>26-Nov-2000</t>
  </si>
  <si>
    <t>English, Hindi, Gujrati, &amp; Marathi</t>
  </si>
  <si>
    <t>2531 5568 8564</t>
  </si>
  <si>
    <t>ARCHITECT/CONTRACTOR</t>
  </si>
  <si>
    <t>RUPA</t>
  </si>
  <si>
    <t>A/504, Varun Valley, Atmaram Savant Marg, Kandivali(east), Varun Valley, Atmaram Savant Marg, Kandivali(east)</t>
  </si>
  <si>
    <t>LOKHANDWALA FOUNDATION SCHOOL</t>
  </si>
  <si>
    <t>INDIAN CERTIFICATE OF SECONDARY EDUCATION EXAMINATIONS, MUMBAI, MAHARASHTRA.</t>
  </si>
  <si>
    <t>AMRUTBEN JIVANLAL COLLEGE OF COMMERCE AND ECONOMICS</t>
  </si>
  <si>
    <t>MAHARASHTRA STATE BOARD OF SECONDARY &amp; HIGHER SECONDARY EDUCATION</t>
  </si>
  <si>
    <t>INDIAN EDUCATION SOCIETY'S COLLEGE OF ARCHITECTURE, MUMBAI-400050, MAHARASHTRA</t>
  </si>
  <si>
    <t>Studio MH02 | Jr. Architect &amp; BIM coordinator | Mumbai | Aug 2024 | Jun 2025 | 0Y 9M | 3.25
SUNIL R. KENKAREY ARCHITECT | Jr. Architect &amp; Project Coordinator | Mumbai | May 2023 | Jun 2024 | 1Y 1M | 2.4</t>
  </si>
  <si>
    <t>P25700193</t>
  </si>
  <si>
    <t>PARHAD</t>
  </si>
  <si>
    <t>YASHRAJ</t>
  </si>
  <si>
    <t>PRAMOD</t>
  </si>
  <si>
    <t>Parhad Yashraj Pramod</t>
  </si>
  <si>
    <t>yparhad.33@gmail.com</t>
  </si>
  <si>
    <t>p25700193@student.nicmar.ac.in</t>
  </si>
  <si>
    <t>06-Sep-2003</t>
  </si>
  <si>
    <t>6014 5322 1834</t>
  </si>
  <si>
    <t>PRAMOD PARHAD</t>
  </si>
  <si>
    <t>SAVITA PARHAD</t>
  </si>
  <si>
    <t>Yashshree , Vinayak Park , Awhalwadi Road , Wagholi , Pune</t>
  </si>
  <si>
    <t>PRODIGY PUBLIC SCHOOL</t>
  </si>
  <si>
    <t>DHOLE PATIL JUNIOR COLLEGE OF ARTS , COMMERCE AND SCIENCE</t>
  </si>
  <si>
    <t>HSC BOARD MAHARASHTRA</t>
  </si>
  <si>
    <t>SYMBIOSIS SKILLS AND PROFESSIONAL UNIVERSITY , PUNE</t>
  </si>
  <si>
    <t>SYMBIOSIS SKILLS AND PROFESSIONAL UNIVERSITY, PUNE - MAHARASHTRA</t>
  </si>
  <si>
    <t>CHINTAMANI INFRA | Site supervisor  | Pune  | Jan 2025 | May 2025 | 19.285714285714 Weeks</t>
  </si>
  <si>
    <t>P25700194</t>
  </si>
  <si>
    <t>HARSHA VARTHAN</t>
  </si>
  <si>
    <t>GURUSAMY</t>
  </si>
  <si>
    <t>Harsha Varthan Gurusamy</t>
  </si>
  <si>
    <t>ttrgharsha2001@gmail.com</t>
  </si>
  <si>
    <t>p25700194@student.nicmar.ac.in</t>
  </si>
  <si>
    <t>13-Sep-2001</t>
  </si>
  <si>
    <t>English,Telugu,Tamil</t>
  </si>
  <si>
    <t>7385 8934 6606</t>
  </si>
  <si>
    <t>GURUSAMY R</t>
  </si>
  <si>
    <t>CONDUCTOR</t>
  </si>
  <si>
    <t>SHANTHI A</t>
  </si>
  <si>
    <t>76, Main Road, Govindanagaram</t>
  </si>
  <si>
    <t>Theni</t>
  </si>
  <si>
    <t>T.K. SANGAM MATRIC HR SEC SCHOOL</t>
  </si>
  <si>
    <t>STATE BOARD OF SCHOOL EXAMINATION, TAMILNADU</t>
  </si>
  <si>
    <t>T.K.SANGAM MATRIC HR SEC SCHOOL</t>
  </si>
  <si>
    <t>STATE BOARD OF SCHOOL EXAMINATION (SEC.), TAMILNADU</t>
  </si>
  <si>
    <t>SRI KRISHNA COLLEGE OF ENGINEERING AND TECHNOLOGY</t>
  </si>
  <si>
    <t>COIMBATORE, TAMILNADU</t>
  </si>
  <si>
    <t>AutoCAD, MS Office, MS Project, Primavera, Revit, MS Excel, Power Query</t>
  </si>
  <si>
    <t>Yatzar Creations Private Limited | Junior BIM Software Developer | Coimbatore | Apr 2023 | May 2025 | 2Y 1M | 2.76</t>
  </si>
  <si>
    <t>M. Arunachalam Projects and Infrastructure Company Private Limited | Construction Project Management Intern | Chennai | May 2026 | Jul 2026 | 8.2857142857143 Weeks | Campus Internship</t>
  </si>
  <si>
    <t>AutoCAD Essential
Ethics in Engineering Practice
Introduction to Strategy Consulting (Job Simulation)</t>
  </si>
  <si>
    <t>P25700195</t>
  </si>
  <si>
    <t>BHAURAO</t>
  </si>
  <si>
    <t>AGLAWE</t>
  </si>
  <si>
    <t>Ankit Bhaurao Aglawe</t>
  </si>
  <si>
    <t>ankitaglawe1@gmail.com</t>
  </si>
  <si>
    <t>p25700195@student.nicmar.ac.in</t>
  </si>
  <si>
    <t>01-May-1998</t>
  </si>
  <si>
    <t>2940 8254 8662</t>
  </si>
  <si>
    <t>KANCHAN</t>
  </si>
  <si>
    <t>B1001, 10TH FLOOR, BEVERLY HILLS SOCIETY, DANGE CHAWK ROAD, NEAR ORRITEL HOTEL, BHATEWARA NAGAR, HINJEWADI, PIMPRI-CHINCHWAD</t>
  </si>
  <si>
    <t>At Tembhari, Near Alagondi-Borkhedi, Post Rama</t>
  </si>
  <si>
    <t>SOMALWAR HIGH SCHOOL, KHAMLA NAGPUR</t>
  </si>
  <si>
    <t>MAHARASHTRA STATE BOARD OF SECONDARY &amp; HIGHER SECONDARY EDUCATION PUNE</t>
  </si>
  <si>
    <t>GOVERNMENT POLYTECHNIC NAGPUR</t>
  </si>
  <si>
    <t>GOVERNMENT COLLEGE OF ENGINEERING JALGAON</t>
  </si>
  <si>
    <t>AutoCAD,Oracle Primavera P6 Professional,Microsoft Projects,RIB CostX,Autodesk Revit,Microsoft Excel,Microsoft Office</t>
  </si>
  <si>
    <t>Principle Security &amp; Allied Services Pvt. Lmt. | Project Engineer-Civil Works at VNIT Nagpur  | New Delhi | Aug 2022 | Jul 2024 | 1Y 11M | 5.65
K. R. Niwal &amp; Associates | Entry Level Engineer | Nagpur | Nov 2020 | Jul 2022 | 1Y 8M | 1.62</t>
  </si>
  <si>
    <t>Gubbi Civil Engineers Ltd | Project Management Intern | Thane | May 2026 | Jul 2026 | 8.7142857142857 Weeks | Campus Internship
WAGHUR DAM DIVISION, JALGAON | INTERN | JALGOAN, MAHARASHTRA | Dec 2018 | Dec 2018 | 2 Weeks</t>
  </si>
  <si>
    <t>P25700196</t>
  </si>
  <si>
    <t>VINAYA</t>
  </si>
  <si>
    <t>NAWALE</t>
  </si>
  <si>
    <t>Vinaya Rajesh Nawale</t>
  </si>
  <si>
    <t>nawalevinaya070902@gmail.com</t>
  </si>
  <si>
    <t>p25700196@student.nicmar.ac.in</t>
  </si>
  <si>
    <t>8816 7019 2466</t>
  </si>
  <si>
    <t>RAJESH BHASKAR NAWALE</t>
  </si>
  <si>
    <t>ANITA RAJESH NAWALE</t>
  </si>
  <si>
    <t>C201 Raga Altis, Golden City Hospital, Near Nath Seeds, Paithan Road Itkheda, Aurangabad.</t>
  </si>
  <si>
    <t>SHRI SHARADA MANDIR KANYA PRASHALA, AURANGABAD</t>
  </si>
  <si>
    <t>DEOGIRI COLLEGE, CHHATRAPATI SAMBHAJINAGAR</t>
  </si>
  <si>
    <t>N.D.M.V.P SHARADCHANDRA PAWARJI COLLEGE OF ARCHITECTURE, NASHIK.</t>
  </si>
  <si>
    <t>AutoCAD,MS Office,MS Project,SketchUp,Revit,Photoshop,Lumion</t>
  </si>
  <si>
    <t>Medigence Solutions Pvt. Ltd | Project Management Intern | Ahmedabad  | May 2026 | Jul 2026 | 8.7142857142857 Weeks | Campus Internship
PMA Madhushala | Architectural Intern | Pune  | Jun 2024 | Nov 2024 | 24.714285714286 Weeks</t>
  </si>
  <si>
    <t>P25700197</t>
  </si>
  <si>
    <t>CHAVADI</t>
  </si>
  <si>
    <t>Vijay S Chavadi</t>
  </si>
  <si>
    <t>vijayschavadi33@gmail.com</t>
  </si>
  <si>
    <t>p25700197@student.nicmar.ac.in</t>
  </si>
  <si>
    <t>09-Dec-2003</t>
  </si>
  <si>
    <t>English,Hindi,Kannada</t>
  </si>
  <si>
    <t>3110 0304 9592</t>
  </si>
  <si>
    <t>LATE SATHYAPPA B CHAVADI</t>
  </si>
  <si>
    <t>ASSISTANT ENGINEER</t>
  </si>
  <si>
    <t>LAKSHMI S CHAVADI</t>
  </si>
  <si>
    <t>#969/13_x000D_
Shivakumar Swamy Badavane, 2nd Stage , 4th Cross</t>
  </si>
  <si>
    <t>Davanagere</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</si>
  <si>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</si>
  <si>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</si>
  <si>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</si>
  <si>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</si>
  <si>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</si>
  <si>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</si>
  <si>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White Venture Infratech Private Limited | Intern Site Engineer | Hubballi | Jan 2025 | Mar 2025 | 7.2857142857143 Weeks
MAHALAXMI RCC CONTRACTORS | Site Execution Intern | DAVANGERE, KARNATAKA | May 2026 | Jul 2026 | 8.7142857142857 Weeks</t>
  </si>
  <si>
    <t>P25700198</t>
  </si>
  <si>
    <t>ARJYA</t>
  </si>
  <si>
    <t>Arjya Aditya Raj</t>
  </si>
  <si>
    <t>arjyaadityaraj@gmail.com</t>
  </si>
  <si>
    <t>p25700198@student.nicmar.ac.in</t>
  </si>
  <si>
    <t>ENGLISH , HINDI , ODIA</t>
  </si>
  <si>
    <t>9507 0267 6679</t>
  </si>
  <si>
    <t>SATYA SANKAR RAJ</t>
  </si>
  <si>
    <t>SURAJITA RAJ</t>
  </si>
  <si>
    <t>QR. NO-D5 , Engineering School Colony , NEAR POST OFFICE ,BRAHMAPUR</t>
  </si>
  <si>
    <t>Ganjam</t>
  </si>
  <si>
    <t>INDIAN COUNSIL OF SECONDARY EDUCATION</t>
  </si>
  <si>
    <t>2007-May</t>
  </si>
  <si>
    <t>UCP ENGINEERING SCHOOL , BRAHMAPUR , ODISHA</t>
  </si>
  <si>
    <t>VEER SURENDRA SAI UNIVERSITY OF TECHNOLOGY</t>
  </si>
  <si>
    <t>VEER SURENDRA SAI UNIVERSITY OF TECHNOLOGY, ODISHA</t>
  </si>
  <si>
    <t>AutoCAD,MS Project,Primavera,MS EXCELSHEET</t>
  </si>
  <si>
    <t>SM CONSULTANTS PVT LTD | ASSISTANT ENGINEER | SECUNDERABAD | May 2024 | Jul 2025 | 1Y 1M | 2.4</t>
  </si>
  <si>
    <t>Suryapriya Constructions Pvt Ltd | Project Management Intern | Bengaluru | May 2026 | Jul 2026 | 8.7142857142857 Weeks | Campus Internship</t>
  </si>
  <si>
    <t>P25700200</t>
  </si>
  <si>
    <t>ULHAS</t>
  </si>
  <si>
    <t>Utkarsh Ulhas Bhoir</t>
  </si>
  <si>
    <t>utkarshbhoir5858@gmail.com</t>
  </si>
  <si>
    <t>p25700200@student.nicmar.ac.in</t>
  </si>
  <si>
    <t>10-Feb-2003</t>
  </si>
  <si>
    <t>2156 6640 7821</t>
  </si>
  <si>
    <t>JAYMALA</t>
  </si>
  <si>
    <t>175(1) Ekta Shopping Center, Ambadi Naka ,tal- Bhiwandi, Dist- Thane, Post - Dighashi, Pin- 421302</t>
  </si>
  <si>
    <t>Z.A MEMON ENGLISH SCHOOL</t>
  </si>
  <si>
    <t>EXPERT'S INTERNATIONAL JUNIOR COLLEGE</t>
  </si>
  <si>
    <t>THAKUR COLLEGE OF ENGINEERING AND TECHNOLOGY,KANDIVALI,MAHARASHTRA</t>
  </si>
  <si>
    <t>Fair Brothers Associates | Internship Trainee | Mumbai | Dec 2023 | Jan 2024 | 3.5714285714286 Weeks
Fair Brothers Associates | Internship Trainee | Mumbai | Dec 2024 | Jan 2025 | 3.5714285714286 Weeks</t>
  </si>
  <si>
    <t>P25700201</t>
  </si>
  <si>
    <t>STEVE</t>
  </si>
  <si>
    <t>WILSON</t>
  </si>
  <si>
    <t>Steve Wilson</t>
  </si>
  <si>
    <t>wilsonsteve149@gmail.com</t>
  </si>
  <si>
    <t>p25700201@student.nicmar.ac.in</t>
  </si>
  <si>
    <t>08-Jan-2003</t>
  </si>
  <si>
    <t>English, Hindi, Malayalam, Kannada</t>
  </si>
  <si>
    <t>7133 7894 7082</t>
  </si>
  <si>
    <t>WILSON GEORGE</t>
  </si>
  <si>
    <t>MINI THOMAS</t>
  </si>
  <si>
    <t>No 11, Palm Grove Layout, Meganahalli, Chelekere, Kalyan Nagar, Bengaluru, Karnataka. 560043</t>
  </si>
  <si>
    <t>INTERNATIONAL INDIAN SCHOOL AL KHOBAR, SAUDI ARABIA</t>
  </si>
  <si>
    <t>CENTRAL BOARD OF SECONDARY EDUCATION, AL KHOBAR SAUDI ARABIA.</t>
  </si>
  <si>
    <t>KENSRI SCHOOL BANGALORE</t>
  </si>
  <si>
    <t>CENTRAL BOARD OF SECONDARY EDUCATION, BANGALORE.</t>
  </si>
  <si>
    <t>VELLORE INSTITUTE OF TECHNOLOGY, VELLORE.</t>
  </si>
  <si>
    <t>KOCHI METRO RAIL LTD. | INTERN | Thrippunithura, KOCHI, KERALA. | Aug 2023 | Sep 2023 | 3.8571428571429 Weeks</t>
  </si>
  <si>
    <t>P25700202</t>
  </si>
  <si>
    <t>REVANTH</t>
  </si>
  <si>
    <t>Revanth V Yadav</t>
  </si>
  <si>
    <t>revanth8gems@gmail.com</t>
  </si>
  <si>
    <t>p25700202@student.nicmar.ac.in</t>
  </si>
  <si>
    <t>20-Jun-2002</t>
  </si>
  <si>
    <t>English, Hindi, Kannada, Telugu, Tamil</t>
  </si>
  <si>
    <t>6980 1955 5914</t>
  </si>
  <si>
    <t>VASANTH</t>
  </si>
  <si>
    <t>CIVIL CONTRACTOR</t>
  </si>
  <si>
    <t>LALITHA</t>
  </si>
  <si>
    <t>#28, ANGADI THIMMAIAH LAYOUT, RMV 2ND STAGE,_x000D_
NAGASHETTIHALLY, BANGALORE-560094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</si>
  <si>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</si>
  <si>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</si>
  <si>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</si>
  <si>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</si>
  <si>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</si>
  <si>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</si>
  <si>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BHANIYANA CONSTRUCTION | SITE ENGINEER | JODHPUR | Jul 2024 | Feb 2025 | 0Y 7M | 4.4</t>
  </si>
  <si>
    <t>BHANIYANA CONSTRUCTION | SITE ENGINEER | JODHPUR | Jan 2024 | Jun 2024 | 21.714285714286 Weeks
B&amp;B BUILDERS PVT LTD | MENS HOSEL S BLOCK | VELLORE | May 2023 | Jun 2023 | 5 Weeks</t>
  </si>
  <si>
    <t>P25700203</t>
  </si>
  <si>
    <t>NIHALAHMAD</t>
  </si>
  <si>
    <t>RIYAJ</t>
  </si>
  <si>
    <t>FARAS</t>
  </si>
  <si>
    <t>Nihalahmad Riyaj Faras</t>
  </si>
  <si>
    <t>nihalfaraz20@gmail.com</t>
  </si>
  <si>
    <t>p25700203@student.nicmar.ac.in</t>
  </si>
  <si>
    <t>07-Sep-2001</t>
  </si>
  <si>
    <t>8937 8496 3011</t>
  </si>
  <si>
    <t>RIYAJ A. FARAS</t>
  </si>
  <si>
    <t>MUMTAJ R. FARAS</t>
  </si>
  <si>
    <t>HOUSWIFE</t>
  </si>
  <si>
    <t>Madhukar Residency Near Katchi Hall Shivaji Road Flat No. T1 Miraj</t>
  </si>
  <si>
    <t>BETHESDA SCHOOL MIRAJ</t>
  </si>
  <si>
    <t>GOVERNMENT POLYTECHNIC MIRAJ</t>
  </si>
  <si>
    <t>DR. BABASAHEB AMBEDKAR TECHNOLOGICAL UNIVERSITY, LONERE,  RAIGAD. MAHARASHTRA</t>
  </si>
  <si>
    <t>PADMABHOOSHAN VASANTRAODADA PATIL INSTITUTE OF TECHNOLOGY (PVPIT), BUDHGAON, SANGLI</t>
  </si>
  <si>
    <t>AutoCAD,MS Office,MS Project,Primavera,Revit Architecture,Q-GIS</t>
  </si>
  <si>
    <t>Khilare And Associates | Site Engineer |  Sangli | Sep 2023 | Nov 2024 | 1Y 2M | 1.2</t>
  </si>
  <si>
    <t>Construction Project Management by Columbia University
Mastering Construction/ Project Management</t>
  </si>
  <si>
    <t>P25700204</t>
  </si>
  <si>
    <t>KARTIKAY</t>
  </si>
  <si>
    <t>VASHISHTHA</t>
  </si>
  <si>
    <t>Kartikay Vashishtha</t>
  </si>
  <si>
    <t>kartikayvashishtha@gmail.com</t>
  </si>
  <si>
    <t>p25700204@student.nicmar.ac.in</t>
  </si>
  <si>
    <t>12-Aug-2002</t>
  </si>
  <si>
    <t>9433 2489 5608</t>
  </si>
  <si>
    <t>PANKAJ VASHISHTHA</t>
  </si>
  <si>
    <t>SEEMA VASHISHTHA</t>
  </si>
  <si>
    <t>A-208,Jawhar Colony,</t>
  </si>
  <si>
    <t>Jhalawar</t>
  </si>
  <si>
    <t>EDUSUCCESS,PUNE</t>
  </si>
  <si>
    <t>MAHARASHTRA BOARD OF HIGHER SECONDARY EDUCATION</t>
  </si>
  <si>
    <t>SWARAJAYA SENIOR SECONDARY SCHOOL, ALWAR</t>
  </si>
  <si>
    <t>NORTHWEST ACCREDITATION COMMISSION</t>
  </si>
  <si>
    <t>UPES</t>
  </si>
  <si>
    <t>UPES-DEHRADUN</t>
  </si>
  <si>
    <t>SPML | Graduate trainee engineer | Jaipur  | Apr 2024 | Nov 2024 | 34.714285714286 Weeks
JWIL | Civil Engineering Intern    | Isarda Dousa Water Supply Project, Rajasthan  | Jun 2023 | Jul 2023 | 8.5714285714286 Weeks</t>
  </si>
  <si>
    <t>P25700205</t>
  </si>
  <si>
    <t>VINAYCHANDRA</t>
  </si>
  <si>
    <t>BHENDAWADE</t>
  </si>
  <si>
    <t>Prateek Vinaychandra Bhendawade</t>
  </si>
  <si>
    <t>prateekbhendawade@gmail.com</t>
  </si>
  <si>
    <t>p25700205@student.nicmar.ac.in</t>
  </si>
  <si>
    <t>3350 7119 6194</t>
  </si>
  <si>
    <t>YUGANDHARA</t>
  </si>
  <si>
    <t>A/P Mangaon Tal Hatkanangale Dist Kolhapur</t>
  </si>
  <si>
    <t>MARATHI MEDIUM HIGHSCHOOL ICHALKARANJI</t>
  </si>
  <si>
    <t>YASHWANTRAO CHAVAN POLYTECHNIC ICHALKARANJI</t>
  </si>
  <si>
    <t>PUNYASHLOK AHILYADEVI HOLKAR SOLAPUR UNIVERSITY</t>
  </si>
  <si>
    <t>WALCHAND INSTITUTE OF TECHNOLOGY,SOLAPUR</t>
  </si>
  <si>
    <t>AutoCAD,MS Office,MS Project,Primavera,Quantity Estimation,Scheduling using Primavera / MS Project,Construction Planning (Academic Exposure),Project Coordination Support,WBS (Work Breakdown Structure),Earned Value Management (EVM)</t>
  </si>
  <si>
    <t>Syneteca Engineering Solutions Private Limited | Tekla Modelling Engineer | Pune | Oct 2021 | Oct 2024 | 3Y 0M | 3.6</t>
  </si>
  <si>
    <t>3 Years 1 Month</t>
  </si>
  <si>
    <t>Ethics in Engineering Practice - NPTEL
Finance For Non-Financial Managers - Coursera
Project Management Fundamentals - Microsoft Coursera</t>
  </si>
  <si>
    <t>P25700206</t>
  </si>
  <si>
    <t>Akshay Kumar</t>
  </si>
  <si>
    <t>akakshay257@gmail.com</t>
  </si>
  <si>
    <t>p25700206@student.nicmar.ac.in</t>
  </si>
  <si>
    <t>03-Apr-1996</t>
  </si>
  <si>
    <t>3582 0146 7154</t>
  </si>
  <si>
    <t>RADHA RAMAN KUMAR</t>
  </si>
  <si>
    <t>GOVT EMPLOYEE (SR.SO)</t>
  </si>
  <si>
    <t>ANAMIKA KUMARI</t>
  </si>
  <si>
    <t>305B Ramashish Apartment Kusumpuram Gola Road</t>
  </si>
  <si>
    <t>PATNA CENTRAL SCHOOL SUDARSHAN VIHAR</t>
  </si>
  <si>
    <t>CENTRAL BOARD OF SECONDARY EDUCATION PATNA/BIHAR</t>
  </si>
  <si>
    <t>BHUWNESHWARI DAYAL HIGH SCHOOL TELPA PATNA</t>
  </si>
  <si>
    <t>BIHAR SCHOOL EXAMINATION BOARD PATNA/BIHAR</t>
  </si>
  <si>
    <t>DIT UNIVERSITY</t>
  </si>
  <si>
    <t>DIT UNIVERSITY DEHRADUN/UTTARAKHAND</t>
  </si>
  <si>
    <t>JHARKHAND UNIVERSITY OF TECHNOLOGY</t>
  </si>
  <si>
    <t>2023-Oct</t>
  </si>
  <si>
    <t>AutoCAD,MS Office,MS Project,Primavera,CostX,Autodesk Revit</t>
  </si>
  <si>
    <t>RBP INFRASTRUCTURE &amp; ENGINEERING WORKS | SITE ENGINEER | GAYA, BIHAR | Jul 2019 | Aug 2021 | 2Y 1M | 1.65
M/S GAURAV CONSTRUCTION | SITE ENGINEER | Haidarnagar, Jharkhand | Dec 2023 | Jan 2025 | 1Y 1M | 2.16</t>
  </si>
  <si>
    <t>Building Construction Department, Govt. of Bihar | Vocational Training |  M.LA Housing Patna, Bihar | May 2018 | May 2018 | 3.8571428571429 Weeks
Ranchi Smart City Corporation Limited | Intern | Ranchi, Jharkhand | Jan 2023 | Jul 2023 | 25.857142857143 Weeks</t>
  </si>
  <si>
    <t>P25700207</t>
  </si>
  <si>
    <t>BRAHMI</t>
  </si>
  <si>
    <t>Brahmi C</t>
  </si>
  <si>
    <t>bbrahmi975@gmail.com</t>
  </si>
  <si>
    <t>p25700207@student.nicmar.ac.in</t>
  </si>
  <si>
    <t>31-Jan-2003</t>
  </si>
  <si>
    <t>English,Kannada,Hindi,telugu</t>
  </si>
  <si>
    <t>7502 7320 3324</t>
  </si>
  <si>
    <t>CHANDRAMOHAN.V</t>
  </si>
  <si>
    <t>AEE IN CIVIL ENGINEER</t>
  </si>
  <si>
    <t>BHAGYALAKSHMI.M</t>
  </si>
  <si>
    <t>Opp To Rto Office,shankara Vidhyalaya School Road,siri Nilaya,murali Layout,kolar</t>
  </si>
  <si>
    <t>Kolar</t>
  </si>
  <si>
    <t>THE JAIN INTERNATIONAL SCHOOL</t>
  </si>
  <si>
    <t>CENTRAL BOARD OF EDUCATION ,DELHI</t>
  </si>
  <si>
    <t>THE VISION PU COLLEGE</t>
  </si>
  <si>
    <t>GOVERNMENT OF KARNATAKA,KARNATAKA</t>
  </si>
  <si>
    <t>MS RAMAIAH UNIVERSITY OF APPLIED SCIENCES</t>
  </si>
  <si>
    <t>MS RAMAIAH UNIVERSITY OF APPLIED SCIENCES,BANGLORE</t>
  </si>
  <si>
    <t>AutoCAD,MS Office,revit,staddpro</t>
  </si>
  <si>
    <t>Godrej properties limited  | intern operations | Banglore  | May 2026 | Jul 2026 | 8.7142857142857 Weeks | Campus Internship</t>
  </si>
  <si>
    <t>P25700208</t>
  </si>
  <si>
    <t>KB</t>
  </si>
  <si>
    <t>SANATH</t>
  </si>
  <si>
    <t>Kb Sanath Kumar</t>
  </si>
  <si>
    <t>sanathkumarkb13@gmail.com</t>
  </si>
  <si>
    <t>p25700208@student.nicmar.ac.in</t>
  </si>
  <si>
    <t>ENGLISH,KANNADA,HINDI,TELUGU,DAKHNI</t>
  </si>
  <si>
    <t>7594 2423 7978</t>
  </si>
  <si>
    <t>KB SANJEEV PRASAD</t>
  </si>
  <si>
    <t>ROJAVATHI</t>
  </si>
  <si>
    <t>#155 SANJEEVASHREE 1ST MAIN ROAD BASAVESHWARA NAGAR, BALLARI</t>
  </si>
  <si>
    <t>Bellary</t>
  </si>
  <si>
    <t>DREAM WORLD SCHOOL</t>
  </si>
  <si>
    <t>CBSE , BALLARI</t>
  </si>
  <si>
    <t>NARAYANA PU COLLEGE</t>
  </si>
  <si>
    <t>DEPARTMENT OF PRE-UNIVERSITY EDUCATION , GOVT OF KARNATAKA</t>
  </si>
  <si>
    <t>VTU</t>
  </si>
  <si>
    <t>RV COLLEGE OF ENGINEERING BENGALURU</t>
  </si>
  <si>
    <t>AutoCAD,MS Office,MS Project,Primavera,c,c++</t>
  </si>
  <si>
    <t>New Consolidated Construction Company  | Contracts Intern | Mumbai | May 2026 | Jul 2026 | 8.5714285714286 Weeks | Campus Internship
SPACE BAR ARCHITECTURE + URBANISM | Graduate Engineer | Ballari | Jul 2024 | Jul 2025 | 52.285714285714 Weeks</t>
  </si>
  <si>
    <t>P25700209</t>
  </si>
  <si>
    <t>GAUTAM</t>
  </si>
  <si>
    <t>VASUDEV</t>
  </si>
  <si>
    <t>SHIVADUTTA</t>
  </si>
  <si>
    <t>Gautam Vasudev Shivadutta</t>
  </si>
  <si>
    <t>gautamvasudev287@gmail.com</t>
  </si>
  <si>
    <t>p25700209@student.nicmar.ac.in</t>
  </si>
  <si>
    <t>28-Jul-2000</t>
  </si>
  <si>
    <t>2346 6332 0446</t>
  </si>
  <si>
    <t>SHIVADUTTA GAUTAM</t>
  </si>
  <si>
    <t>SSE RAILWAYS</t>
  </si>
  <si>
    <t>ARADHANA SHIVADUTTA GAUTAM</t>
  </si>
  <si>
    <t>Unitech Westend Complex_x000D_
B/304, Periyar Bld No. 29</t>
  </si>
  <si>
    <t>SECONDARY SCHOOL CERTIFICATE (SSC) MUMBAI/MAHARASHTRA</t>
  </si>
  <si>
    <t>DIPLOMA IN MECHANICAL ENGINEERING</t>
  </si>
  <si>
    <t>VIDYAVARDHINI BHAUSAHEB VARTAK POLYTECHNIC MUMBAI/MAHARASHTRA</t>
  </si>
  <si>
    <t>THAKUR COLLEGE OF ENGINEERING &amp; TECHNOLOGY MUMBAI/MAHARASHTRA</t>
  </si>
  <si>
    <t>Dattani Estate Developers | Junior Engineer | Kandivali west, Mumbai | Jul 2023 | Jul 2025 | 2Y 0M | 2.4</t>
  </si>
  <si>
    <t>Dattani Estate Developers | Project Controls | Mumbai | May 2026 | Jul 2026 | 9 Weeks | Campus Internship</t>
  </si>
  <si>
    <t>P25700210</t>
  </si>
  <si>
    <t>JARESH</t>
  </si>
  <si>
    <t>SUNIL</t>
  </si>
  <si>
    <t>GHAG</t>
  </si>
  <si>
    <t>Jaresh Sunil Ghag</t>
  </si>
  <si>
    <t>ghagjaresh@gmail.com</t>
  </si>
  <si>
    <t>p25700210@student.nicmar.ac.in</t>
  </si>
  <si>
    <t>28-Feb-2003</t>
  </si>
  <si>
    <t>8156 4838 6790</t>
  </si>
  <si>
    <t>GOVERNMENT SERVENT</t>
  </si>
  <si>
    <t>JAYSHRI</t>
  </si>
  <si>
    <t>2434 D Ward, Shukrawar Peth, Bhoi Galli, Kolhapur</t>
  </si>
  <si>
    <t>MAHARASHTRA HIGH SCHOOL, SHIVAJI PETH, KOLHAPUR</t>
  </si>
  <si>
    <t>MAHARASHTRA STATE BOARD OF SECONDARY AND HIGHER SECONDARY, PUNE</t>
  </si>
  <si>
    <t>THE NEW COLLEGE, SHIVAJI PETH, KOLHAPUR.</t>
  </si>
  <si>
    <t>SHIVAJI UNIVERSITY.</t>
  </si>
  <si>
    <t>KOLHAPUR INSTITUTE OF TECHNOLOGY COLLEGE OF ENGINEERING (AUTONOMOUS), KOLHAPUR, MAHARASHTRA.</t>
  </si>
  <si>
    <t>Kunal Group, Balewadi, Pune. | Site Engineer | Pune | Jan 2025 | Jun 2025 | 21.571428571429 Weeks</t>
  </si>
  <si>
    <t>P25700211</t>
  </si>
  <si>
    <t>GOLI</t>
  </si>
  <si>
    <t>SAI SATVIK</t>
  </si>
  <si>
    <t>Goli Sai Satvik Reddy</t>
  </si>
  <si>
    <t>goli.satvik21@gmail.com</t>
  </si>
  <si>
    <t>p25700211@student.nicmar.ac.in</t>
  </si>
  <si>
    <t>21-Jul-2004</t>
  </si>
  <si>
    <t>Telugu,Hindi and English</t>
  </si>
  <si>
    <t>4425 3486 8219</t>
  </si>
  <si>
    <t>GOLI SARATH BABU ALIAS SARAT REDDY</t>
  </si>
  <si>
    <t>ABBURI ANITHA</t>
  </si>
  <si>
    <t>ADDITIONAL DISTRICT JUDGE</t>
  </si>
  <si>
    <t>Flat No C4 Harshas Classic, Ashok Nagar, Eluru</t>
  </si>
  <si>
    <t>FIITJEE HIGH SCHOOL</t>
  </si>
  <si>
    <t>VIJAYAWADA ANDHRA PRADESH</t>
  </si>
  <si>
    <t>FIITJEE JUNIOR COLLEGE</t>
  </si>
  <si>
    <t>NATIONAL INSTITUTE OF TECHNOLOGY, CALICUT</t>
  </si>
  <si>
    <t>KOZHIKODE/KERALA</t>
  </si>
  <si>
    <t>AutoCAD,MS Office,MS Project,Etabs</t>
  </si>
  <si>
    <t>Navayuga Engineering Company Ltd | Engineering Trainee | Kasara | May 2023 | Jun 2023 | 4.4285714285714 Weeks</t>
  </si>
  <si>
    <t>P25700212</t>
  </si>
  <si>
    <t>SHOUVIK</t>
  </si>
  <si>
    <t>MANDAL</t>
  </si>
  <si>
    <t>Shouvik Mandal</t>
  </si>
  <si>
    <t>mandalshouvik5@gmail.com</t>
  </si>
  <si>
    <t>p25700212@student.nicmar.ac.in</t>
  </si>
  <si>
    <t>03-Mar-2001</t>
  </si>
  <si>
    <t>ENGLISH, BENGALI, HINDI</t>
  </si>
  <si>
    <t>9394 0588 0859</t>
  </si>
  <si>
    <t>JAYANTA KUMAR MANDAL</t>
  </si>
  <si>
    <t>RETIRED TEACHER</t>
  </si>
  <si>
    <t>KABERI SARKAR MANDAL</t>
  </si>
  <si>
    <t>Lane No. - 5A, Lake Garden, Malda.</t>
  </si>
  <si>
    <t>Malda</t>
  </si>
  <si>
    <t>RAMAKRISHNA MISSION VIVEKANANDA VIDYAMANDIR, MALDA</t>
  </si>
  <si>
    <t>WEST BENGAL BOARD OF SECONDARY EDUACTION</t>
  </si>
  <si>
    <t>MEGHNAD SAHA INSTITUTE OF TECHNOLOGY WEST BENGAL</t>
  </si>
  <si>
    <t>AutoCAD,MS Office,MS Project,Staad Pro</t>
  </si>
  <si>
    <t>Kalpataru Projects International Limited | Engineer | Allahabad, Uttar Pradesh | Oct 2023 | Jun 2025 | 1Y 7M | 5.87</t>
  </si>
  <si>
    <t>CPWD | Execution and Planning | Kolkata | May 2026 | Jul 2026 | 9.5714285714286 Weeks | Campus Internship
JMC Projects (India) LTD. | Intern | Kolkata | Aug 2022 | Aug 2022 | 4.2857142857143 Weeks</t>
  </si>
  <si>
    <t>Staad Pro</t>
  </si>
  <si>
    <t>P25700213</t>
  </si>
  <si>
    <t>HARDIK</t>
  </si>
  <si>
    <t>ASHOK</t>
  </si>
  <si>
    <t>POKAR</t>
  </si>
  <si>
    <t>Hardik Ashok Pokar</t>
  </si>
  <si>
    <t>hardikpokar07@gmail.com</t>
  </si>
  <si>
    <t>p25700213@student.nicmar.ac.in</t>
  </si>
  <si>
    <t>30-Jul-2003</t>
  </si>
  <si>
    <t>English, Hindi, Marathi , Gujarati</t>
  </si>
  <si>
    <t>9350 7875 0319</t>
  </si>
  <si>
    <t>ASHOK RATANSHI POKAR</t>
  </si>
  <si>
    <t>BHARTI ASHOK POKAR</t>
  </si>
  <si>
    <t>Flat No. 301, Yashodeep Building, Shriram Soc., Warje, Pune 58</t>
  </si>
  <si>
    <t>RMD SINGHAD SPRING DALE SCHOOL WARJE</t>
  </si>
  <si>
    <t>CENTRAL BOARD OF SECONDARY EDUCATION, PUNE</t>
  </si>
  <si>
    <t>M.I.T. JUNIOR COLLEGE KOTHRUD</t>
  </si>
  <si>
    <t>SINHGAD COLLEGE OF ENGINEERING, PUNE</t>
  </si>
  <si>
    <t>2022-Jan</t>
  </si>
  <si>
    <t>SIDDHI NISARG ASSOCIATES | Site Intern - Civil Engineer | Wakad, Pune | Dec 2023 | Jan 2024 | 4.2857142857143 Weeks</t>
  </si>
  <si>
    <t>P25700214</t>
  </si>
  <si>
    <t>ABDULKADAR</t>
  </si>
  <si>
    <t>MOHAMMED ISAQ</t>
  </si>
  <si>
    <t>MUTWALLI</t>
  </si>
  <si>
    <t>Abdulkadar Mohammed Isaq Mutwalli</t>
  </si>
  <si>
    <t>abdulmutwalli7860@gmail.com</t>
  </si>
  <si>
    <t>p25700214@student.nicmar.ac.in</t>
  </si>
  <si>
    <t>09-Apr-2002</t>
  </si>
  <si>
    <t>5865 3236 2039</t>
  </si>
  <si>
    <t>MOHAMMED ISAQ MUTWALLI</t>
  </si>
  <si>
    <t>BUSSNIESS</t>
  </si>
  <si>
    <t>TAIYYABA MOHAMMEDISAQ MUTWALLI</t>
  </si>
  <si>
    <t>Darul Hamad Complex Sahara Solapur Awing 303</t>
  </si>
  <si>
    <t>INDIAN MODEL SCHOOL</t>
  </si>
  <si>
    <t>A.D JOSHI JR COLLEGE</t>
  </si>
  <si>
    <t>2020-Jan</t>
  </si>
  <si>
    <t>WALCHAND INSTITUTE OF TECHNOLOGY , SOLAPUR MAHARASHTRA</t>
  </si>
  <si>
    <t>AutoCAD,MS Office,MS Project,Revit,Lumion</t>
  </si>
  <si>
    <t>Iconic Civil Engineering and Structural Solutions ,Solapur | Eng Trainee | Solapur  | Jun 2024 | Jul 2025 | 1Y 1M | 3</t>
  </si>
  <si>
    <t>L&amp;T MUMBAI | Intern | MUMBAI ( VIRAR) | Feb 2024 | Mar 2024 | 4.1428571428571 Weeks
THAKUR&amp;THAKUR PUNE | Intern | PUNE ( SASWAD ) | Mar 2023 | Mar 2023 | 3.2857142857143 Weeks
Iconic Engineering Solutions | Eng Trainee | solapur  | Jun 2024 | Jul 2025 | 56.428571428571 Weeks</t>
  </si>
  <si>
    <t>Pregrad Bussniess Analysis
Acceleration 2022 WIT
Revit / Lumion 3d
Autocad</t>
  </si>
  <si>
    <t>P25700215</t>
  </si>
  <si>
    <t>SHITANGSHU</t>
  </si>
  <si>
    <t>SARKAR</t>
  </si>
  <si>
    <t>Shitangshu Sarkar</t>
  </si>
  <si>
    <t>arch.shitangshusarkar@gmail.com</t>
  </si>
  <si>
    <t>p25700215@student.nicmar.ac.in</t>
  </si>
  <si>
    <t>10-Oct-2000</t>
  </si>
  <si>
    <t>English, Hindi, Bengali</t>
  </si>
  <si>
    <t>5732 7546 0740</t>
  </si>
  <si>
    <t>TAPAN SARKAR</t>
  </si>
  <si>
    <t>SIPRA SARKAR</t>
  </si>
  <si>
    <t>40B/6, Upendra Chandra Banerjee Road, Kankurgachi, Kolkata - 700054, West Bengal</t>
  </si>
  <si>
    <t>PURWANCHAL VIDYAMANDIR</t>
  </si>
  <si>
    <t>COUNCIL FOR THE INDIAN SCHOOL CERTIFICATE EXAMINATIONS , KOLKATA</t>
  </si>
  <si>
    <t>AMITY UNIVERSITY , KOLKATA</t>
  </si>
  <si>
    <t>AutoCAD,MS Office,MS Project,Primavera,Photoshop,Sketchup,Lumion,Twinmotion,Revit,enscpe,Illustrator,Procreate</t>
  </si>
  <si>
    <t>Ar. Tamal Chaudhuri and Associates | Junior Architect | Kolkata | Sep 2023 | Aug 2024 | 0Y 11M | 3</t>
  </si>
  <si>
    <t>INTERSTICE STUDIO | INTERN ARCHITECT | NEW DELHI | Aug 2022 | Dec 2022 | 19.142857142857 Weeks</t>
  </si>
  <si>
    <t>Registered architect under the Council of Architecture ( COA )
Finance for Non financial Managers by Emory University through Coursera</t>
  </si>
  <si>
    <t>P25700216</t>
  </si>
  <si>
    <t>RIYA</t>
  </si>
  <si>
    <t>FALE</t>
  </si>
  <si>
    <t>Riya Fale</t>
  </si>
  <si>
    <t>faleriya92@gmail.com</t>
  </si>
  <si>
    <t>p25700216@student.nicmar.ac.in</t>
  </si>
  <si>
    <t>22-Nov-2003</t>
  </si>
  <si>
    <t>Hindi, English and marathi</t>
  </si>
  <si>
    <t>3572 0256 4917</t>
  </si>
  <si>
    <t>DILIP FALE</t>
  </si>
  <si>
    <t>TANUJA FALE</t>
  </si>
  <si>
    <t>Near Buddh Vihar, Bajar Chauk Saoner, Nagpur, Maharastra</t>
  </si>
  <si>
    <t>ST. JOHN'S MISSION EDUCATION SOCIETY'S CONVENT SAONER</t>
  </si>
  <si>
    <t>GOVERNMENT POLYTECNIC NAGPUR</t>
  </si>
  <si>
    <t>RASHTRASANT TUKADOJI MAHARAJ NAGPUR UNIVERSITY, NAGPUR</t>
  </si>
  <si>
    <t>G. H. RAISONI COLLEGE OF ENGINEERING</t>
  </si>
  <si>
    <t>AutoCAD,MS Office,MS Project,MS-CIT</t>
  </si>
  <si>
    <t>Panacea Civil India Pvt. Ltd. | Site Engineer Intern | Pune | Jan 2025 | Jun 2025 | 25.714285714286 Weeks</t>
  </si>
  <si>
    <t>P25700217</t>
  </si>
  <si>
    <t>SAI KEERTHI</t>
  </si>
  <si>
    <t>Sai Keerthi R</t>
  </si>
  <si>
    <t>saikeerthi10301@gmail.com</t>
  </si>
  <si>
    <t>p25700217@student.nicmar.ac.in</t>
  </si>
  <si>
    <t>10-Mar-2001</t>
  </si>
  <si>
    <t>6715 7491 9682</t>
  </si>
  <si>
    <t>RANGANATH N R</t>
  </si>
  <si>
    <t>SAI DARSHAN T R</t>
  </si>
  <si>
    <t>Flat No. 408, Maruthi Enclave Apartment, Balaji Layout, Mallathahalli, Bangalore</t>
  </si>
  <si>
    <t>SRI VANI EDUCATION CENTRE</t>
  </si>
  <si>
    <t>CENTRAL BOARD OF SECONDARY EDUCATION, BANGALORE, KARNATAKA</t>
  </si>
  <si>
    <t>JAIN PU COLLEGE</t>
  </si>
  <si>
    <t>GLOBAL ACADEMY OF TECHNOLOGY, BANGALORE, KARNATAKA</t>
  </si>
  <si>
    <t>AutoCAD,MS Office,MS Project,Autodesk Revit,Primavera P6</t>
  </si>
  <si>
    <t>Ardent Constructions | Design Engineer | Bangalore | Jun 2023 | Jun 2025 | 2Y 0M | 3.27</t>
  </si>
  <si>
    <t>Cushman &amp; Wakefield | Project Management Intern | Bangalore | May 2026 | Jul 2026 | 8.7142857142857 Weeks | Campus Internship
SARVA HOMES | DESIGN ENGINEER INTERN | BANGALORE | Aug 2022 | Sep 2022 | 3.7142857142857 Weeks</t>
  </si>
  <si>
    <t>P25700218</t>
  </si>
  <si>
    <t>B</t>
  </si>
  <si>
    <t>Akash B V</t>
  </si>
  <si>
    <t>akashbenne18@gmail.com</t>
  </si>
  <si>
    <t>p25700218@student.nicmar.ac.in</t>
  </si>
  <si>
    <t>18-Dec-2002</t>
  </si>
  <si>
    <t>9517 0743 5081</t>
  </si>
  <si>
    <t>VENKATESH B R</t>
  </si>
  <si>
    <t>SUMA T R</t>
  </si>
  <si>
    <t>N0: 87 SHRINIVASA NILAYA 2ND MAIN 1ST CROSS RIGHT SAVALANGA ROAD L B S NAGARA SHIVAMOGGA KARNATAKA</t>
  </si>
  <si>
    <t>KENDRIYA VIDYALAYA SHIVAMOGGA KARNATAKA</t>
  </si>
  <si>
    <t>SHIVAMOGGA KARNATAKA</t>
  </si>
  <si>
    <t>EXCELLENT PU COLLEGE,KALLABETTU MOODBIDRI,MANGALORE TQ</t>
  </si>
  <si>
    <t>MOODBIDRI MANGALORE</t>
  </si>
  <si>
    <t>DAYANANDA SAGAR COLLEGE OF ENGINEERING</t>
  </si>
  <si>
    <t>DAYANANDA SAGAR COLLEGE OF ENGINEERING BANGALORE KARNATAKA</t>
  </si>
  <si>
    <t>VINYAS INFRA LLP ENGINEERS,BUILDERS,DEVELOPERS AND PROMOTORS | Site Engineer  | SHIVAMOGGA | Aug 2024 | Jul 2025 | 0Y 11M | 3</t>
  </si>
  <si>
    <t>DESIGN POINT PROJECT MANAGEMENT CONSULTANTS ARCHITECTS AND ENGINEERS | SITE ENGINEER | RICHMOND ROAD BANGALORE | Aug 2023 | Sep 2023 | 4.4285714285714 Weeks</t>
  </si>
  <si>
    <t>P25700219</t>
  </si>
  <si>
    <t>OMKAR</t>
  </si>
  <si>
    <t>Omkar Arun Bhalerao</t>
  </si>
  <si>
    <t>omkarbhalerao243@gmail.com</t>
  </si>
  <si>
    <t>p25700219@student.nicmar.ac.in</t>
  </si>
  <si>
    <t>09-Mar-2003</t>
  </si>
  <si>
    <t>7800 3509 2668</t>
  </si>
  <si>
    <t>ARUN BHALERAO</t>
  </si>
  <si>
    <t>CHANDRAKALA BHALERAO</t>
  </si>
  <si>
    <t>MAYA SADAN, 3RD FLOOR ROOM NO 301, SECTOR  6, HOLI MAIDAN, SARSOLE VILLAGE, NERUL (WEST), NAVI MUMBAI</t>
  </si>
  <si>
    <t>ROOM NO 413, 4TH FLOOR_x000D_
A- WING PRABUDHA TOWER_x000D_
P L LOKHANDE MARG LIMBONI BAUG OPP ASISI_x000D_
NAGAR GOVANDI MUMBAI</t>
  </si>
  <si>
    <t>OUR LADY OF PERPETUAL SUCCOUR HIGH SCHOOL</t>
  </si>
  <si>
    <t>GOVERNMENT POLYTECHNIC MUMBAI, BANDRA</t>
  </si>
  <si>
    <t>Jain Engineers Pvt. Ltd. | Intern | Palava Phase-2, Dombivali | Feb 2022 | Aug 2022 | 25.714285714286 Weeks</t>
  </si>
  <si>
    <t>P25700220</t>
  </si>
  <si>
    <t>YADHUNANDH</t>
  </si>
  <si>
    <t>GUNJARA</t>
  </si>
  <si>
    <t>Yadhunandh Gunjara</t>
  </si>
  <si>
    <t>gunjarayadhunandh@gmail.com</t>
  </si>
  <si>
    <t>p25700220@student.nicmar.ac.in</t>
  </si>
  <si>
    <t>15-Feb-2004</t>
  </si>
  <si>
    <t>English,Telugu,Hindi</t>
  </si>
  <si>
    <t>2296 4734 9130</t>
  </si>
  <si>
    <t>G N PRAKASH BABU</t>
  </si>
  <si>
    <t>SR.SSO-ACCOUNTS, SOUTH CENTRAL RAILWAYS</t>
  </si>
  <si>
    <t>K UMADEVI</t>
  </si>
  <si>
    <t>20/212-G-6, Icon Square Apartment, Vijaya Nagar Colony, Guntakal</t>
  </si>
  <si>
    <t>NARAYANA EM HIGH SCHOOL</t>
  </si>
  <si>
    <t>GUNTAKAL, ANDHRA PRADESH</t>
  </si>
  <si>
    <t>BOARD OF INTERMEDIATE EDUCATION, VIJAYAWADA, ANDHRA PRADESH</t>
  </si>
  <si>
    <t>VELLORE INSTITUTE OF TECHNOLOGY, VELLORE, TAMIL NADU</t>
  </si>
  <si>
    <t>Elemental Realty Private Limited | Site Engineer | Hyderbad | Sep 2023 | Oct 2023 | 4.2857142857143 Weeks</t>
  </si>
  <si>
    <t>P25700222</t>
  </si>
  <si>
    <t>SATYAM</t>
  </si>
  <si>
    <t>Satyam Sharma</t>
  </si>
  <si>
    <t>satyamsharma1420@gmail.com</t>
  </si>
  <si>
    <t>p25700222@student.nicmar.ac.in</t>
  </si>
  <si>
    <t>14-Oct-2001</t>
  </si>
  <si>
    <t>6875 0528 2484</t>
  </si>
  <si>
    <t>RAM VINOD SARASWAT</t>
  </si>
  <si>
    <t>SHASHI</t>
  </si>
  <si>
    <t>C-521, BETA-1, GREATER NOIDA</t>
  </si>
  <si>
    <t>CENTRAL BOARD OF SECONDARY EDUCATION , DELHI</t>
  </si>
  <si>
    <t>GAUTAM BUDDHA UNIVERSITY</t>
  </si>
  <si>
    <t>SCHOOL OF ENGINEERING , GREATER NOIDA UP</t>
  </si>
  <si>
    <t>Sobha Ltd. | Intern | Gurugram | May 2026 | Jul 2026 | 9 Weeks | Campus Internship
A.K.CONSTRUCTION | INTERN | LACHHIPUR,GORAKHNATH,GORAKHPUR | Jul 2023 | Dec 2023 | 26 Weeks
CENTRAL WATER COMMISSION | INTERN | IRRIGATION PLANNING(NORTH) DIRECTORATE,CENTRAL WATER COMMISSION, SEWA BHAWAN R.K.PURAM SECTOR-1 NEW DELHI 110066 | Jul 2022 | Aug 2022 | 6.2857142857143 Weeks</t>
  </si>
  <si>
    <t>Ethics in Engineering Practice</t>
  </si>
  <si>
    <t>P25700223</t>
  </si>
  <si>
    <t>GHOLAP</t>
  </si>
  <si>
    <t>Shubham Ashok Gholap</t>
  </si>
  <si>
    <t>ar.shubhamgholap2914@gmail.com</t>
  </si>
  <si>
    <t>p25700223@student.nicmar.ac.in</t>
  </si>
  <si>
    <t>29-Aug-1999</t>
  </si>
  <si>
    <t>8335 4983 1932</t>
  </si>
  <si>
    <t>ASHOK AMBADAS GHOLAP</t>
  </si>
  <si>
    <t>RETIRED CIVIL ENGINEER</t>
  </si>
  <si>
    <t>JAYSHRI ASHOK GHOLAP</t>
  </si>
  <si>
    <t>495, Kanhoba Chari No. 2, Bend Vasti, Loni Kh., Po: Loni Kh, Tal.- Rahata, Dist.- Ahmednagar, Maharashta- 413713</t>
  </si>
  <si>
    <t>RAYAT SHIKSHAN SANSTHA'S PADMASHRI DR. VITTHALRAO VIKHE PATIL VIDYALAY, LONI.</t>
  </si>
  <si>
    <t>PVP JR. COLLEGE, LONI.</t>
  </si>
  <si>
    <t>PRAVARA RURAL COLLEGE OF ARCHITECTURE, LONI.</t>
  </si>
  <si>
    <t>AutoCAD,MS Office,MS Project,Primavera,Sktech up,Lumion,Autodesk Revit,Adobe Photoshop,Adobe Illustrator,Enscape</t>
  </si>
  <si>
    <t>Ekaa Designs | Jr. Architect, Project and Liasoning Architect | Baner, Pune | Jun 2023 | Jun 2025 | 2Y 0M | 3.56</t>
  </si>
  <si>
    <t>2 Years 1 Month</t>
  </si>
  <si>
    <t>Ekaa Designs | Trainee Architect | Baner, Pune | Jul 2022 | Dec 2022 | 24.714285714286 Weeks</t>
  </si>
  <si>
    <t>P25700224</t>
  </si>
  <si>
    <t>SUNDAR</t>
  </si>
  <si>
    <t>SALVE</t>
  </si>
  <si>
    <t>Rohit Sundar Salve</t>
  </si>
  <si>
    <t>salverohit001@gmail.com</t>
  </si>
  <si>
    <t>p25700224@student.nicmar.ac.in</t>
  </si>
  <si>
    <t>26-Aug-2000</t>
  </si>
  <si>
    <t>Marathi , Hindi , English</t>
  </si>
  <si>
    <t>2010 6597 5556</t>
  </si>
  <si>
    <t>SUNDAR SALVE</t>
  </si>
  <si>
    <t>BUILDING CONTRACTOR</t>
  </si>
  <si>
    <t>SHILA SALVE</t>
  </si>
  <si>
    <t>BANK CLERK</t>
  </si>
  <si>
    <t>POST OFFICE, 25/1, NICMAR UNIVERSITY, N.I.A, BALEWADI RD, RAM NAGAR, BANER, PUNE, MAHARASHTRA 411045</t>
  </si>
  <si>
    <t>Row House No.A5 , GRB Kesar Housing Society ,Sudhakar Nagar Road ,Aurangabad</t>
  </si>
  <si>
    <t>DNYANANKUR  HIGH SCHOOL, AURANGABAD, MAHARASHTRA</t>
  </si>
  <si>
    <t>DR . R. P. NATH JR. COLLEGE ARTS &amp; SCIENCE , AURANGABAD, MAHARASHTRA</t>
  </si>
  <si>
    <t>DR . BABASAHEB AMBEDKAR TECHNOLOGICAL UNIVERSITY ,LONERE , MAHARASHTRA</t>
  </si>
  <si>
    <t>MGM'S JAWAHARLAL NEHRU ENGINEERING COLLEGE, AURANGABAD, MAHARASHTRA</t>
  </si>
  <si>
    <t>NEHA CONSTRUCTION | Site Engineer | Aurangabad | Dec 2023 | Apr 2025 | 68.571428571429 Weeks</t>
  </si>
  <si>
    <t>P25700225</t>
  </si>
  <si>
    <t>ANUGRAHA</t>
  </si>
  <si>
    <t>Anugraha J</t>
  </si>
  <si>
    <t>anugrahaj2002@gmail.com</t>
  </si>
  <si>
    <t>p25700225@student.nicmar.ac.in</t>
  </si>
  <si>
    <t>09-Mar-2002</t>
  </si>
  <si>
    <t>English, Malayalam, Tamil</t>
  </si>
  <si>
    <t>8821 2784 8526</t>
  </si>
  <si>
    <t>JAYAPRAKASH A</t>
  </si>
  <si>
    <t>EX - SERVICE MAN</t>
  </si>
  <si>
    <t>LATHA P</t>
  </si>
  <si>
    <t>Veettiparambil (House), Puthucode (Post), Palakkad (District),</t>
  </si>
  <si>
    <t>Palakkad</t>
  </si>
  <si>
    <t>CHERUPUSHPAM GIRLS HIGHER SECONDARY SCHOOL</t>
  </si>
  <si>
    <t>KERALA STATE BOARD OF EDUCATION</t>
  </si>
  <si>
    <t>JAWAHARLAL COLLEGE OF ENGINEERING AND TECHNOLOGY, LAKKIDI, PALAKKAD, KERALA</t>
  </si>
  <si>
    <t>AutoCAD,MS Office,MS Project,Primavera,Revit Architecture,3DS Max,SketchUp</t>
  </si>
  <si>
    <t>RISE-UP BUILDERS LLP | Junior Site Engineer | Palakkad, Kerala | Jun 2024 | Jun 2025 | 1Y 0M | 1.44</t>
  </si>
  <si>
    <t>SOBHA LIMITED | PLANNING INTERN | Bangalore | May 2026 | Jul 2026 | 9 Weeks | Campus Internship
SHAPOORJI PALLONJI AND COMPANY PRIVATE LIMITED | INTERNSHIP TRAINEE | IIT PALAKKAD, KERALA | May 2023 | May 2023 | 3 Weeks</t>
  </si>
  <si>
    <t>Navisworks
Primavera P6
3ds Max
SketchUp
Revit Architecture
Autocad 2D and 3D
Construction Equipment Maintenance and Safety
German</t>
  </si>
  <si>
    <t>P25700227</t>
  </si>
  <si>
    <t>KUMARI</t>
  </si>
  <si>
    <t>Ankita Kumari Sinha</t>
  </si>
  <si>
    <t>ankitakumarisinha21@gmail.com</t>
  </si>
  <si>
    <t>p25700227@student.nicmar.ac.in</t>
  </si>
  <si>
    <t>23-Aug-1998</t>
  </si>
  <si>
    <t>2706 8302 4913</t>
  </si>
  <si>
    <t>DHIRAJ KUMAR SINGH</t>
  </si>
  <si>
    <t>ARTI KUMARI</t>
  </si>
  <si>
    <t>Sahay Sadan, Pakki Goriya, Ashok Chakra Gali, Patna City</t>
  </si>
  <si>
    <t>SATYAM INTERNATIONAL SCHOOL</t>
  </si>
  <si>
    <t>CBSE, PATNA</t>
  </si>
  <si>
    <t>GIRLS HIGH SCHOOL</t>
  </si>
  <si>
    <t>BBOSE,PATNA</t>
  </si>
  <si>
    <t>2016-Dec</t>
  </si>
  <si>
    <t>TECHNO INDIA COLLEGE OF TECHNOLOGY, KOLKATA</t>
  </si>
  <si>
    <t>AutoCAD,MS Office,MS Project,Primavera,Revit - Architecture and structure,Navisworks,Bluebeam,Autodesk Construction Cloud,K Track,Sketch up,Archicad,MS Excel</t>
  </si>
  <si>
    <t>Pinnacle Infotech Solutions | BIM Engineer | Durgapur, West Bengal | Aug 2021 | Aug 2023 | 2Y 0M | 3.6
Intec Infra Technologies Pvt. Ltd. | BIM-Architect | Gurugram, Haryana | Sep 2023 | Jul 2025 | 1Y 10M | 6.84</t>
  </si>
  <si>
    <t>3 Years 10 Months</t>
  </si>
  <si>
    <t>Ahluwalia Contracts (India) Limited  | Project Coordinator Intern - Formwork Department  | Delhi | May 2026 | Jun 2026 | 7.7142857142857 Weeks | Campus Internship</t>
  </si>
  <si>
    <t>Engineering Project Management  Time and Cost Management
Engineering Project Management: Initiating and Planning
Oil &amp; Gas Industry Operations and Markets
PMP certification
Project Admin Scholar - Digi QC
Construction Aspects of Formwork
Ethics in Engineering Practice</t>
  </si>
  <si>
    <t>P25700228</t>
  </si>
  <si>
    <t>ABHAY</t>
  </si>
  <si>
    <t>Abhay Yadav</t>
  </si>
  <si>
    <t>abhayyaduvanshi2000@gmail.com</t>
  </si>
  <si>
    <t>p25700228@student.nicmar.ac.in</t>
  </si>
  <si>
    <t>18-Oct-2000</t>
  </si>
  <si>
    <t>7659 5240 7408</t>
  </si>
  <si>
    <t>NEERAJ KANT YADAV</t>
  </si>
  <si>
    <t>MANOJ KUMARI</t>
  </si>
  <si>
    <t>1031, ULTIMA HOSTEL, NICMAR UNIVERSITY, RAM NAGAR, BANER</t>
  </si>
  <si>
    <t>1/250 Suhag Nagar</t>
  </si>
  <si>
    <t>Firozabad</t>
  </si>
  <si>
    <t>KIDS CORNER HAPPY SENIOR SECONDARY SCHOOL</t>
  </si>
  <si>
    <t>CBSE, FIROZABAD, UTTAR PRADESH</t>
  </si>
  <si>
    <t>KIIT UNIVERSITY</t>
  </si>
  <si>
    <t>KIIT UNIVERSITY, BHUBANESWAR, ODISHA</t>
  </si>
  <si>
    <t>Econstruct Design &amp; Build Pvt Ltd. | Intern | Bangalore | May 2026 | Jun 2026 | 8.1428571428571 Weeks | Campus Internship
Simplex Infrastructures Limited | Intern | Barabehra, Kolkata, West Bengal | Jun 2022 | Jul 2022 | 4.2857142857143 Weeks</t>
  </si>
  <si>
    <t>P25700229</t>
  </si>
  <si>
    <t>POPERE</t>
  </si>
  <si>
    <t>Sahil Suresh Popere</t>
  </si>
  <si>
    <t>sahilpopere18@gmail.com</t>
  </si>
  <si>
    <t>p25700229@student.nicmar.ac.in</t>
  </si>
  <si>
    <t>18-Feb-2001</t>
  </si>
  <si>
    <t>5067 9765 1047</t>
  </si>
  <si>
    <t>SURESH VITTHAL POPERE</t>
  </si>
  <si>
    <t>KAVITA SURESH POPERE</t>
  </si>
  <si>
    <t>SARVODAYA NAGAR AMBICA APARTMENTS_x000D_
CC2 R.NO 418  NEAR JAIN MANDIR_x000D_
MULUND WEST</t>
  </si>
  <si>
    <t>Saishraddha CHS,  3/B, R. No:-305_x000D_
G. G. Road,  Near Lions Club,  Mulund (West)</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</si>
  <si>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</si>
  <si>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</si>
  <si>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</si>
  <si>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</si>
  <si>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</si>
  <si>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Vishvaraj Environment Private Limited | Graduate Engineering Trainee (GET) | Mumbai and Ahmedabad | Sep 2023 | Sep 2024 | 0Y 11M | 3.07</t>
  </si>
  <si>
    <t>J Kumar Infraprojects Ltd.  | Intern – Construction Management (Civil) | Ulwe, Navi Mumbai, Maharashtra | May 2026 | Jul 2026 | 9.7142857142857 Weeks | Campus Internship
City and Industrial Development Corporation of Maharashtra Limited | Internship Trainee | Mulund | Jun 2022 | Jul 2022 | 2.7142857142857 Weeks
Neptune Ventures and Developers Pvt Ltd | Internship Trainee | Mulund | Dec 2021 | Jan 2022 | 4.1428571428571 Weeks</t>
  </si>
  <si>
    <t>Develop Soft Skills
AUTOCAD AND CONCRETE TECHNOLOGY
Staad Pro</t>
  </si>
  <si>
    <t>P25700230</t>
  </si>
  <si>
    <t>SATPUTE</t>
  </si>
  <si>
    <t>ASHWINI</t>
  </si>
  <si>
    <t>Satpute Ashwini Vijay</t>
  </si>
  <si>
    <t>satputeashwini1111@gmail.com</t>
  </si>
  <si>
    <t>p25700230@student.nicmar.ac.in</t>
  </si>
  <si>
    <t>English,  Hindi , Marathi</t>
  </si>
  <si>
    <t>7973 4119 2731</t>
  </si>
  <si>
    <t>VIJAY PANDURANG SATPUTE</t>
  </si>
  <si>
    <t>ANITA VIJAY SATPUTE</t>
  </si>
  <si>
    <t>Tilak Residency,  A2/07 , Sector No.07, Indrayaninagar, Bhosari,  Pune</t>
  </si>
  <si>
    <t>PRIYADARSHANI ENGLISH MEDIUM SCHOOL</t>
  </si>
  <si>
    <t>JAI HIND JUNIOR COLLEGE</t>
  </si>
  <si>
    <t>DR.D.Y.PATIL INSTITUTE OF TECHNOLOGY , PUNE , MAHARASHTRA</t>
  </si>
  <si>
    <t>AutoCAD,MS Office,MS Project,STADpro,MSExcel,MS Word</t>
  </si>
  <si>
    <t>Ratna Construction | Junior Engineer  | Pune  | Aug 2023 | Mar 2025 | 1Y 7M</t>
  </si>
  <si>
    <t>RATNA CONSTRUCTION | JUNIOR ENGINEER  | PUNE | Dec 2021 | Jan 2022 | 6 Weeks</t>
  </si>
  <si>
    <t>P25700231</t>
  </si>
  <si>
    <t>MANGESH</t>
  </si>
  <si>
    <t>GOVIND</t>
  </si>
  <si>
    <t>Mangesh Govind Jadhav</t>
  </si>
  <si>
    <t>jmangesh193@gmail.com</t>
  </si>
  <si>
    <t>p25700231@student.nicmar.ac.in</t>
  </si>
  <si>
    <t>20-Apr-2002</t>
  </si>
  <si>
    <t>8691 2207 7169</t>
  </si>
  <si>
    <t>CHAMANBAI</t>
  </si>
  <si>
    <t>Holi Post Pethsangvi Ta. Lohara Dist. Dharashiv</t>
  </si>
  <si>
    <t>MAHATMA GANDHI VIDHYALAYA HOLI</t>
  </si>
  <si>
    <t>GAYATRI COLLEGE OF SCIENCE CHARHOLI BK.</t>
  </si>
  <si>
    <t>SAVITRIBAI PHULE UNIVERCITY PUNE</t>
  </si>
  <si>
    <t>SINHGAD COOLEGE OF ENGINEERING VADGAON PUNE</t>
  </si>
  <si>
    <t>AutoCAD, Primavera,MS Project, Revit,</t>
  </si>
  <si>
    <t>Maharashtra Metro Rail Corporation Limited | Intrn | Pune | Feb 2023 | Feb 2023 | 3.8571428571429 Weeks</t>
  </si>
  <si>
    <t>P25700232</t>
  </si>
  <si>
    <t>KOULASKAR</t>
  </si>
  <si>
    <t>Aditya Anand Koulaskar</t>
  </si>
  <si>
    <t>koulaskaraditya@gmail.com</t>
  </si>
  <si>
    <t>p25700232@student.nicmar.ac.in</t>
  </si>
  <si>
    <t>01-Dec-2002</t>
  </si>
  <si>
    <t>English ,Hindi,Marathi</t>
  </si>
  <si>
    <t>4666 6342 7594</t>
  </si>
  <si>
    <t>RASHMI</t>
  </si>
  <si>
    <t>H.NO 8 YASH NAGARI UNIT 4 KABRA NAGAR</t>
  </si>
  <si>
    <t>Nanded</t>
  </si>
  <si>
    <t>SANDEEPANI PUBLIC SCHOOL</t>
  </si>
  <si>
    <t>MAHARASHTRA STATE BOARD OF SECONDARY AND HIGHER  EDUCATION, PUNE</t>
  </si>
  <si>
    <t>NETAJI SUBHAS CHANDRA BOSE MAHAVIDYALA</t>
  </si>
  <si>
    <t>SAVITRI BAI PHULE PUNE UNIVERSITY,PUNE</t>
  </si>
  <si>
    <t>D. Y. PATIL COLLAGE OF ENGINEERING ,AKURDI,PUNE</t>
  </si>
  <si>
    <t xml:space="preserve">AutoCAD ,MS Office ,MS Project ,Primavera ,CostX ,Excel </t>
  </si>
  <si>
    <t>HEET INFRASTRUCTURE | SITE ENGINEER | CHANDRAPUR | Nov 2024 | Jun 2025 | 0Y 7M | 3.6</t>
  </si>
  <si>
    <t>Sribal Construction Company  | Project Management Intern | Bogapuram ,Vishakhapatnam,A.P | May 2026 | Jul 2026 | 8.7142857142857 Weeks | Campus Internship
HEMAY INFRASTRUCTURE | SITE SUPERVISOR  | AMALNER ,JALGAON | Feb 2023 | Mar 2023 | 4 Weeks</t>
  </si>
  <si>
    <t>Advance Contracts ,Tendering And Procurements.</t>
  </si>
  <si>
    <t>P25700233</t>
  </si>
  <si>
    <t>AAKANKSHA</t>
  </si>
  <si>
    <t>Aakanksha Pramod Pawar</t>
  </si>
  <si>
    <t>pawaraakanksha139@gmail.com</t>
  </si>
  <si>
    <t>p25700233@student.nicmar.ac.in</t>
  </si>
  <si>
    <t>21-Dec-2000</t>
  </si>
  <si>
    <t>9758 8013 1313</t>
  </si>
  <si>
    <t>PRAMOD PAWAR</t>
  </si>
  <si>
    <t>RETIRED COLLEGE PRINCIPAL</t>
  </si>
  <si>
    <t>KANCHAN PAWAR</t>
  </si>
  <si>
    <t>Flat No. 403, Radha Govind Apartment, Pisal Path, Shukrawar Peth</t>
  </si>
  <si>
    <t>ST. JOSEPH CONVENT SENIOR SECONDARY SCHOOL, JALGAON</t>
  </si>
  <si>
    <t>ALL INDIA SHRI SHIVAJI MEMORIAL SOCIETY'S COLLEGE OF POLYTECHNIC, PUNE</t>
  </si>
  <si>
    <t>MARATHWADA MITRA MANDAL'S COLLEGE OF ARCHITECTURE, PUNE</t>
  </si>
  <si>
    <t>AutoCAD,MS Office,MS Project,Primavera,Revit,Photoshop,Sketchup,Lumion,Autocad</t>
  </si>
  <si>
    <t>Prashant Deshmukh and Associates | Project Management/Coordination | Pune | May 2026 | Jul 2026 | 8.7142857142857 Weeks | Campus Internship
Z.P. Works Department, Sub-Division, Haveli, Pune | Intern | Khanapur, Pune | May 2019 | Jun 2019 | 6 Weeks
The Raw Project LLP | Architectural Intern | Ahmedabad, Gujrat | Jun 2024 | Sep 2024 | 16.285714285714 Weeks</t>
  </si>
  <si>
    <t>P25700234</t>
  </si>
  <si>
    <t>CHIRAG</t>
  </si>
  <si>
    <t>Chirag Roy</t>
  </si>
  <si>
    <t>chiragroy1234@gmail.com</t>
  </si>
  <si>
    <t>p25700234@student.nicmar.ac.in</t>
  </si>
  <si>
    <t>25-Aug-2002</t>
  </si>
  <si>
    <t>3809 3122 2701</t>
  </si>
  <si>
    <t>DHANANJAY ROY</t>
  </si>
  <si>
    <t>KIRAN ROY</t>
  </si>
  <si>
    <t>LAWYER</t>
  </si>
  <si>
    <t>202 Ashiyana Bld, Opp. V.N. Desai Hospital,11TH Road, Santacruz East , Mumbai 400055</t>
  </si>
  <si>
    <t>SHREE MUMBADEVI VIDYA MANDIR</t>
  </si>
  <si>
    <t>SECONDARY AND HIGHER SECONDARY EDUCATION PUNE, MUMBAI, MAHARASHTRA</t>
  </si>
  <si>
    <t>KHAR EDUCATION SOCIETY'S JUNIOR COLLEGE OF SCIENCE</t>
  </si>
  <si>
    <t>V. CHHIBBER &amp; CO | Trainee Site Engineer | Mumbai | Dec 2022 | Mar 2023 | 13 Weeks</t>
  </si>
  <si>
    <t>Fundamentals of Predictive Project  Management</t>
  </si>
  <si>
    <t>P25700235</t>
  </si>
  <si>
    <t>HIRASING</t>
  </si>
  <si>
    <t>Ajay Hirasing Rathod</t>
  </si>
  <si>
    <t>ajayhrathod0522@gmail.com</t>
  </si>
  <si>
    <t>p25700235@student.nicmar.ac.in</t>
  </si>
  <si>
    <t>05-Feb-2002</t>
  </si>
  <si>
    <t>3453 7090 9655</t>
  </si>
  <si>
    <t>SHOBHA</t>
  </si>
  <si>
    <t>405-ULTIMA HOSTEL NICMAR UNIVERSITY PUNE</t>
  </si>
  <si>
    <t>Umari (I) ,post Dabhadi, Tq. Arni</t>
  </si>
  <si>
    <t>Yavatmal</t>
  </si>
  <si>
    <t>SHAHID BHAGATSINGH HIGHER SECONDARY SCHOOL AND COLLEGE,ARNI</t>
  </si>
  <si>
    <t>MAHARASHTRA STATE BOARD, AMRAVATI DIVISIONAL BOARD</t>
  </si>
  <si>
    <t>SHRI,M.D. BHARTI HIGHER SECONDARY SCHOOL, ARNI</t>
  </si>
  <si>
    <t>JSPM'S IMPERIAL COLLEGE OF ENGINEERING &amp; RESEARCH, WAGHOLI ,PUNE ,MAHARASHTRA</t>
  </si>
  <si>
    <t>AutoCAD,MS Office,MS Project,Primavera,Site Execution,Project Coordination,CostX,BIM (Building Information Modeling)</t>
  </si>
  <si>
    <t>Riseco Infra Pvt. ltd. | Junior Civil Engineer | Pune | Jan 2024 | Apr 2025 | 1Y 2M | 3.25</t>
  </si>
  <si>
    <t>SAI CONSTRUCTION | TRAINEE CIVIL ENGINEER | ARNI, DIST YAVATMAL,MAHARASHTRA | Apr 2021 | Jan 2023 | 91.428571428571 Weeks</t>
  </si>
  <si>
    <t>P25700236</t>
  </si>
  <si>
    <t>KUNAL</t>
  </si>
  <si>
    <t>SARMA</t>
  </si>
  <si>
    <t>Kunal Sarma</t>
  </si>
  <si>
    <t>sarmakunal2001@gmail.com</t>
  </si>
  <si>
    <t>p25700236@student.nicmar.ac.in</t>
  </si>
  <si>
    <t>25-Oct-2002</t>
  </si>
  <si>
    <t>English, Hindi, Assamese</t>
  </si>
  <si>
    <t>9419 2245 6838</t>
  </si>
  <si>
    <t>RAJEN SARMA</t>
  </si>
  <si>
    <t>BARNALI SARMA</t>
  </si>
  <si>
    <t>MUSIC TEACHER</t>
  </si>
  <si>
    <t>H.No- 18, Laxmi Mandir Path, Barsajai, Basistha, Kamrup Metro, Assam-781029</t>
  </si>
  <si>
    <t>SANSKRITI THE GURUKUL</t>
  </si>
  <si>
    <t>GUWAHATI, ASSAM</t>
  </si>
  <si>
    <t>KALINGA INSTITUTE OF INDUSTRIAL TECHNOLOGY</t>
  </si>
  <si>
    <t>KALINGA INSTITUTE OF INDUSTRIAL TECHNOLOGY, BHUBANESWAR, ODISHA</t>
  </si>
  <si>
    <t>PWD(Govt. of Delhi) | Site Engineer Intern | Delhi | May 2024 | May 2024 | 4 Weeks
PWRD East Guwahati Territorial Road Division | Site Engineer Intern | Guwahati | May 2023 | Jun 2023 | 5.4285714285714 Weeks</t>
  </si>
  <si>
    <t>P25700237</t>
  </si>
  <si>
    <t>SALUNKHE</t>
  </si>
  <si>
    <t>Mihir Suresh Salunkhe</t>
  </si>
  <si>
    <t>a46111314@gmail.com</t>
  </si>
  <si>
    <t>p25700237@student.nicmar.ac.in</t>
  </si>
  <si>
    <t>04-Jul-2001</t>
  </si>
  <si>
    <t>3451 8337 8478</t>
  </si>
  <si>
    <t>MAHARASHTRA POLICE</t>
  </si>
  <si>
    <t>SAYALI</t>
  </si>
  <si>
    <t>5/6, Om Siddhi Vinayak Housing Society, Sarvodaya Nagar, Jogeshwari East</t>
  </si>
  <si>
    <t>ST DOMINIC SAVIO HIGH SCHOOL</t>
  </si>
  <si>
    <t>MAHARASHTRA STATE BOARD OF SECONDARY EDUCATION</t>
  </si>
  <si>
    <t>SARDAR VALLABHBHAI PATEL POLYTECHNIC MUMBAI/MAHARASHTRA</t>
  </si>
  <si>
    <t>VIVA INSTITUTE OF TECHNOLOGY VIRAR/MAHARASHTRA</t>
  </si>
  <si>
    <t>Wheel Buildwell | Junior Site Engineer | Jogeshwari East | Aug 2023 | Nov 2024 | 1Y 3M | 0.96
Nexus Builders &amp; Developers | Site Engineer | Jogeshwari | Dec 2024 | Aug 2025 | 0Y 8M | 3</t>
  </si>
  <si>
    <t>Prestige Group | Execution + Control  | Mumbai | May 2026 | Jul 2026 | 8.5714285714286 Weeks | Campus Internship</t>
  </si>
  <si>
    <t>Kohinoor Technical Institute (Electrical Wireman)</t>
  </si>
  <si>
    <t>P25700238</t>
  </si>
  <si>
    <t>JASH</t>
  </si>
  <si>
    <t>Jash Pawar</t>
  </si>
  <si>
    <t>jashpawarofficial@gmail.com</t>
  </si>
  <si>
    <t>p25700238@student.nicmar.ac.in</t>
  </si>
  <si>
    <t>04-Nov-2000</t>
  </si>
  <si>
    <t>English,Hindi,Gujarati,Marathi</t>
  </si>
  <si>
    <t>3406 9469 4126</t>
  </si>
  <si>
    <t>RAJUBHAI</t>
  </si>
  <si>
    <t>PADMABEN</t>
  </si>
  <si>
    <t>1301, JUIPTER BUILDING RAJHANS CAMPUS NEAR PAL RTO , SURAT CITY , SURAT , GUJARAT - 395009</t>
  </si>
  <si>
    <t>Surat</t>
  </si>
  <si>
    <t>80,Nandanvan Soc , Coseway Beside , Singanpore , Surat City , Surat , Gujarat-395004</t>
  </si>
  <si>
    <t>SMT.S.H GAJERA SEC. &amp; H.SEC SCHOOL</t>
  </si>
  <si>
    <t>GUJARAT SECONDARY &amp; HIGHER SECONDARY EDUCATION BOARD</t>
  </si>
  <si>
    <t>GUJARAT TECHNOLOGIAL UNIVERSITY</t>
  </si>
  <si>
    <t>L.D COLLEGE OF ENGINEERING,AHMEDABAD,GUJARAT</t>
  </si>
  <si>
    <t>AutoCAD,MS Office,MS Project,Primavera,Power BI,SQL</t>
  </si>
  <si>
    <t>Siddhivinayak Infrastructure | Billing Engineer | Surat,Gujarat | Aug 2022 | Jul 2024 | 1Y 11M | 2.4
Laxmi Infra Vision Private Limited | Junior Engineer | Surat,Gujarat | Aug 2024 | Jul 2025 | 0Y 11M | 3.36</t>
  </si>
  <si>
    <t>2 Years 12 Months</t>
  </si>
  <si>
    <t>DECENT ENGINEERING | SITE ENGINEER | SURAT,GUJARAT | Jan 2022 | Apr 2022 | 12.857142857143 Weeks</t>
  </si>
  <si>
    <t>P25700239</t>
  </si>
  <si>
    <t>ISHA</t>
  </si>
  <si>
    <t>RAJKUMARSINGH</t>
  </si>
  <si>
    <t>CHAUHAN</t>
  </si>
  <si>
    <t>Isha Rajkumarsingh Chauhan</t>
  </si>
  <si>
    <t>ishaachauhan1@gmail.com</t>
  </si>
  <si>
    <t>p25700239@student.nicmar.ac.in</t>
  </si>
  <si>
    <t>20-Jan-2001</t>
  </si>
  <si>
    <t>9122 9773 4733</t>
  </si>
  <si>
    <t>RAJKUMARSINGH CHAUHAN</t>
  </si>
  <si>
    <t>MEGHA R CHAUHAN</t>
  </si>
  <si>
    <t>A 105, RIVIERA, MAHALUNGE, BANER, PUNE</t>
  </si>
  <si>
    <t>Plot No 4, Behind Laxmi Devi Bajaj Hospital, Krida Square, Nagpur</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</si>
  <si>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</si>
  <si>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</si>
  <si>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</si>
  <si>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</si>
  <si>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</si>
  <si>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Base 4 | Architect | Nagpur, Maharashtra | Jun 2023 | Jul 2024 | 1Y 1M | 2.4
The Collective Praxis | Architect | Nagpur, Maharashtra | Oct 2024 | Jun 2025 | 0Y 8M | 1.44</t>
  </si>
  <si>
    <t>MISA ARCHITECTS | Architectural Intern | AHMEDABAD | Jan 2022 | Sep 2022 | 35.571428571429 Weeks</t>
  </si>
  <si>
    <t>Birla Mural making competition- Handson Industry experience (consolation prize)
Ar. Sunil Toye Competition for landscape and sustainable development
Studio Layout Software Academy</t>
  </si>
  <si>
    <t>P25700240</t>
  </si>
  <si>
    <t>VISHWARAJ</t>
  </si>
  <si>
    <t>MOKASHI</t>
  </si>
  <si>
    <t>Vishwaraj Mohan Mokashi</t>
  </si>
  <si>
    <t>vishwarajmokashi20@gmail.com</t>
  </si>
  <si>
    <t>p25700240@student.nicmar.ac.in</t>
  </si>
  <si>
    <t>26-Sep-2003</t>
  </si>
  <si>
    <t>5802 3796 5902</t>
  </si>
  <si>
    <t>MOHAN RAGHUNATH MOKASHI</t>
  </si>
  <si>
    <t>SUNITA MOHAN MOKASHI</t>
  </si>
  <si>
    <t>Mokashi Villa, At Post Banpuri Tal-Patan Dist-Satara</t>
  </si>
  <si>
    <t>Satara</t>
  </si>
  <si>
    <t>PATAN VALLEY ENGLISH MEDIUM SCHOLL PATAN MAHARASHTRA</t>
  </si>
  <si>
    <t>SECONDARY SCHOOL CERTIFICATE BOARD MAHARASHTRA</t>
  </si>
  <si>
    <t>GOVERNMENT POLYTECHNIC KOLHAPUR MAHARASHTRA</t>
  </si>
  <si>
    <t>JSPM'S RAJARSHI SHAHU COLLEGE OF ENGINEERING TATHAWADE,PUNE MAHARASHTRA</t>
  </si>
  <si>
    <t>AutoCAD,MS Office,MS Project,Revit Architecture,MS-Excel,MS-PowerPoint,Google Sheets,Quality Audit,Snag list preparation</t>
  </si>
  <si>
    <t>Vilas Javdekar Developers Pune | Home Quality Inspection Intern | Wakad,Pune | Jul 2024 | Dec 2024 | 26.142857142857 Weeks</t>
  </si>
  <si>
    <t>P25700241</t>
  </si>
  <si>
    <t>LOVESON</t>
  </si>
  <si>
    <t>Jithin Joseph Loveson</t>
  </si>
  <si>
    <t>lovesonjithinjoseph@gmail.com</t>
  </si>
  <si>
    <t>p25700241@student.nicmar.ac.in</t>
  </si>
  <si>
    <t>08-Jun-2003</t>
  </si>
  <si>
    <t>English, Malayalam, Hindi</t>
  </si>
  <si>
    <t>9080 4282 9232</t>
  </si>
  <si>
    <t>LOVESON JOSEPH ARACKAL</t>
  </si>
  <si>
    <t>MARIAMMA M J</t>
  </si>
  <si>
    <t>Moozhukunnam (H), Champakulam (PO), Alappuzha, Kerala</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</si>
  <si>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</si>
  <si>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</si>
  <si>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</si>
  <si>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</si>
  <si>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</si>
  <si>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AutoCAD, MS Office, MS Project, Primavera, Cost X, Revit, BIM, ETABS,Plaxis 2D, Adobe Photoshop, Canva</t>
  </si>
  <si>
    <t>SOBHA LTD. | PROJECT MANAGEMENT INTERN | Thykoodam, Kerala | May 2026 | Jul 2026 | 9 Weeks | Campus Internship
KERALA SHIPPING AND INLAND NAVIGATION CORPORATION LTD. | INTERN | Kochi, Kerala | May 2022 | May 2022 | 0.57142857142857 Weeks
NATIONAL TRANPORTATION PLANNING AND RESEARCH CENTRE | INTERN | Kottayam, Kerala | Feb 2023 | Feb 2023 | 1 Weeks
VAIKOM PUBLICS WORK DEPARTMENT | INTERN | VAIKOM, KERALA | Jul 2023 | Aug 2023 | 2.4285714285714 Weeks</t>
  </si>
  <si>
    <t>GPS Surveying
Sustainability Inquiry &amp; Investigation program on  United Nations Sustainable Development Goal 11
Construction Scheduling
Impacts of the Environment on Global Public Health Specialization
German I NPTEL
Ethics in Engineering Practice NPTEL
Construction Equipment Maintenance and Safety
Finance for Non Financial Managers
Data Analysis</t>
  </si>
  <si>
    <t>P25700242</t>
  </si>
  <si>
    <t>ANUJ</t>
  </si>
  <si>
    <t>BAISHANDER</t>
  </si>
  <si>
    <t>Anuj Baishander</t>
  </si>
  <si>
    <t>anujbaishander321@gmail.com</t>
  </si>
  <si>
    <t>p25700242@student.nicmar.ac.in</t>
  </si>
  <si>
    <t>13-Aug-2001</t>
  </si>
  <si>
    <t>4966 6123 1597</t>
  </si>
  <si>
    <t>AJAY BAISHANDER</t>
  </si>
  <si>
    <t>SUB INSPECTOR (MADHYA PRADESH POLICE)</t>
  </si>
  <si>
    <t>SUMAN BAISHANDER</t>
  </si>
  <si>
    <t>Bhagat Singh Nagar, D.D. Nagar</t>
  </si>
  <si>
    <t>Gwalior</t>
  </si>
  <si>
    <t>GREEN WOOD PUBLIC SCHOOL</t>
  </si>
  <si>
    <t>CENTRAL BOARD OF SECONDARY EDUCATION, GWALIOR, M.P.</t>
  </si>
  <si>
    <t>SUNRISE PUBLIC H.S. SCHOOL</t>
  </si>
  <si>
    <t>BOARD OF SECONDARY EDUCATION, GWALIOR, M.P.</t>
  </si>
  <si>
    <t>RAJIV GANDHI PROUDYOGIKI VISHWAVIDYALAYA</t>
  </si>
  <si>
    <t>MADHAV INSTITUTE OF TECHNOLOGY AND SCIENCE, GWALIOR, M.P.</t>
  </si>
  <si>
    <t>J. Kumar Infraprojects Ltd. | Site Execution | Noida | May 2026 | Jul 2026 | 9.7142857142857 Weeks | Campus Internship
Madhya Pradesh Public Works Department (M.P.P.W.D.) | Summer Intern | Gwalior | Jan 2024 | May 2024 | 17.285714285714 Weeks</t>
  </si>
  <si>
    <t>Air Pollution and Control
Principles of Construction Management
Introduction to Civil Engineering Profession
Data Analysis
Finance for Non-Financial Managers
Construction Equipment Maintenance &amp; Safety</t>
  </si>
  <si>
    <t>P25700243</t>
  </si>
  <si>
    <t>SHREY</t>
  </si>
  <si>
    <t>BHARAT</t>
  </si>
  <si>
    <t>Shrey Bharat Shinde</t>
  </si>
  <si>
    <t>shrey7p@gmail.com</t>
  </si>
  <si>
    <t>p25700243@student.nicmar.ac.in</t>
  </si>
  <si>
    <t>16-Mar-2001</t>
  </si>
  <si>
    <t>ENGLISH, HINDI, MARATHI, GUJARATI</t>
  </si>
  <si>
    <t>9088 6193 2895</t>
  </si>
  <si>
    <t>GOVERNMENT RETIRED, PRIVATE BUSINESS</t>
  </si>
  <si>
    <t>SEJAL</t>
  </si>
  <si>
    <t>A/6 NITI NAGAR ROW HOUSE ALTHAN CANAL ROAD BHATAR SURAT</t>
  </si>
  <si>
    <t>RADIANT ENGLISH ACADEMY</t>
  </si>
  <si>
    <t>GUJARAT TECHNOLOGICAL UNIVERSITY</t>
  </si>
  <si>
    <t>C.K. PITHAWALA COLLEGE OF ENGINEERING AND TECHNOLOGY, SURAT GUJARAT</t>
  </si>
  <si>
    <t>AutoCAD,MS Office,MS Project,REVIT3D,SKETCHUP</t>
  </si>
  <si>
    <t>WTP Cost Advisory Services India Pvt.Lmt. | Summer Intern | Vikroli, Maharashtra  | May 2026 | Jun 2026 | 7.5714285714286 Weeks | Campus Internship
EARTH ARCHITECTS | INTERN | SURAT | Apr 2024 | Jun 2025 | 65 Weeks
RRASHI CONSULTANCY | INTERN | SURAT | Jun 2023 | Mar 2024 | 43.428571428571 Weeks
AADESH MAHAVEER PROJECTS (PROJECT - VEER SUPREMUS ) | INTERN | SURAT | Jan 2023 | Apr 2023 | 13.571428571429 Weeks</t>
  </si>
  <si>
    <t>P25700244</t>
  </si>
  <si>
    <t>SWAMI</t>
  </si>
  <si>
    <t>Akshay Sanjay Swami</t>
  </si>
  <si>
    <t>akshayswami1455@gmail.com</t>
  </si>
  <si>
    <t>p25700244@student.nicmar.ac.in</t>
  </si>
  <si>
    <t>28-Jun-1999</t>
  </si>
  <si>
    <t>English,Hindi,Marathi,Kannada</t>
  </si>
  <si>
    <t>6643 8265 7958</t>
  </si>
  <si>
    <t>SANJAY SWAMI</t>
  </si>
  <si>
    <t>JAGADEVI SWAMI</t>
  </si>
  <si>
    <t>36, A, Mahalaxmi Society, Shelagi, Solapur.</t>
  </si>
  <si>
    <t>SVCS HIGHSCHOOL SOLAPUR MAHARASHTRA</t>
  </si>
  <si>
    <t>AD JOSHI JUNIOR COLLEGE OF SCIENCE, SOLAPUR</t>
  </si>
  <si>
    <t>WALCHAND INSTITUTE OF TECHNOLOGY, SOLAPUR (WIT)</t>
  </si>
  <si>
    <t>AutoCAD,MS Office,MS Project,Primavera,Civil 3D</t>
  </si>
  <si>
    <t>Pushpak Infra Steel Pvt Ltd | Sales Manager | Pune | May 2024 | Jun 2025 | 1Y 1M | 4
Think &amp; Learn Pvt Ltd | Team Lead | Pune | Sep 2021 | May 2024 | 2Y 7M | 9.56</t>
  </si>
  <si>
    <t>P25700245</t>
  </si>
  <si>
    <t>VAIDEHI</t>
  </si>
  <si>
    <t>SHIVANKAR</t>
  </si>
  <si>
    <t>Vaidehi Suresh Shivankar</t>
  </si>
  <si>
    <t>vaidehi48a@gmail.com</t>
  </si>
  <si>
    <t>p25700245@student.nicmar.ac.in</t>
  </si>
  <si>
    <t>24-Dec-2001</t>
  </si>
  <si>
    <t>2667 8135 1124</t>
  </si>
  <si>
    <t>RANJANA</t>
  </si>
  <si>
    <t>Plot No. 61 Prabhu Nagar Kohale Layout Zingabai Takli Godhani Road Nagpur</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</si>
  <si>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</si>
  <si>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</si>
  <si>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</si>
  <si>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</si>
  <si>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</si>
  <si>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</si>
  <si>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AutoCAD,MS Office,MS Project,Primavera,Excel,Power BI,Tableau,SQL,Auto-CAD,Revit,BIM,MS Word,CostX,Basics of R,Basics of python,Basics of Statistics</t>
  </si>
  <si>
    <t>Prayojana Construction Management Training Institute | Intern | Bengaluru | Jul 2022 | Aug 2022 | 4.4285714285714 Weeks
NSK Builders &amp; Developers | Intern | Nashik  | Jun 2024 | Dec 2024 | 26.142857142857 Weeks
ExcelR Institute | Project Intern | Pune | Nov 2024 | Aug 2025 | 39.285714285714 Weeks</t>
  </si>
  <si>
    <t>Business Analyst
REVIT
Auto-CAD
Interior texture site training program ( Asian Paints Colour company )
Advance plumbing course
Basic plumbing course
Emory University ( Finance for Non-Financial Managers) Coursera
NPTEL (Ethics in Engineering practices)</t>
  </si>
  <si>
    <t>P25700246</t>
  </si>
  <si>
    <t>Patil Jayesh Ravindra</t>
  </si>
  <si>
    <t>patiljayesh808@gmail.com</t>
  </si>
  <si>
    <t>p25700246@student.nicmar.ac.in</t>
  </si>
  <si>
    <t>2024 7468 4289</t>
  </si>
  <si>
    <t>RAVINDRA PATIL</t>
  </si>
  <si>
    <t>VAISHALI PATIL</t>
  </si>
  <si>
    <t>805 Tulip Bldg.no.8 Everest World Kolshet Road Thane West</t>
  </si>
  <si>
    <t>SRI MA VIDYALAYA, THANE WEST</t>
  </si>
  <si>
    <t>MAHARASHTRA STATE BOARD OF SECONDARY AND HIGHER SECONDARY EDUCATION, THANE</t>
  </si>
  <si>
    <t>SHUBHAMRAJE JUNIOR COLLEGE, THANE WEST</t>
  </si>
  <si>
    <t>BHARATI VIDYAPEETH (DEEMED TO BE UNIVERSITY), PUNE</t>
  </si>
  <si>
    <t>BHARATI VIDYAPEETH DEEMED UNIVERSITY COLLEGE OF ENGINEERING, PUNE</t>
  </si>
  <si>
    <t>AutoCAD,MS Office,MS Project,Market Research,Power BI</t>
  </si>
  <si>
    <t>Shreeji Properties | Site Engineer | Mumbai | Sep 2023 | Jun 2025 | 1Y 9M | 3</t>
  </si>
  <si>
    <t>Rodic Consultants Pvt. Ltd. | Operations &amp; Business Development | Delhi &amp; Mumbai | May 2026 | Jul 2026 | 8.7142857142857 Weeks | Campus Internship
PHYSICSWALLAH | Strategy Intern | MUMBAI | Mar 2023 | Aug 2023 | 20 Weeks
Raunak Group | Industrial trainee | Thane | Jul 2022 | Aug 2022 | 5.8571428571429 Weeks</t>
  </si>
  <si>
    <t>Project Management in Construction
Financial Equity Market Analyst
Municipal Solid Waste Management</t>
  </si>
  <si>
    <t>P25700247</t>
  </si>
  <si>
    <t>AISWARYA</t>
  </si>
  <si>
    <t>A J</t>
  </si>
  <si>
    <t>Aiswarya A J</t>
  </si>
  <si>
    <t>aiswaryaiverkala07@gmail.com</t>
  </si>
  <si>
    <t>p25700247@student.nicmar.ac.in</t>
  </si>
  <si>
    <t>19-Jul-2001</t>
  </si>
  <si>
    <t>2260 3641 0650</t>
  </si>
  <si>
    <t>JAYACHANDRAN PILLAI G</t>
  </si>
  <si>
    <t>KSFE SENIOR MANAGER</t>
  </si>
  <si>
    <t>ASHADEVI G</t>
  </si>
  <si>
    <t>KSFE ASSISTANT MANAGER</t>
  </si>
  <si>
    <t>SARAYU_x000D_
Iverkala West North_x000D_
Puthanampalam P O</t>
  </si>
  <si>
    <t>Kollam</t>
  </si>
  <si>
    <t>VIVEKANANDA H S FOR GIRLS KADAMBANAD</t>
  </si>
  <si>
    <t>VGSS AHSS NEDIYAVILA</t>
  </si>
  <si>
    <t>BOARD OF HIGHER SECONDARY EXAMINATIONS, KOLLAM</t>
  </si>
  <si>
    <t>APJ  ABDUL KALAM TECHNOLOGICAL UNIVERSITY</t>
  </si>
  <si>
    <t>MAR BASELIOS COLLEGE OF ENGINEERING AND TECHNOLOGY, TRIVANDRUM</t>
  </si>
  <si>
    <t>AutoCAD, BIM, Revit, MS Project, Primavera, CostX, Staad Pro, PTV Vissim</t>
  </si>
  <si>
    <t>Econstruct Design &amp; Build Pvt. Ltd. | Project Management Intern | Banglore | May 2026 | Jun 2026 | 8.1428571428571 Weeks | Campus Internship
Local Self Government Department | Civil Engineering Intern | Pazhakulam | Mar 2023 | Mar 2023 | 1.4285714285714 Weeks
Public Work Department | Civil Engineering Intern | Thiruvananthapuram | Oct 2022 | Oct 2022 | 1.2857142857143 Weeks
Puthenvilayil Construction | Civil Engineering Intern | Thengamam  | Sep 2023 | Sep 2023 | 1.1428571428571 Weeks</t>
  </si>
  <si>
    <t>Advanced Microsoft Excel Formulas and Functions
Introduction to Programming Fundamentals
IoT for industrial applications
NPTEL -Integrated Waste Management for a Smart City
NPTEL-Japanese Language and Culture
NPTEL-Ethics in Engineering Practice
Construction Equipment Maintenance &amp; Safety
Finance for Non-Financial Managers
Data Analysis</t>
  </si>
  <si>
    <t>P25700248</t>
  </si>
  <si>
    <t>PARMEET</t>
  </si>
  <si>
    <t>KHANUJA</t>
  </si>
  <si>
    <t>Parmeet Singh Khanuja</t>
  </si>
  <si>
    <t>sparmeet731@gmail.com</t>
  </si>
  <si>
    <t>p25700248@student.nicmar.ac.in</t>
  </si>
  <si>
    <t>08-Dec-2002</t>
  </si>
  <si>
    <t>English, Hindi, Punjabi</t>
  </si>
  <si>
    <t>9328 5504 8042</t>
  </si>
  <si>
    <t>TARANJEET SINGH KHANUJA</t>
  </si>
  <si>
    <t>HARJEET KAUR KHANUJA</t>
  </si>
  <si>
    <t>Meet Villa, Near Gurudwara Tarbahar, Sirgitti, Bilaspur Chhattisgarh</t>
  </si>
  <si>
    <t>Bilaspur</t>
  </si>
  <si>
    <t>ST FRANCIS HR SEC SCHOOL</t>
  </si>
  <si>
    <t>CENTRAL BOARD OF SECONDARY EDUCATION CHHATTISGARH</t>
  </si>
  <si>
    <t>LAKHMI CHAND INSTITUTE OF TECHNOLOGY, BILASPUR</t>
  </si>
  <si>
    <t>2025-Aug</t>
  </si>
  <si>
    <t>AutoCAD,MS Office,MS Project,Tally,Python,AI Tools,CostX</t>
  </si>
  <si>
    <t>Civil Guruji | Trainee | Bhilai Chhattisgarh | Jan 2024 | Feb 2024 | 8.2857142857143 Weeks
Ravi Shankar Tripathi | Billing And Site Engineer Intern | Bilaspur Chhattisgarh | Mar 2024 | Sep 2024 | 30.428571428571 Weeks</t>
  </si>
  <si>
    <t>Done Stock Market Investment Workshop from IIT Kanpur
Done Bridge Design Workshop from IIT Kanpur
Done Skyscrapper Design Workshop from IIT Kanpur
Pursuing Advanced Certification Program in Construction Management from IIT Guwahati
Pursuing Minor in AI from IIT Ropar</t>
  </si>
  <si>
    <t>P25700249</t>
  </si>
  <si>
    <t>PRIYANSH</t>
  </si>
  <si>
    <t>PANDE</t>
  </si>
  <si>
    <t>Priyansh Jayesh Pande</t>
  </si>
  <si>
    <t>priyanshj2003@gmail.com</t>
  </si>
  <si>
    <t>p25700249@student.nicmar.ac.in</t>
  </si>
  <si>
    <t>12-May-2003</t>
  </si>
  <si>
    <t>Gujarati, Hindi, English</t>
  </si>
  <si>
    <t>5055 8663 8967</t>
  </si>
  <si>
    <t>JAYESH D PANDE</t>
  </si>
  <si>
    <t>DEPUTY DIRECTOR, NWDA, MOJS, GOVT OF INDIA.</t>
  </si>
  <si>
    <t>AARTI J PANDE</t>
  </si>
  <si>
    <t>70 Navnathnagar Society,_x000D_
Near Rameshwar School,_x000D_
Gotri Road, Vadodara, Gujarat, 390021.</t>
  </si>
  <si>
    <t>KENDRIYA VIDYALAYA NO 1 HARNI ROAD, VADODARA</t>
  </si>
  <si>
    <t>CENTRAL BOARD OF SECONDARY EDUCATION, VADODARA/GUJARAT</t>
  </si>
  <si>
    <t>THE MAHARAJA SAYAJIRAO UNIVERSITY OF BARODA</t>
  </si>
  <si>
    <t>THE MAHARAJA SAYAJIRAO UNIVERSITY OF BARODA, VADODARA/GUJARAT</t>
  </si>
  <si>
    <t>MS Office,MS Project,Primavera,Autodesk Revit,Autodesk Navisworks,CostX,GIS,Public Sector Projects</t>
  </si>
  <si>
    <t>National Water Development Agency, Ministry of Jal Shakti, Government of India | Summer Intern | New Delhi | May 2024 | Jun 2024 | 4.4285714285714 Weeks</t>
  </si>
  <si>
    <t>NCC 'C' Certificate</t>
  </si>
  <si>
    <t>P25700250</t>
  </si>
  <si>
    <t>SHRUTI</t>
  </si>
  <si>
    <t>Shruti Tanaji Shinde</t>
  </si>
  <si>
    <t>shindeshruti1411@gmail.com</t>
  </si>
  <si>
    <t>p25700250@student.nicmar.ac.in</t>
  </si>
  <si>
    <t>18-Mar-2002</t>
  </si>
  <si>
    <t>English, Marathi and Hindi</t>
  </si>
  <si>
    <t>2449 3686 6348</t>
  </si>
  <si>
    <t>TANAJI SHINDE</t>
  </si>
  <si>
    <t>SUJATA SHINDE</t>
  </si>
  <si>
    <t>Ft No 7, Shree Ganga Heights, Hotel Quality Lodging Inn Lane, Vadgoan Bk, Pune-41</t>
  </si>
  <si>
    <t>CBSE DELHI</t>
  </si>
  <si>
    <t>SURYADATTA PUBLIC SCHOOL</t>
  </si>
  <si>
    <t>JSPM NARHE TECHNICAL CAMPUS, PUNE, MAHARASHTRA</t>
  </si>
  <si>
    <t>AutoCAD,MS Office,MS Project,Primavera,Civil 3d,CostX,Revit,MS Excel</t>
  </si>
  <si>
    <t>Godrej Properties Limited | Operations | Pune | May 2026 | Jul 2026 | 8.7142857142857 Weeks | Campus Internship
SHREE VENKATESH BUILDCON | INTERN | PUNE | Jan 2023 | Feb 2023 | 4.4285714285714 Weeks</t>
  </si>
  <si>
    <t>Microsoft Excel For Construction Management
Ethics in Engineering Practice
Finance for Non-Financial Managers</t>
  </si>
  <si>
    <t>P25700251</t>
  </si>
  <si>
    <t>kr.ayush251@gmail.com</t>
  </si>
  <si>
    <t>p25700251@student.nicmar.ac.in</t>
  </si>
  <si>
    <t>6017 8563 6291</t>
  </si>
  <si>
    <t>ARBIND KUMAR</t>
  </si>
  <si>
    <t>SUNITA DEVI</t>
  </si>
  <si>
    <t>S/O: ARBIND KUMAR, VILLAGE: ATWARPUR, POST OFFICE: KURTHOUL, POLICE STATION: PARSA BAZAR, PATNA, BIHAR</t>
  </si>
  <si>
    <t>BIHAR ENGINEERING UNIVERSITY, PATNA</t>
  </si>
  <si>
    <t>GOVERNMENT ENGINEERING COLLEGE, JEHANABAD</t>
  </si>
  <si>
    <t>J. Kumar Infraprojects Ltd. | Construction Management Intern | New Delhi | May 2026 | Jul 2026 | 9.7142857142857 Weeks | Campus Internship
BIHAR STATE BUILDING CONSTRUCTION CORPORATION LTD. | INTERN | PATNA, BIHAR | Jan 2023 | Mar 2023 | 6.1428571428571 Weeks
BIHAR RAJYA PUL NIRMAN NIGAM LIMITED | INTERN | PATNA, BIHAR | Mar 2022 | Apr 2022 | 3.8571428571429 Weeks</t>
  </si>
  <si>
    <t>P25700252</t>
  </si>
  <si>
    <t>RAHISH</t>
  </si>
  <si>
    <t>HATTARGE</t>
  </si>
  <si>
    <t>Rahish Dinesh Hattarge</t>
  </si>
  <si>
    <t>rahishhattarge@gmail.com</t>
  </si>
  <si>
    <t>p25700252@student.nicmar.ac.in</t>
  </si>
  <si>
    <t>13-Nov-2001</t>
  </si>
  <si>
    <t>English Marathi Hindi</t>
  </si>
  <si>
    <t>5721 6421 8296</t>
  </si>
  <si>
    <t>1042/C/A8,Majgavkar Nagar Near Kanerkar Nagar,Kolhapur</t>
  </si>
  <si>
    <t>PRIVATE HIGHSCHOOL</t>
  </si>
  <si>
    <t>SSC KOLHAPUR/ MAHARASHTRA</t>
  </si>
  <si>
    <t>CHATE JR COLLEGE</t>
  </si>
  <si>
    <t>HSC KOLHAPUR/ MAHARASHTRA</t>
  </si>
  <si>
    <t>TATYASAHEB KORE INSTITUTE OF ENGINEERING AND TECHNOLOGY</t>
  </si>
  <si>
    <t>Panchshil Realty - A2Z Online Services Private Limited | Projects Execution &amp; Planning Division | PUNE | May 2026 | Jul 2026 | 8.7142857142857 Weeks | Campus Internship
Shri Ganesh Builders &amp; Developers | Trainee Engineer  | Kolhapur | Jul 2023 | Aug 2024 | 57.714285714286 Weeks</t>
  </si>
  <si>
    <t>MS CIT
Scholarship Certificate Nicmar
CAD 2D &amp; 3D Certification
STAAD PRO Software Certificate</t>
  </si>
  <si>
    <t>P25700253</t>
  </si>
  <si>
    <t>GARGHATE</t>
  </si>
  <si>
    <t>Vedant Pradip Garghate</t>
  </si>
  <si>
    <t>vedantgarghate0@gmail.com</t>
  </si>
  <si>
    <t>p25700253@student.nicmar.ac.in</t>
  </si>
  <si>
    <t>02-Jul-2002</t>
  </si>
  <si>
    <t>3539 0816 8413</t>
  </si>
  <si>
    <t>PRADIP GARGHATE</t>
  </si>
  <si>
    <t>PRANJALI</t>
  </si>
  <si>
    <t>NICMAR HOSTEL, GATE NO 2,BALEWADI PUNE</t>
  </si>
  <si>
    <t>At. Post Shankarpur, Tah Chimur, Dist Chandrapur</t>
  </si>
  <si>
    <t>ST CLARET ENGLISH MEDIUM SCHOOL</t>
  </si>
  <si>
    <t>CENTRAL BOARD OF SECONDARY EDUCATION CHANDRAPUR</t>
  </si>
  <si>
    <t>ST PAUL JUNIOR COLLEGE</t>
  </si>
  <si>
    <t>MAHARASTRA STATE BOARD OF SECOUNDRY AND HIGHER SECOUNDRY EDUCATION,PUNE</t>
  </si>
  <si>
    <t>RASHTRASANT TUKADOJI MAHARAJ NAGPUR UNIVERSITY,NAGPUR</t>
  </si>
  <si>
    <t>GH RAISONI COLLEGE OF ENGINEERING,NAGPUR</t>
  </si>
  <si>
    <t>B.G.SHIRKE CONSTRUCTION TECHNOLOGY PVT.LTD. | Managment Trainee | Nagpur | May 2026 | Jul 2026 | 9.7142857142857 Weeks | Campus Internship
D.K Morey | Site Engineer Trainee | Chandrapur | May 2022 | Jun 2022 | 4.4285714285714 Weeks
L.G Developers and Builders | Site Engineer Trainee | Nagpur | Dec 2023 | Jun 2024 | 26.142857142857 Weeks</t>
  </si>
  <si>
    <t>Revit Architecture and Autocad</t>
  </si>
  <si>
    <t>P25700254</t>
  </si>
  <si>
    <t>MOHAMMED</t>
  </si>
  <si>
    <t>Mohammed Ahmed Deshmukh</t>
  </si>
  <si>
    <t>mohammedahmed.dma123@gmail.com</t>
  </si>
  <si>
    <t>p25700254@student.nicmar.ac.in</t>
  </si>
  <si>
    <t>01-Aug-2002</t>
  </si>
  <si>
    <t>8495 7721 5953</t>
  </si>
  <si>
    <t>MOHAMMED ASLAM DESHMUKH</t>
  </si>
  <si>
    <t>CIVIL ENGINEERING COST CONSULTANT</t>
  </si>
  <si>
    <t>MUMTAZ BEGUM DESHMUKH</t>
  </si>
  <si>
    <t>FLAT-705, BUILDING-3D, HM ROYAL SOCIETY, KONDHWA BUDRUK</t>
  </si>
  <si>
    <t>Row House B-8, Green Valley Housing Society, Near Kohinoor Lawns, Roza Baugh_x000D_</t>
  </si>
  <si>
    <t>JAIN INTERNATIONAL SCHOOL AURANGABAD MAHARASHTRA</t>
  </si>
  <si>
    <t>ARIHANT ARTS, COMMERCE &amp; SCIENCE JUNIOR COLLEGE, BAVDHAN, PUNE-21</t>
  </si>
  <si>
    <t>VELLORE INSTITUTE OF TECHNOLOGY, VELLORE-632014</t>
  </si>
  <si>
    <t>P25700255</t>
  </si>
  <si>
    <t>TATODE</t>
  </si>
  <si>
    <t>Aditya Tatode</t>
  </si>
  <si>
    <t>adityatatode26@gmail.com</t>
  </si>
  <si>
    <t>p25700255@student.nicmar.ac.in</t>
  </si>
  <si>
    <t>26-Nov-2001</t>
  </si>
  <si>
    <t>2544 2598 5963</t>
  </si>
  <si>
    <t>PURUSHOTTAM TATODE</t>
  </si>
  <si>
    <t>MEDHA TATODE</t>
  </si>
  <si>
    <t>544, Ashirwad Nagar</t>
  </si>
  <si>
    <t>BHAVAN'S B P VIDYA MANDIR WATHODA NAGPUR MR</t>
  </si>
  <si>
    <t>CENTRAL BOARD OF SECONDARY EDUCATION, NAGPUR</t>
  </si>
  <si>
    <t>M.K.H. SANCHETI PUBLIC SCHOOL &amp; JUNIOR COLLEGE</t>
  </si>
  <si>
    <t>YESHWANTRAO CHAVAN COLLEGE OF ENGINEERING, NAGPUR</t>
  </si>
  <si>
    <t>NFC INFRASTRUCTURES | SITE ENGINEERS | NAGPUR, MAHARASHTRA | Apr 2024 | May 2025 | 1Y 1M | 1.56</t>
  </si>
  <si>
    <t>MANAVI CONSTRUCTION | SITE ENGINEER | NAGPUR | Jan 2024 | Apr 2024 | 17.142857142857 Weeks
CIVIL GURUJI PVT. LTD. | TRAINEE | NAGPUR, MAHARASHTRA | Feb 2024 | Mar 2024 | 8.1428571428571 Weeks</t>
  </si>
  <si>
    <t>Diploma in Building Design
Corporate Training Coarse</t>
  </si>
  <si>
    <t>P25700256</t>
  </si>
  <si>
    <t>ANIKET</t>
  </si>
  <si>
    <t>NIKAM</t>
  </si>
  <si>
    <t>Aniket Shivaji Nikam</t>
  </si>
  <si>
    <t>aninikam18@gmail.com</t>
  </si>
  <si>
    <t>p25700256@student.nicmar.ac.in</t>
  </si>
  <si>
    <t>20-Apr-2001</t>
  </si>
  <si>
    <t>Marathi, Hindi, English</t>
  </si>
  <si>
    <t>5407 2621 7628</t>
  </si>
  <si>
    <t>13/254 Dattar Mala, Ichalkaranji</t>
  </si>
  <si>
    <t>VYANKATESHWARA ENGLISH SCHOOL</t>
  </si>
  <si>
    <t>SSC, MAHARASHTRA</t>
  </si>
  <si>
    <t>SHARAD INSTITUTE OF TECHNOLOGY POLYTECHNIC, MAHARASHTRA</t>
  </si>
  <si>
    <t>SINHAGAD INSTITUTE OF TECHNOLOGY AND SCIENCE</t>
  </si>
  <si>
    <t>Aakar Architects , Interior and Landscapes Consultants | Assistant/ Junior Engineer | Ichalkaranji | Jul 2023 | Dec 2024 | 1Y 5M | 1.8</t>
  </si>
  <si>
    <t>Omkar Enterprises | Intern  | Pune | Feb 2022 | Apr 2022 | 11.714285714286 Weeks</t>
  </si>
  <si>
    <t>P25700257</t>
  </si>
  <si>
    <t>BATE</t>
  </si>
  <si>
    <t>Prasad Ashok Bate</t>
  </si>
  <si>
    <t>bateprasad2@gmail.com</t>
  </si>
  <si>
    <t>p25700257@student.nicmar.ac.in</t>
  </si>
  <si>
    <t>5146 9874 8873</t>
  </si>
  <si>
    <t>ASHOK BATE</t>
  </si>
  <si>
    <t>SUJATA BATE</t>
  </si>
  <si>
    <t>A 301, Dhiraj Building, Sudeep CHS, Sanyukta Nagar, Achole Cross Road, Nalasopara East</t>
  </si>
  <si>
    <t>CHANDRESH LODHA MEMORIAL HIGH SCHOOL</t>
  </si>
  <si>
    <t>A V COLLEGE OF ARTS, K M COLLEGE OF COMMERCE &amp; ES ANDRADES COLLEGE OF SCIENCE</t>
  </si>
  <si>
    <t>VIDYAVARDHINI'S COLLEGE OF ENGINEERING AND TECHNOLOGY</t>
  </si>
  <si>
    <t>Deepak Mande and Associates | Trainee Engineer | Vikhroli and Nagpur | Jul 2024 | Mar 2025 | 0Y 8M | 1.95</t>
  </si>
  <si>
    <t>Badiyani Construction | Summer Intern – Billing &amp; Execution | Vanaha Project, Pune | May 2026 | Jul 2026 | 9.7142857142857 Weeks | Campus Internship
Imperial Lifestyle | Internship Trainee | Nalasopara West | Jun 2023 | Jun 2023 | 4.1428571428571 Weeks</t>
  </si>
  <si>
    <t>P25700258</t>
  </si>
  <si>
    <t>GABULA</t>
  </si>
  <si>
    <t>Gabula Balaji</t>
  </si>
  <si>
    <t>gabulabalajibablu12345@gmail.com</t>
  </si>
  <si>
    <t>p25700258@student.nicmar.ac.in</t>
  </si>
  <si>
    <t>05-Aug-1997</t>
  </si>
  <si>
    <t>Telugu Hindi English Kannada Marathi</t>
  </si>
  <si>
    <t>2701 7808 6930</t>
  </si>
  <si>
    <t>GABULA RAMESH</t>
  </si>
  <si>
    <t>GOVT EMPLOYEE</t>
  </si>
  <si>
    <t>GABULA RANJITHA</t>
  </si>
  <si>
    <t>H.no -1-2-431 ,Shanti Nagar Colony  Rakasipet   Bodhan</t>
  </si>
  <si>
    <t>SRI VIJAYA SAI HIGH SCHOOL</t>
  </si>
  <si>
    <t>BOARD OF SECONDARY EDUCATION  NIZAMABAD / TELANGANA</t>
  </si>
  <si>
    <t>NARAYANA JUNIOR COLEEGE</t>
  </si>
  <si>
    <t>BOARD OF INTERMEDIATE EDUCATION HYDERABAD /TELANGANA</t>
  </si>
  <si>
    <t>CMR  TECHNICAL CAMPUS</t>
  </si>
  <si>
    <t>2014-Sep</t>
  </si>
  <si>
    <t>Stiffners | Valuation Engineer  | Hyderabad  | May 2026 | Jul 2026 | 9.5714285714286 Weeks | Campus Internship
SHREE ASSOCIATES | Internship Trainee | Bodhan telangana  | Apr 2024 | May 2025 | 57.857142857143 Weeks</t>
  </si>
  <si>
    <t>P25700259</t>
  </si>
  <si>
    <t>SHANKU</t>
  </si>
  <si>
    <t>RAAJASHREE</t>
  </si>
  <si>
    <t>NAYUDU</t>
  </si>
  <si>
    <t>Shanku Raajashree Nayudu</t>
  </si>
  <si>
    <t>shankuraajashree@gmail.com</t>
  </si>
  <si>
    <t>p25700259@student.nicmar.ac.in</t>
  </si>
  <si>
    <t>10-Oct-1999</t>
  </si>
  <si>
    <t>Telugu, Hindi, English</t>
  </si>
  <si>
    <t>2818 1648 0451</t>
  </si>
  <si>
    <t>THRILOK RAAJ NAYUDU</t>
  </si>
  <si>
    <t>UNEMPLOYEED</t>
  </si>
  <si>
    <t>SANGEETHA RAAJ</t>
  </si>
  <si>
    <t>4-4-81/16, FLOOR 1 , VEERA REDDY COLONY , KARTHIKEYA NAGARÂ ,500076</t>
  </si>
  <si>
    <t>3-9/46, Flat No: 304, Sharadhanagar, Ramanthapur, Hyderabad - 500013</t>
  </si>
  <si>
    <t>ANNIE BEASENT HIGH SCHOOL</t>
  </si>
  <si>
    <t>JAWAHARLAL NEHRU ARCHITECTURE AND FINE ARTS UNIVERSITY</t>
  </si>
  <si>
    <t>SRI VENKATESHWARA COLLEGE OF ARCHITECTURE</t>
  </si>
  <si>
    <t>2017-Sep</t>
  </si>
  <si>
    <t>AutoCAD,MS Office,sketchup,revit,lumion,enscape,photoshop,indesign,illlustrator</t>
  </si>
  <si>
    <t>GRANITI VICENTIA | DRAFTER  | AMEERPET | Jul 2023 | Mar 2025 | 1Y 7M | 4.2</t>
  </si>
  <si>
    <t>L N Design | Jr. Architect  | Bowenpally  | Mar 2022 | Oct 2023 | 81.857142857143 Weeks</t>
  </si>
  <si>
    <t>P25700260</t>
  </si>
  <si>
    <t>RISHABH</t>
  </si>
  <si>
    <t>KATIYAR</t>
  </si>
  <si>
    <t>Rishabh Katiyar</t>
  </si>
  <si>
    <t>rishabhkatiyar050@gmail.com</t>
  </si>
  <si>
    <t>p25700260@student.nicmar.ac.in</t>
  </si>
  <si>
    <t>26-Mar-2001</t>
  </si>
  <si>
    <t>9379 2476 5909</t>
  </si>
  <si>
    <t>SARVESH CHANDRA KATIYAR</t>
  </si>
  <si>
    <t>SERVICEMAN</t>
  </si>
  <si>
    <t>SHASHI PRABHA KATIYAR</t>
  </si>
  <si>
    <t>1/467 Ambedkar Puram Awas Vikas-3 Kalyanpur, Kanpur</t>
  </si>
  <si>
    <t>Kanpur Nagar</t>
  </si>
  <si>
    <t>54226-GAURAV MEMO INTNL SCHOOL KALYANPUR KANPUR UP</t>
  </si>
  <si>
    <t>KAMLA NEHRU INSTITUTE OF TECHNOLOGY, SULTANPUR(UP)</t>
  </si>
  <si>
    <t>Irrigation Department | Internship Trainee | Sultanpur, Uttar Pradesh | Jul 2023 | Jul 2023 | 4.2857142857143 Weeks</t>
  </si>
  <si>
    <t>P25700261</t>
  </si>
  <si>
    <t>YASHASVI</t>
  </si>
  <si>
    <t>SRIVASTAVA</t>
  </si>
  <si>
    <t>Yashasvi Srivastava</t>
  </si>
  <si>
    <t>yashsrivastava26999@gmail.com</t>
  </si>
  <si>
    <t>p25700261@student.nicmar.ac.in</t>
  </si>
  <si>
    <t>26-Nov-1999</t>
  </si>
  <si>
    <t>3734 7515 3283</t>
  </si>
  <si>
    <t>SANJAY KUMAR SRIVASTAVA</t>
  </si>
  <si>
    <t>SAROJ BALA SRIVASTAVA</t>
  </si>
  <si>
    <t>82, Manas Enclave Colony, Indiranagar, Cimap</t>
  </si>
  <si>
    <t>CITY MONTERSSORI SCHOOL</t>
  </si>
  <si>
    <t>INDIAN CERTIFICATE OF SECONDARY EDUCATION EXAMINATION</t>
  </si>
  <si>
    <t>INDIAN SCHOOL CERTIFICATE EXAMINATION</t>
  </si>
  <si>
    <t>SRM INSTITUTE OF SCIENCE AND TECHNOLOGY KATTANKULATHUR</t>
  </si>
  <si>
    <t>Prabha Enterprises | Site Engineer | Lucknow, Uttar Pradesh | May 2024 | Apr 2025 | 0Y 11M | 3</t>
  </si>
  <si>
    <t>Uttar Pradesh Projects Corporation Ltd. | Civil Engineer | Bahraich, Uttar Pradesh | Jul 2021 | Aug 2021 | 4.2857142857143 Weeks
SF associates | Site Engineer  | Lucknow  | Apr 2023 | Jan 2024 | 40.142857142857 Weeks</t>
  </si>
  <si>
    <t>P25700262</t>
  </si>
  <si>
    <t>ANSHUL</t>
  </si>
  <si>
    <t>DIPAK</t>
  </si>
  <si>
    <t>FUNDE</t>
  </si>
  <si>
    <t>Anshul Dipak Funde</t>
  </si>
  <si>
    <t>anshulfunde1671@gmail.com</t>
  </si>
  <si>
    <t>p25700262@student.nicmar.ac.in</t>
  </si>
  <si>
    <t>16-Jul-2001</t>
  </si>
  <si>
    <t>8311 4100 8255</t>
  </si>
  <si>
    <t>TEACHER (RETIRED )</t>
  </si>
  <si>
    <t>Near Jamidar Wada, Behind Primary School, Amgaon (District- Gondia)</t>
  </si>
  <si>
    <t>PROGRESSIVE ENGLISH HIGH SCHOOL, GONDIA</t>
  </si>
  <si>
    <t>VIDYA NIKETAN JUNIOR COLLEGE, AMGAON</t>
  </si>
  <si>
    <t>SHRI LAXMANRAO MANKAR COLLEGE OF POLYTECHNIC, AMGAON</t>
  </si>
  <si>
    <t>G H RAISONI COLLEGE OF ENGINEERING, NAGPUR</t>
  </si>
  <si>
    <t>AutoCAD,MS Office,MS Project,Power BI</t>
  </si>
  <si>
    <t>Khalatkar construction Infra pvt. ltd. | Site Engineer | Nagpur | Jan 2024 | Jul 2024 | 26 Weeks</t>
  </si>
  <si>
    <t>P25700263</t>
  </si>
  <si>
    <t>SAQUIB</t>
  </si>
  <si>
    <t>SHAKIL</t>
  </si>
  <si>
    <t>DAULATABAD</t>
  </si>
  <si>
    <t>Saquib Shakil Daulatabad</t>
  </si>
  <si>
    <t>saquibdaulatabad@gmail.com</t>
  </si>
  <si>
    <t>p25700263@student.nicmar.ac.in</t>
  </si>
  <si>
    <t>09-Oct-2000</t>
  </si>
  <si>
    <t>English,Hindi &amp; Marathi</t>
  </si>
  <si>
    <t>8469 6147 8733</t>
  </si>
  <si>
    <t>SHAHENAZ</t>
  </si>
  <si>
    <t>558, New Paccha Peth, Near Pathroot Chowk, Behind Taj Medical</t>
  </si>
  <si>
    <t>SHANTI ENGLISH MEDIUM SCHOOL</t>
  </si>
  <si>
    <t>MAHARASHTRA STATE BOARD OF SECONDARY AND HIGHER SECONDARY EDUCATION, SOLAPUR</t>
  </si>
  <si>
    <t>TELANGANA STATE BOARD OF INTERMEDIATE EDUCATION, HYDERABAD</t>
  </si>
  <si>
    <t>SRI RAMASWAMY MEMORIAL (SRM) INSTITUTE OF SCIENCE AND TECHNOLOGY</t>
  </si>
  <si>
    <t>SRI RAMASWAMY MEMORIAL (SRM) INSTITUTE OF SCIENCE AND TECHNOLOGY, CHENNAI</t>
  </si>
  <si>
    <t>SOBHA Ltd. | Planning | Bangalore | May 2026 | Jul 2026 | 9 Weeks | Campus Internship</t>
  </si>
  <si>
    <t>Finance for Non-Financial Managers
NPTEL Ethics in Engineering Practice</t>
  </si>
  <si>
    <t>P25700264</t>
  </si>
  <si>
    <t>KANISHK</t>
  </si>
  <si>
    <t>SHILPI</t>
  </si>
  <si>
    <t>Kanishk Kumar Shilpi</t>
  </si>
  <si>
    <t>17kanishkkshilpi@gmail.com</t>
  </si>
  <si>
    <t>p25700264@student.nicmar.ac.in</t>
  </si>
  <si>
    <t>12-Feb-2003</t>
  </si>
  <si>
    <t>5995 1677 5547</t>
  </si>
  <si>
    <t>KANHAIYA LAL LADIA</t>
  </si>
  <si>
    <t>RAJNI LADIA</t>
  </si>
  <si>
    <t>GOVERNMENT TEACHER</t>
  </si>
  <si>
    <t>53, Aakarsh Enclave Tilhari Mandla Road , Jabalpur Madhya Pradesh 482020</t>
  </si>
  <si>
    <t>Jabalpur</t>
  </si>
  <si>
    <t>ST. ALOYSIUS SENIOR SECONDARY SCHOOL CANTT , JABALPUR</t>
  </si>
  <si>
    <t>CENTRAL BOARD OF SECONDARY EDUCATION ,  NEW DELHI</t>
  </si>
  <si>
    <t>RAJIV GANDHI PROUDYOGIKI VISHWAVIDYALAYA (R.G.P.V) BHOPAL ,MADHYA PRADESH</t>
  </si>
  <si>
    <t>MADHAV INSTITUTE OF TECHNOLOGY AND SCIENCE  GWALIOR , MADHYA PRADESH</t>
  </si>
  <si>
    <t>AutoCAD,MS Office,MS Project,MS Excel, REVIT, PrimaVera P6</t>
  </si>
  <si>
    <t>Ahluwalia Contracts (India) Limited | INTERN | Delhi | May 2026 | Jul 2026 | 8.7142857142857 Weeks | Campus Internship
NKC Projects Pvt. Ltd. | INTERN | jabalpur | Jun 2024 | Jul 2024 | 8.4285714285714 Weeks
MADHYA PRADESH PUBLIC WORKS DEPARTMENT , BRIDGE DIVISION JABALPUR | INTERN | JABALPUR | Dec 2024 | May 2025 | 19.857142857143 Weeks</t>
  </si>
  <si>
    <t>P25700265</t>
  </si>
  <si>
    <t>HARSHVARDHAN</t>
  </si>
  <si>
    <t>GEHLOT</t>
  </si>
  <si>
    <t>Harshvardhan Singh Gehlot</t>
  </si>
  <si>
    <t>harshvardhan3960@gmail.com</t>
  </si>
  <si>
    <t>p25700265@student.nicmar.ac.in</t>
  </si>
  <si>
    <t>9273 4260 0399</t>
  </si>
  <si>
    <t>SANJAY SINGH GEHLOT</t>
  </si>
  <si>
    <t>COMPUTER OPERATOR</t>
  </si>
  <si>
    <t>KALPANA GEHLOT</t>
  </si>
  <si>
    <t>M2,222 Ayodhya Nagri Nanda Nagar</t>
  </si>
  <si>
    <t>Indore</t>
  </si>
  <si>
    <t>ST.JOSEPH'S SCHOOL</t>
  </si>
  <si>
    <t>CENTRAL BOARD OF SECONDARY EDUCATION, INDORE, MADHYA PRADESH</t>
  </si>
  <si>
    <t>VAISHNAV BAL MANDIR H S</t>
  </si>
  <si>
    <t>BOARD OF SECONDARY EDUCATION, INDORE, MADHYA PRADESH</t>
  </si>
  <si>
    <t>SHRI VAISHNAV VIDYAPEETH VISHWAVIDYALAYA, INDORE, MADHYA PRADESH</t>
  </si>
  <si>
    <t>SHRI VAISHNAV INSTITUTE OF TECHNOLOGY AND SCIENCE, INDORE, MADHYA PRADESH</t>
  </si>
  <si>
    <t>SIDDIQUI DEVELOPERS | PROJECT INTERN | INDORE | Jan 2025 | Apr 2025 | 14.285714285714 Weeks
LIUGONG INDIA | GRADUATE ENGINEER TRAINEE  | PITHAMPUR (M.P) | May 2025 | Jun 2025 | 7 Weeks</t>
  </si>
  <si>
    <t>P25700266</t>
  </si>
  <si>
    <t>Shruti Pravin Wagh</t>
  </si>
  <si>
    <t>shrutiwagh9722@gmail.com</t>
  </si>
  <si>
    <t>p25700266@student.nicmar.ac.in</t>
  </si>
  <si>
    <t>09-Jul-2002</t>
  </si>
  <si>
    <t>3851 9629 3669</t>
  </si>
  <si>
    <t>PRAVIN HIRAMAN WAGH</t>
  </si>
  <si>
    <t>MANISHA PRAVIN WAGH</t>
  </si>
  <si>
    <t>Plot No 18/2 Near Z B Patil College Deopur Dhule, 424002</t>
  </si>
  <si>
    <t>Dhule</t>
  </si>
  <si>
    <t>JAI HIND HIGH SCHOOL DHULE</t>
  </si>
  <si>
    <t>SECONDRY AND HIGHER SECONDARY EDUCATION ,MAHARASHTRA</t>
  </si>
  <si>
    <t>SHIKSHAN MAHARSHI DADASAHEB RAWAL GOVERNMENT POLYTECHNIC,DHULE</t>
  </si>
  <si>
    <t>DR D Y PATIL INSTITUTE OF ENGINEERING MANAGEMENT AND REASEARCH AKURDI PUNE</t>
  </si>
  <si>
    <t>AutoCAD,MS Office,MS Project,Primavera,M S Excel,Project planning &amp; scheduling,Costing &amp; Estimation,Quality &amp; safety Management,Risk Assessment &amp; Mitigation,Autodesk Revit</t>
  </si>
  <si>
    <t>GNY GROUP  | ESTIMATION AND BILLING ENGINEER  | Chatrapati sambhaji nagar | May 2026 | Jul 2026 | 8.7142857142857 Weeks | Campus Internship
PADMASHREE BUILDERS | Site Intern | DHULE | Jan 2023 | Feb 2023 | 4.1428571428571 Weeks
JOGESHWARI CONSTRUCTIONS | Site &amp; Planning Intern | DHULE | Aug 2024 | Jan 2025 | 26.142857142857 Weeks</t>
  </si>
  <si>
    <t>MSCIT Certificate
Academic excellence
REASEARCH PAPER PUBLISH
AUTOCADD</t>
  </si>
  <si>
    <t>P25700267</t>
  </si>
  <si>
    <t>CHANDRASHEKHAR</t>
  </si>
  <si>
    <t>KHAIRE</t>
  </si>
  <si>
    <t>Rohit Chandrashekhar Khaire</t>
  </si>
  <si>
    <t>rohitckhaire02@gmail.com</t>
  </si>
  <si>
    <t>p25700267@student.nicmar.ac.in</t>
  </si>
  <si>
    <t>08-Oct-2002</t>
  </si>
  <si>
    <t>2212 7119 4993</t>
  </si>
  <si>
    <t>CENTRAL GOVERNMENT SERVANT</t>
  </si>
  <si>
    <t>Savata Niwas, F-118, I.U.D.P, Manmad</t>
  </si>
  <si>
    <t>KAVI RABINDRANATH TAGORE ENGLISH MEDIUM SCHOOL, MANMAD</t>
  </si>
  <si>
    <t>MADHYA RAILWAY MADHYAMIK VIDYALAYA, MANMAD</t>
  </si>
  <si>
    <t>VISHWAKARMA INSTITUTE OF INFORMATION TECHNOLOGY, PUNE</t>
  </si>
  <si>
    <t>AutoCAD,MS Office,MS Project,Revit Architech,Revit Structure, Primavera, CostX</t>
  </si>
  <si>
    <t>Impact Infraheights PVT.LTD | Site Execution | Pune | May 2026 | Jul 2026 | 8.7142857142857 Weeks | Campus Internship
Joshi vastu consultant | Site Execution &amp; Controls | Wagholi, pune | Jan 2024 | May 2024 | 19.428571428571 Weeks</t>
  </si>
  <si>
    <t>Revit structure and architect
Autocad
Maharashtra state certificate in information technology (MS-CIT)</t>
  </si>
  <si>
    <t>P25700268</t>
  </si>
  <si>
    <t>GEETANSH</t>
  </si>
  <si>
    <t>AGNIHOTRI</t>
  </si>
  <si>
    <t>Geetansh Agnihotri</t>
  </si>
  <si>
    <t>geetansh12agni@gmail.com</t>
  </si>
  <si>
    <t>p25700268@student.nicmar.ac.in</t>
  </si>
  <si>
    <t>12-Aug-2003</t>
  </si>
  <si>
    <t>7505 3945 2007</t>
  </si>
  <si>
    <t>VIJAY AGNIHOTRI</t>
  </si>
  <si>
    <t>LOCO PILOT IN SECR</t>
  </si>
  <si>
    <t>KAJAL AGNIHOTRI</t>
  </si>
  <si>
    <t>T.G.T. TEACHER</t>
  </si>
  <si>
    <t>A 2 , Phase 2 , Sai Dham Colony, Torwa, Bilaspur , Chhattisgarh</t>
  </si>
  <si>
    <t>ST. FRANCIS HIGHER SECONDARY SCHOOL</t>
  </si>
  <si>
    <t>C.B.S.E.</t>
  </si>
  <si>
    <t>COLONELS ACADEMY OF RADIANT EDUCATION PUBLIC SCHOOL</t>
  </si>
  <si>
    <t>SRM INSTITUTE OF SCIENCE AND TECHNOLOGY , UNIVERSITY IN CHENNAI, TAMIL NADU</t>
  </si>
  <si>
    <t>Evita Construtions | Site Intern | Chennai - Oragadam | Dec 2023 | Dec 2023 | 3.7142857142857 Weeks</t>
  </si>
  <si>
    <t>Finlatics Equity Market Analyst
Revit Architecture
NPTEL Ethics in Engineering Practice
Finance for Non-Finance Managers
Foundation of Project Management
The Construction Industry: The Way Forward
Construction Finance
Construction Cost Estimating and Cost Control
Construction Scheduling
Construction Project Management
Construction Management</t>
  </si>
  <si>
    <t>P25700269</t>
  </si>
  <si>
    <t>Shubham Gupta</t>
  </si>
  <si>
    <t>shubhamgupta200058@gmail.com</t>
  </si>
  <si>
    <t>p25700269@student.nicmar.ac.in</t>
  </si>
  <si>
    <t>10-Apr-2000</t>
  </si>
  <si>
    <t>2022 0096 0869</t>
  </si>
  <si>
    <t>HARISH GUPTA</t>
  </si>
  <si>
    <t>MANJU GUPTA</t>
  </si>
  <si>
    <t>13/112, Beside Radha Krishna Temple, Kilaward, Juna Bilaspur, Bilaspur.</t>
  </si>
  <si>
    <t>MAHARISHI VIDYA MANDIR BILASPUR</t>
  </si>
  <si>
    <t>CHHATTISGARH SWAMI VIVEKANAND TECHNICAL UNIVERSITY DURG</t>
  </si>
  <si>
    <t>SHRI SHANKARACHARYA TECHNICAL CAMPUS BHILAI, CHHATTISGARH</t>
  </si>
  <si>
    <t>Savvy infrastructure pvt ltd | Cost management intern. | Gandhi Nagar, Gujarat  | May 2026 | Jul 2026 | 8.7142857142857 Weeks | Campus Internship
PUBLIC WORK DEPARTMENT | INTERN | BILASPUR CHHATTISGARH | Sep 2021 | Oct 2021 | 4.8571428571429 Weeks</t>
  </si>
  <si>
    <t>P25700270</t>
  </si>
  <si>
    <t>MANYA</t>
  </si>
  <si>
    <t>MADHU</t>
  </si>
  <si>
    <t>Manya Madhu</t>
  </si>
  <si>
    <t>manyamadhu04@gmail.com</t>
  </si>
  <si>
    <t>p25700270@student.nicmar.ac.in</t>
  </si>
  <si>
    <t>21-Jun-2003</t>
  </si>
  <si>
    <t>8757 9420 6112</t>
  </si>
  <si>
    <t>MADHU KRISHNAN</t>
  </si>
  <si>
    <t>ANITHA MADHU</t>
  </si>
  <si>
    <t>217, Shyam Nagar NX, Near Abhinandan Nagar, Shukhliya</t>
  </si>
  <si>
    <t>ST. VINCENT PALLOTTI SCHOOL</t>
  </si>
  <si>
    <t>INDORE, MADHYA PRADESH</t>
  </si>
  <si>
    <t>SICA SENIOR SECONDARY SCHOOL</t>
  </si>
  <si>
    <t>RAJIV GANDHI PROUDYOGIKI VISHWAVIDHALAYA</t>
  </si>
  <si>
    <t>IPS ACADEMY, INSTITUTE OF ENGINEERING AND SCIENCE, INDORE, M.P</t>
  </si>
  <si>
    <t>PD AGRAWAL CONSTRUCTION COMPANY INDORE | INTERN | INDORE | Jun 2023 | Jun 2023 | 4.1428571428571 Weeks
CSIR-NIIST THIRUVANANTHAPURAM | RESEARCH INTERN | THIRUVANANTHAPURAM | May 2024 | Jul 2024 | 7.2857142857143 Weeks</t>
  </si>
  <si>
    <t>P25700271</t>
  </si>
  <si>
    <t>SANSKRUTI</t>
  </si>
  <si>
    <t>Sanskruti Sanjay Jadhav</t>
  </si>
  <si>
    <t>sanskrutijadhav679@gmail.com</t>
  </si>
  <si>
    <t>p25700271@student.nicmar.ac.in</t>
  </si>
  <si>
    <t>30-Jul-2002</t>
  </si>
  <si>
    <t>2941 8530 2780</t>
  </si>
  <si>
    <t>SANJAY JADHAV</t>
  </si>
  <si>
    <t>GOLDSMITH</t>
  </si>
  <si>
    <t>VAISHALI JADHAV</t>
  </si>
  <si>
    <t>1145, 'B' Ward, Potnis Bol, Mirajkar Tikati , Mangalwar Peth, Kolhapur, 416012</t>
  </si>
  <si>
    <t>HOLY CROSS CONVENT HIGH SCHOOL, KOLHAPUR</t>
  </si>
  <si>
    <t>MAHARASHTRA STATE BOARD OF SECONDARY AND HIGHER SECONDARY EDUCATION, PUNE (KOLHAPUR DIVISIONAL BOARD)</t>
  </si>
  <si>
    <t>THE NEW COLLEGE, KOLHAPUR</t>
  </si>
  <si>
    <t>COLLEGE OF ARCHITECTURE, KOLHAPUR</t>
  </si>
  <si>
    <t>ENVIARCH | INTERN ARCHITECT | BANGALORE  | Jan 2024 | May 2024 | 19.571428571429 Weeks</t>
  </si>
  <si>
    <t>P25700272</t>
  </si>
  <si>
    <t>SOHAM</t>
  </si>
  <si>
    <t>RAJENDRA</t>
  </si>
  <si>
    <t>Soham Rajendra Jadhav</t>
  </si>
  <si>
    <t>sohamj2706@gmail.com</t>
  </si>
  <si>
    <t>p25700272@student.nicmar.ac.in</t>
  </si>
  <si>
    <t>20-Dec-2003</t>
  </si>
  <si>
    <t>5213 6105 2508</t>
  </si>
  <si>
    <t>RAJENDRA KRUSHNAJI JADHAV</t>
  </si>
  <si>
    <t>SMITA RAJENDRA JADHAV</t>
  </si>
  <si>
    <t>Flat No B-506 YASHWIN SOCIETY, Yashwin Rd, Shri Ram Nagar, Sus, Pune, MaharashtraÂ 411021</t>
  </si>
  <si>
    <t>ANAND NIKETAN</t>
  </si>
  <si>
    <t>STATE BOARD OF SECONDARY AND HIGHER SECONDARY EDUCATION, PUNE</t>
  </si>
  <si>
    <t>K.K.WAGH POLYTECHNIC, NASHIK</t>
  </si>
  <si>
    <t>BHARATI VIDYAPEETH'S COLLEGE OF ENGINEERING, LAVALE</t>
  </si>
  <si>
    <t>AutoCAD,MS Office,MS Project,Primavera,MS Excel,CostX,REVIT,CANVA,Power BI</t>
  </si>
  <si>
    <t>Samraat group project | Intern  | Nashik  | Dec 2023 | Jan 2024 | 4.4285714285714 Weeks</t>
  </si>
  <si>
    <t>Factors affecting real estate property rates
IRJET Publication certificate</t>
  </si>
  <si>
    <t>P25700273</t>
  </si>
  <si>
    <t>SUTHIKSAN</t>
  </si>
  <si>
    <t>RAM</t>
  </si>
  <si>
    <t>J S</t>
  </si>
  <si>
    <t>Suthiksan Ram J S</t>
  </si>
  <si>
    <t>suthiksenthil@icloud.com</t>
  </si>
  <si>
    <t>p25700273@student.nicmar.ac.in</t>
  </si>
  <si>
    <t>10-Jul-2004</t>
  </si>
  <si>
    <t>English, Tamil</t>
  </si>
  <si>
    <t>6507 9914 6357</t>
  </si>
  <si>
    <t>SENTHIL C</t>
  </si>
  <si>
    <t>SAVITHA K</t>
  </si>
  <si>
    <t>76/1, Kavery Avenue, MDS Nagar, Hasthampatti, Salem- 636007</t>
  </si>
  <si>
    <t>SENTHIL PUBLIC SCHOOL</t>
  </si>
  <si>
    <t>CENTRAL BOARD OF SECONDARY EDUCATION, SALEM/TAMILNADU</t>
  </si>
  <si>
    <t>HOLYCROSS MATRICULATION HIGHER SECONDARY SCHOOL</t>
  </si>
  <si>
    <t>STATE BOARD OF SCHOOL EXAMINATIONS, SALEM/TAMILNADU</t>
  </si>
  <si>
    <t>SONA COLLEGE OF TECHNOLOGY, SALEM/TAMILNADU</t>
  </si>
  <si>
    <t>RK&amp; SONS CONSTRUCTION | CONSTRUCTION OF BUFFER PARKING YARD AT CHENNAI PORT TRUST | CHENNAI PORT TRUST | Jun 2024 | Aug 2024 | 9.8571428571429 Weeks</t>
  </si>
  <si>
    <t>P25700274</t>
  </si>
  <si>
    <t>AARTI</t>
  </si>
  <si>
    <t>VITTHAL</t>
  </si>
  <si>
    <t>GANESHKAR</t>
  </si>
  <si>
    <t>Aarti Vitthal Ganeshkar</t>
  </si>
  <si>
    <t>aartiganeshkar002004@gmail.com</t>
  </si>
  <si>
    <t>p25700274@student.nicmar.ac.in</t>
  </si>
  <si>
    <t>01-Mar-2004</t>
  </si>
  <si>
    <t>6642 2600 0759</t>
  </si>
  <si>
    <t>VITTHAL SUKHADEV GANESHKAR</t>
  </si>
  <si>
    <t>AASHA VITTHAL GANESHKAR</t>
  </si>
  <si>
    <t>168 B Shreenath Colony Sadar Bazar Satara</t>
  </si>
  <si>
    <t>AADARSH VIDYAMANDIR SATARA</t>
  </si>
  <si>
    <t>YASHAVANTRAO CHAVAN INSTITUTE OF SCIENCE, SATARA</t>
  </si>
  <si>
    <t>DR. BABASAHEB AMBEDKAR TECHNOLOGICAL UNIVERSITY LONERE</t>
  </si>
  <si>
    <t>KARMAVEER BHAURAO PATIL COLLEGE OF ENGINEERING, SATARA</t>
  </si>
  <si>
    <t>AutoCAD,MS Office,MS Project,Staad-Pro,MS Excel</t>
  </si>
  <si>
    <t>Bhajan Infra Tech Pvt. Ltd. | Project Coordination Intern  | Surat | May 2026 | Jun 2026 | 7.7142857142857 Weeks | Campus Internship
BUILD TECH HOMES | INTERN | Satara, Maharashtra | Jul 2023 | Aug 2023 | 7.1428571428571 Weeks</t>
  </si>
  <si>
    <t>P25700275</t>
  </si>
  <si>
    <t>MUNISH</t>
  </si>
  <si>
    <t>RANA</t>
  </si>
  <si>
    <t>Munish Rana</t>
  </si>
  <si>
    <t>munishranasmr52@gmail.com</t>
  </si>
  <si>
    <t>p25700275@student.nicmar.ac.in</t>
  </si>
  <si>
    <t>Hindi, English, Punjabi</t>
  </si>
  <si>
    <t>3389 7916 6746</t>
  </si>
  <si>
    <t>MAN SINGH RANA</t>
  </si>
  <si>
    <t>SHANTA RANA</t>
  </si>
  <si>
    <t>1456_x000D_
Dashmesh Nagar_x000D_
Near Church</t>
  </si>
  <si>
    <t>Mohali</t>
  </si>
  <si>
    <t>DAV PUBLIC SCHOOL, CHANDIGARH</t>
  </si>
  <si>
    <t>BAL NIKETAN MODEL SENIOR SECONDARY SCHOOL</t>
  </si>
  <si>
    <t>IK GUJRAL PUNJAB TECHNICAL UNIVERSITY</t>
  </si>
  <si>
    <t>GURU NANAK DEV ENGINEERING COLLEGE, LUDHIANA</t>
  </si>
  <si>
    <t>AutoCAD,MS Office,MS Project,Primavera,EPANET,REVIT,COST X,CIVIL Storm</t>
  </si>
  <si>
    <t>WELSPUN ENTERPRISES LIMITED | INTERN | AURANGABAD, BIHAR | Sep 2023 | Dec 2023 | 14.428571428571 Weeks</t>
  </si>
  <si>
    <t>P25700277</t>
  </si>
  <si>
    <t>SHYAM</t>
  </si>
  <si>
    <t>Shyam S</t>
  </si>
  <si>
    <t>shyamsudhesan@gmail.com</t>
  </si>
  <si>
    <t>p25700277@student.nicmar.ac.in</t>
  </si>
  <si>
    <t>01-Oct-1999</t>
  </si>
  <si>
    <t>9598 3547 8855</t>
  </si>
  <si>
    <t>SUDESAN G</t>
  </si>
  <si>
    <t>SOBHANA S</t>
  </si>
  <si>
    <t>Manikyamandiram, Alumkadavu P O, Kollam, Karunagappally</t>
  </si>
  <si>
    <t>SREE NARAYANA CENTRAL SCHOOL</t>
  </si>
  <si>
    <t>CBSC -KOLLAM ,KARUNAGAPPALLY</t>
  </si>
  <si>
    <t>SAINTGITS COLLAGE OF ENGINEERING</t>
  </si>
  <si>
    <t>SAINTGITS COLLAGE OF ENGINEERING,CHANGANASSERY,KOTTAYAM</t>
  </si>
  <si>
    <t>Bokhad construction | Site Engineer | Kollam, kerala | Jul 2022 | Jul 2025 | 2Y 11M | 1.85</t>
  </si>
  <si>
    <t>P25700278</t>
  </si>
  <si>
    <t>JAGDISH</t>
  </si>
  <si>
    <t>DIDDI</t>
  </si>
  <si>
    <t>Nikhil Jagdish Diddi</t>
  </si>
  <si>
    <t>nikhildiddi730@gmail.com</t>
  </si>
  <si>
    <t>p25700278@student.nicmar.ac.in</t>
  </si>
  <si>
    <t>English, Hindi, Marathi, Telgu</t>
  </si>
  <si>
    <t>7860 1788 0399</t>
  </si>
  <si>
    <t>JAGDISH DIDDI</t>
  </si>
  <si>
    <t>KAVITA DIDDI</t>
  </si>
  <si>
    <t>FLAT NO 103, RAMALAYAM APARTMENT, ASHOK CHOWK,  SOLAPUR</t>
  </si>
  <si>
    <t>370, Sakhar Peth,solaur</t>
  </si>
  <si>
    <t>ST. JOSEPH HIGH SCHOOL, SOLAPUR</t>
  </si>
  <si>
    <t>MAHARSHTRA STATE BOSARD OF SECONDARY AND HIGHER SECONDARY EDUCATION, PUNE</t>
  </si>
  <si>
    <t>KUCHAN JR. COLLEGE , SOLAPUR</t>
  </si>
  <si>
    <t>MAHARSHTRA STATE BOARD OF SECONDARY AND HIGHER SECONDARY EDUCATION , PUNE</t>
  </si>
  <si>
    <t>PUNYASHLOK AHILYADEVI HOLKAR SOLAPUR UNIVERSITY , SOLAPUR</t>
  </si>
  <si>
    <t>WALCHAND INSTITUTE OF TECHNOLOGY , SOLAPUR, MAHARASHTRA</t>
  </si>
  <si>
    <t>AutoCAD,MS Office,MS Project,Primavera,revit,sketchup,d5,Ms excel,IGBC AP Associate</t>
  </si>
  <si>
    <t>Shubh Ventures , solapur | Site engineer | Solapur  | Dec 2024 | Feb 2025 | 8.8571428571429 Weeks</t>
  </si>
  <si>
    <t>2D Drafting and Planning (Using autocad)
REVIT architecture bim level level 1</t>
  </si>
  <si>
    <t>P25700280</t>
  </si>
  <si>
    <t>ARAVIND</t>
  </si>
  <si>
    <t>THAMPI</t>
  </si>
  <si>
    <t>Aravind M Thampi</t>
  </si>
  <si>
    <t>aravindmthampi2003@gmail.com</t>
  </si>
  <si>
    <t>p25700280@student.nicmar.ac.in</t>
  </si>
  <si>
    <t>12-Mar-2003</t>
  </si>
  <si>
    <t>English, Malayalam &amp; Hindi</t>
  </si>
  <si>
    <t>5212 0674 5508</t>
  </si>
  <si>
    <t>VIKRAMAN THAMBI M P</t>
  </si>
  <si>
    <t>BINDHU THAMBI</t>
  </si>
  <si>
    <t>Mylankal House, Karimkunnam P O,Karimkunnam_x000D_
Idukki, Kerala 685586</t>
  </si>
  <si>
    <t>Idukki</t>
  </si>
  <si>
    <t>NIRMALA PUBLIC SCHOOL, PIZHAKU, KOTTAYAM</t>
  </si>
  <si>
    <t>ST. GEORGE HIGHER SECONDARY SCHOOL, MUTHALAKODAM,IDUKKI</t>
  </si>
  <si>
    <t>APJ ABDUL KALAM TECHNOLOGICAL UNIVERSITY, THIRUVANANTHAPURAM, KERALA</t>
  </si>
  <si>
    <t>AutoCAD,MS Office,MS Project,Primavera,Bentley RamConcept,CSI Column</t>
  </si>
  <si>
    <t>Goa State Infrastructure Development Corporation | Site Execution | Panaji, Goa | May 2026 | Jul 2026 | 8.7142857142857 Weeks | Campus Internship
STRANDS POST TENSION EXPERTS | Junior Structural Design Engineer | Kochi | Jul 2024 | Jun 2025 | 52 Weeks
KERALA STATE PUBLIC WORKS DEPARTMENT | Site Engineer- Intern | Kottayam | May 2023 | May 2023 | 0.57142857142857 Weeks</t>
  </si>
  <si>
    <t>ICI Membership
Traffic Studies for Sabari Rail Project
Work Readiness Program
Training on STAAD Pro CONNECT Edition
5-Days Internship in Building Information Modelling
Introduction to AutoCAD
The Fundamentals of Digital Marketing certification Exam</t>
  </si>
  <si>
    <t>P25700282</t>
  </si>
  <si>
    <t>RESHMA</t>
  </si>
  <si>
    <t>CHANDRAN</t>
  </si>
  <si>
    <t>Reshma S Chandran</t>
  </si>
  <si>
    <t>reshmaspillai2001@gmail.com</t>
  </si>
  <si>
    <t>p25700282@student.nicmar.ac.in</t>
  </si>
  <si>
    <t>English and Malayalam</t>
  </si>
  <si>
    <t>7398 2008 0857</t>
  </si>
  <si>
    <t>SUNIL CHANDRAN</t>
  </si>
  <si>
    <t>SAJITHA</t>
  </si>
  <si>
    <t>Puthenveettil,manakkad,vallikunnam.p.o</t>
  </si>
  <si>
    <t>HOLY TRINITY ANGLO INDIAN INTERNATIONAL SCHOOL</t>
  </si>
  <si>
    <t>INDIAN SCHOOL CERTIFICATE</t>
  </si>
  <si>
    <t>SREE BUDDHA COLLEGE OF ENGINEERING,ALAPPUZHA</t>
  </si>
  <si>
    <t>Uralungal Labour Contract Co-operative Society (ULCCS) | site execution | Ernakulam | May 2026 | Jul 2026 | 7.7142857142857 Weeks | Campus Internship
MADECKAL CONSTRUCTIONS | INTERNSHIP TRAINEE | KOCHI | Jul 2024 | Jul 2024 | 1 Weeks</t>
  </si>
  <si>
    <t>Data analysis
Finance for Non-Financial Managers
NPTEL</t>
  </si>
  <si>
    <t>P25700283</t>
  </si>
  <si>
    <t>MUKUNDRAO</t>
  </si>
  <si>
    <t>GAMBHIRE</t>
  </si>
  <si>
    <t>Vinod Mukundrao Gambhire</t>
  </si>
  <si>
    <t>vrgambhire1722424@gmail.com</t>
  </si>
  <si>
    <t>p25700283@student.nicmar.ac.in</t>
  </si>
  <si>
    <t>01-Jun-2001</t>
  </si>
  <si>
    <t>other</t>
  </si>
  <si>
    <t>8981 1619 5022</t>
  </si>
  <si>
    <t>MUKUND SHANKARRAO GAMBHIRE</t>
  </si>
  <si>
    <t>MOHINI</t>
  </si>
  <si>
    <t>FLAT NO.305,TOWER 1,KOHINOOR CORAL, OPPOSITE TCS GATE NO. 2 HINJAWADI PHASE 3</t>
  </si>
  <si>
    <t>Vaiibhav Niwas, Near Gurkha Maroti Mandir, Jawala Bazar</t>
  </si>
  <si>
    <t>Hingoli</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</si>
  <si>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</si>
  <si>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</si>
  <si>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</si>
  <si>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</si>
  <si>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</si>
  <si>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AutoCAD,MS Office,MS Project,Power Bi,Advenced Excel,MS Project</t>
  </si>
  <si>
    <t>Pramukh Omkar Group | Civil Engineer Intern | Randesan, Gandhinagar | May 2026 | Jul 2026 | 8.7142857142857 Weeks | Campus Internship</t>
  </si>
  <si>
    <t>Microsoft Excel - Excel from Beginner to Advanced
Microsoft Power BI Desktop for Business Intelligence(2023)
Ultimate Microsoft Office;Excel,Word,PowerPoint &amp; Access
The Complete AutoCad 2020 2D + 3D Course
Finance for non-Financial Managers
IGBC Accredited Professional - Associate
AI in Construction Program
Advanced Communication
Data Analysis
Autodesk Revit</t>
  </si>
  <si>
    <t>P25700284</t>
  </si>
  <si>
    <t>SUJAL</t>
  </si>
  <si>
    <t>CHANDAN</t>
  </si>
  <si>
    <t>SUWARANI</t>
  </si>
  <si>
    <t>Sujal Chandan Suwarani</t>
  </si>
  <si>
    <t>suwaranisujal45@gmail.com</t>
  </si>
  <si>
    <t>p25700284@student.nicmar.ac.in</t>
  </si>
  <si>
    <t>07-May-2002</t>
  </si>
  <si>
    <t>6725 6576 4701</t>
  </si>
  <si>
    <t>CHANDAN SUWARANI</t>
  </si>
  <si>
    <t>VEENA SUWARANI</t>
  </si>
  <si>
    <t>NICMAR HOSTEL GATE NO. 2, BALEWADI, PUNE</t>
  </si>
  <si>
    <t>Plot No. 76 Tulsi Nagar, Near Shantinagar Colony, Nagpur- 440002</t>
  </si>
  <si>
    <t>ST. JOHN'S HIGH SCHOOL</t>
  </si>
  <si>
    <t>NAMO NARAYANI JUNIOR COLLEGE</t>
  </si>
  <si>
    <t>G.H. RAISONI COLLEGE OF ENGINEERING, NAGPUR</t>
  </si>
  <si>
    <t>AutoCAD,MS Office,MS Project,Primavera,Revit,Navisworks,Bluebeam</t>
  </si>
  <si>
    <t>B.G. Shirke Construction Technology Pvt. Ltd. | Management Trainee | Nagpur | May 2026 | Jul 2026 | 9.7142857142857 Weeks | Campus Internship
Ulhas Enterprises (Government contractor of NMC) | Site Engineer Trainee | Nagpur | May 2022 | Jun 2022 | 4.4285714285714 Weeks
LG Developers and Builders | Site Engineer Trainee | Nagpur | Dec 2023 | Jun 2024 | 26.142857142857 Weeks</t>
  </si>
  <si>
    <t>BIM Engineer</t>
  </si>
  <si>
    <t>P25700285</t>
  </si>
  <si>
    <t>PEDNEKAR</t>
  </si>
  <si>
    <t>Omkar Vilas Pednekar</t>
  </si>
  <si>
    <t>ompednekar10@gmail.com</t>
  </si>
  <si>
    <t>p25700285@student.nicmar.ac.in</t>
  </si>
  <si>
    <t>16-Dec-2003</t>
  </si>
  <si>
    <t>6790 2439 1365</t>
  </si>
  <si>
    <t>VILAS PEDNEKAR</t>
  </si>
  <si>
    <t>RETRIED FROM CENTRAL RAILWAY (LOCO PILOT)</t>
  </si>
  <si>
    <t>VAISHAKHI</t>
  </si>
  <si>
    <t>ACCOUNT OFFICER IN BMC</t>
  </si>
  <si>
    <t>B/805, Astral, Mahavir Universe, L.B.S Marg, Bhandup West, Mumbai 400078</t>
  </si>
  <si>
    <t>PARAG ENGLISH SCHOOL</t>
  </si>
  <si>
    <t>MUMBAI / MAHARASHTRA</t>
  </si>
  <si>
    <t>VIVEKANAND EDUCATION SOCIETY POLYTECHNIC, MUMBAI / MAHARASHTRA</t>
  </si>
  <si>
    <t>DATTA MEGHE COLLEGE OF ENGINEERING, MUMBAI / MAHARASHTRA</t>
  </si>
  <si>
    <t>Moraj AHN Developer LLP | Project Execution &amp; Planning Intern | Moraj Opulence, Mahim, Mumbai | May 2026 | Jul 2026 | 8.7142857142857 Weeks | Campus Internship
NCC-SMC (SATIS) JV | Trainee Internship | Existing Thane Railway Station (East) | Dec 2024 | Jan 2025 | 4.4285714285714 Weeks
Damji Shamji Shah Group | Trainee Engineer |  Thane West | Dec 2022 | Mar 2023 | 12.857142857143 Weeks</t>
  </si>
  <si>
    <t>AutoCAD-2D ( Civil Engineers / Architectures / Interior Designers )
Milestone 2024, in Sport Committee as a Event Managing Head
International Journal Of Current Science, IJCS Publication
Technical Paper Presentation
National Level Project &amp; Paper Presentation Competition
Research Paper (ICMACET-2025), Titled: Influence of Nano Material on the Properties of High Performance Self-Compaction Concrete</t>
  </si>
  <si>
    <t>P25700286</t>
  </si>
  <si>
    <t>KRISHNAN</t>
  </si>
  <si>
    <t>Gokul Krishnan M</t>
  </si>
  <si>
    <t>gkalltheday@gmail.com</t>
  </si>
  <si>
    <t>p25700286@student.nicmar.ac.in</t>
  </si>
  <si>
    <t>14-May-2003</t>
  </si>
  <si>
    <t>5956 9867 8633</t>
  </si>
  <si>
    <t>MADHUSOODANAN PILLAI S</t>
  </si>
  <si>
    <t>ELECTRICAL CONTRACTOR</t>
  </si>
  <si>
    <t>GIRIJAKUMARY</t>
  </si>
  <si>
    <t>FOOTBALL COACH</t>
  </si>
  <si>
    <t>EARICKAL YADUKULAM ,MEKKUMMURI,THAMARAKULAM PO,690530,ALAPPUZHA</t>
  </si>
  <si>
    <t>VHSS CHATHIYARA</t>
  </si>
  <si>
    <t>BOARD OF PUBLIC EXAMINATIONS, KERALA</t>
  </si>
  <si>
    <t>BOARD OF HIGHER SECONDARY EXAMINATIONS, GOVERNMENT OF KERALA</t>
  </si>
  <si>
    <t>RAJIV GANDHI INSTITUTE OF TECHNOLOGY KOTTAYAM</t>
  </si>
  <si>
    <t>Uralungal Labour Contract Co-operative Society (ULCCS) | Site Execution | Ernakulam | May 2026 | Jul 2026 | 7.7142857142857 Weeks | Campus Internship</t>
  </si>
  <si>
    <t>P25700287</t>
  </si>
  <si>
    <t>DNYANDEO</t>
  </si>
  <si>
    <t>BIRARI</t>
  </si>
  <si>
    <t>Satyam Dnyandeo Birari</t>
  </si>
  <si>
    <t>satyambirari16@gmail.com</t>
  </si>
  <si>
    <t>p25700287@student.nicmar.ac.in</t>
  </si>
  <si>
    <t>01-Jun-1999</t>
  </si>
  <si>
    <t>8922 1527 1114</t>
  </si>
  <si>
    <t>DNYANDEO GANPAT BIRARI</t>
  </si>
  <si>
    <t>LATA DNYANDEO BIRARI</t>
  </si>
  <si>
    <t>Ambika Nagar,kotamgaon Road ,lasalgaon</t>
  </si>
  <si>
    <t>LOKNETE DATTAJI PATIL VIDYALAY LASALGAON</t>
  </si>
  <si>
    <t>K.K WAGH INSTITUTE OF ENGINEERING AND RESEARCH,NASHIK</t>
  </si>
  <si>
    <t>Saivaishnavi buildcon | Site execution and control | Nashik | Jun 2023 | Sep 2023 | 0Y 3M | 0.08
Harsh constructions | Quantity Surveying and billing | mumbai | Oct 2023 | May 2025 | 1Y 7M | 0.2</t>
  </si>
  <si>
    <t>SOBHA LIMITED | Project Planning Intern  | Sobha Infinia Koramangala,Banglore Karnataka | May 2026 | Jul 2026 | 9 Weeks | Campus Internship
VIGHNESH CONSTRUCTIONS | Site Execution and Control | LASALGAON | Mar 2022 | Feb 2023 | 48.571428571429 Weeks</t>
  </si>
  <si>
    <t>Internship training of construction skill development
Autocad +Revit+3ds max</t>
  </si>
  <si>
    <t>P25700288</t>
  </si>
  <si>
    <t>ARYA</t>
  </si>
  <si>
    <t>Atul Arya</t>
  </si>
  <si>
    <t>arya.atul0@gmail.com</t>
  </si>
  <si>
    <t>p25700288@student.nicmar.ac.in</t>
  </si>
  <si>
    <t>23-Jun-2000</t>
  </si>
  <si>
    <t>3740 5384 3786</t>
  </si>
  <si>
    <t>AMRENDRA KUMAR</t>
  </si>
  <si>
    <t>ARCHANA KUMARI</t>
  </si>
  <si>
    <t>191, Sreerampur Road North,_x000D_
Garia, South 24 Parganas, West Bengal-700084</t>
  </si>
  <si>
    <t>DELHI PUBLIC SCHOOL, RUBY PARK, KOLKATA</t>
  </si>
  <si>
    <t>CBSE, KOLKATA</t>
  </si>
  <si>
    <t>HERITAGE INSTITUTE OF TECHNOLOGY, KOLKATA, WEST BENGAL</t>
  </si>
  <si>
    <t>Advanced MS Excel, Power BI, MS Office Suite, AutoCAD, AutoCAD 3D, MS Projects, Primavera P6</t>
  </si>
  <si>
    <t>Satish Aggarwal &amp; Co. | G.E.T followed by Billing Engineer | Kathua, Jammu &amp;amp;amp; Kashmir | Jul 2023 | Feb 2025 | 1Y 6M | 3.96
NIKHIL GROUP | Billing Engineer-Q.S. | Mangaon, Maharashtra | Feb 2025 | Mar 2025 | 0Y 1M | 4.12</t>
  </si>
  <si>
    <t>State Highway Authority of Jharkhand | Industrial Trainee | Dhanbad | Jul 2022 | Aug 2022 | 4.2857142857143 Weeks</t>
  </si>
  <si>
    <t>Project Management with Prima Vera P6
Power BI for Beginners: Interactive Dashboard Fundamentals
PMI Essentials: Seven AI Project Patterns
SAP PS (Project System)
Geometric and Traffic Aspects of Highway
Procore Certified: Project Manager (Core Tools)
Complete Microsoft Advanced Excel</t>
  </si>
  <si>
    <t>P25700289</t>
  </si>
  <si>
    <t>CHETANA</t>
  </si>
  <si>
    <t>DILIPRAO</t>
  </si>
  <si>
    <t>UGE</t>
  </si>
  <si>
    <t>Chetana Diliprao Uge</t>
  </si>
  <si>
    <t>chetanauge@gmail.com</t>
  </si>
  <si>
    <t>p25700289@student.nicmar.ac.in</t>
  </si>
  <si>
    <t>24-Jul-2000</t>
  </si>
  <si>
    <t>3560 1826 1320</t>
  </si>
  <si>
    <t>RETIRED GOVERNMENT SERVANT</t>
  </si>
  <si>
    <t>SANGITA UGE</t>
  </si>
  <si>
    <t>89, Revti Nagar, Besa, Nagpur</t>
  </si>
  <si>
    <t>SOMALWAR HIGH SCHOOL RAMDASPETH, NAGPUR</t>
  </si>
  <si>
    <t>SHIVAJI SCIENCE COLLEGE, NAGPUR</t>
  </si>
  <si>
    <t>COEP TECHNOLOGICAL UNIVERSITY</t>
  </si>
  <si>
    <t>MBA</t>
  </si>
  <si>
    <t>AutoCAD,MS Office,MS Project,Primavera,BIM</t>
  </si>
  <si>
    <t>P.K. Nagrare Construction | Junior Site Engineer | Nagpur | Feb 2023 | May 2023 | 13.285714285714 Weeks</t>
  </si>
  <si>
    <t>P25700290</t>
  </si>
  <si>
    <t>RAUT</t>
  </si>
  <si>
    <t>Soham Satish Raut</t>
  </si>
  <si>
    <t>sohamraut22@gmail.com</t>
  </si>
  <si>
    <t>p25700290@student.nicmar.ac.in</t>
  </si>
  <si>
    <t>22-Aug-1999</t>
  </si>
  <si>
    <t>8829 7613 5494</t>
  </si>
  <si>
    <t>SATISH RAUT</t>
  </si>
  <si>
    <t>SONALI RAUT</t>
  </si>
  <si>
    <t>FLAT NO. 6, SIDDHI APARTMENT, NEAR WARJE BRIDGE</t>
  </si>
  <si>
    <t>Prabhag No. 1, Bayja Bhavan, House No. 12-B, Butibori</t>
  </si>
  <si>
    <t>ST. CLARET SCHOOL</t>
  </si>
  <si>
    <t>YESHWANTRAO CHAVAN COLLEGE OF ENGINEERING (YCCE), MAHARASHTRA</t>
  </si>
  <si>
    <t>AutoCAD,MS Office,MS Project,Primavera,Autodesk Revit</t>
  </si>
  <si>
    <t>TRIAA Housing | Jr Site Engineer | Pune | Jan 2024 | Jun 2025 | 1Y 5M | 3.6</t>
  </si>
  <si>
    <t>Malani Group-Real Estate Division | Executive-Contracts Management | Pune | May 2026 | Jul 2026 | 8.5714285714286 Weeks | Campus Internship
Pune Municipal Corporation | Trainee Engineer | Pune | Jul 2022 | Jul 2023 | 52.142857142857 Weeks
Maharashtra Metro Rail Corporation Limited | Intern | Nagpur | Feb 2021 | Mar 2021 | 6 Weeks</t>
  </si>
  <si>
    <t>P25700291</t>
  </si>
  <si>
    <t>BIYANI</t>
  </si>
  <si>
    <t>Darshan Ashok Biyani</t>
  </si>
  <si>
    <t>dbiyani19@gmail.com</t>
  </si>
  <si>
    <t>p25700291@student.nicmar.ac.in</t>
  </si>
  <si>
    <t>19-Dec-2000</t>
  </si>
  <si>
    <t>ENGLISH, HINDI, MARATHI, MARWADI</t>
  </si>
  <si>
    <t>3367 9974 2298</t>
  </si>
  <si>
    <t>SARITA</t>
  </si>
  <si>
    <t>108, Krushna Kunj, Shivaji Chowk, Khalapur, Raigarh, Maharashtra, 410202</t>
  </si>
  <si>
    <t>G.J.M. ENGLISH MEDIUM SCHOOL</t>
  </si>
  <si>
    <t>RAIGAD,MAHARASHTRA</t>
  </si>
  <si>
    <t>AIROLI, NAVI MUMBAI</t>
  </si>
  <si>
    <t>AutoCAD,MS Office,MS Project,STAAD PRO,MATCAD,NAVISWORK,MAT3D,FOUNDATION 3D,RCDC,CAT</t>
  </si>
  <si>
    <t>MAIRE TECNIMONT | ENGINEER (CIVIL) | Malad | Jul 2023 | Jun 2025 | 1Y 11M | 7.06</t>
  </si>
  <si>
    <t>EMBASSY DEVELOPMENT LIMITED | CONSTRUCTION | SAVROLI | May 2026 | Jul 2026 | 8.5714285714286 Weeks | Campus Internship
REAL INFRASTRUCTURE | TRAINEE ENGINEER | NASHIK | Jun 2022 | Jul 2022 | 4.2857142857143 Weeks
D.G. JAKHOTIA | SITE ENGINEER TRAINEE | KHOPOLI, RAIGAD | Jun 2020 | Sep 2021 | 65.142857142857 Weeks
ADVENT MANAGEMENT CONSULTANCY | INTERN (SITE SUPERVISOR) | KHOPOLI, RAIGAD | May 2019 | Jun 2019 | 5.8571428571429 Weeks</t>
  </si>
  <si>
    <t>P25700292</t>
  </si>
  <si>
    <t>ASFIYA</t>
  </si>
  <si>
    <t>Asfiya Khan</t>
  </si>
  <si>
    <t>asfk1262@gmail.com</t>
  </si>
  <si>
    <t>p25700292@student.nicmar.ac.in</t>
  </si>
  <si>
    <t>12-Jun-2002</t>
  </si>
  <si>
    <t>2959 2957 7786</t>
  </si>
  <si>
    <t>MOHAMMED HANEEF KHAN</t>
  </si>
  <si>
    <t>ZUBERA KHAN</t>
  </si>
  <si>
    <t>B-201,Green Heights</t>
  </si>
  <si>
    <t>Rajnandgaon</t>
  </si>
  <si>
    <t>NEERAJ PUBLIC SCHOOL</t>
  </si>
  <si>
    <t>CBSE, RAJNANDGAON,CHHATTISGARH</t>
  </si>
  <si>
    <t>YUGANTAR PUBLIC SCHOOL</t>
  </si>
  <si>
    <t>CBSE ,RAJNANDGAON,CHHATTISGARH</t>
  </si>
  <si>
    <t>SHRI SHANKARACHARYA TECHNICAL CAMPUS, BHILAI,CHHATTISGARH</t>
  </si>
  <si>
    <t>AutoCAD,MS Project,REVIT,STAADPRO</t>
  </si>
  <si>
    <t>Godrej Properties Limited | Summersault Operations Intern | Mumbai | May 2026 | Jul 2026 | 8.7142857142857 Weeks | Campus Internship</t>
  </si>
  <si>
    <t>P25700293</t>
  </si>
  <si>
    <t>SUDHIR</t>
  </si>
  <si>
    <t>PANDHARPURE</t>
  </si>
  <si>
    <t>Aishwarya Sudhir Pandharpure</t>
  </si>
  <si>
    <t>aishwaryapandharpure09@gmail.com</t>
  </si>
  <si>
    <t>p25700293@student.nicmar.ac.in</t>
  </si>
  <si>
    <t>12-Dec-2001</t>
  </si>
  <si>
    <t>Marathi, English, Hindi</t>
  </si>
  <si>
    <t>9626 5641 3440</t>
  </si>
  <si>
    <t>SAMPADA</t>
  </si>
  <si>
    <t>VISHWAMBHAR RESIDENCY MANIK BAUG, ANAND NAGAR,PUNE</t>
  </si>
  <si>
    <t>195 Gajanan Housing Society Karad -415124</t>
  </si>
  <si>
    <t>LAHOTI KANAYA PRASHALA KARAD.</t>
  </si>
  <si>
    <t>MAHARASHTRA STATE BOARD OF SECONDARY AND HIGHER SECONDARY EDUCATION,  DIVISIONAL BOARD - KOLHAPUR.</t>
  </si>
  <si>
    <t>YASHWANTRAO CHAVAN COLLEGE OF SCIENCE , KARAD</t>
  </si>
  <si>
    <t>ALL INDIA SHRI SHIVAJI MEMORIAL SOCIETY, PUNE</t>
  </si>
  <si>
    <t>AutoCAD,MS Office,MS Project,Primavera,REVIT,Quantity Surveying using MS-Excel</t>
  </si>
  <si>
    <t>Shobha limited  | Cost control  | Bengaluru  | May 2026 | Jul 2026 | 9 Weeks | Campus Internship
SKAF CONSTRUCTION PVT.LTD. | QUANTITY SURVEYOR | PUNE | Feb 2025 | Jun 2025 | 21.285714285714 Weeks
Gamlaa bioscapes | Landscaping Designer | Pune | Mar 2024 | Jun 2024 | 13.142857142857 Weeks</t>
  </si>
  <si>
    <t>P25700294</t>
  </si>
  <si>
    <t>KAUSHIK</t>
  </si>
  <si>
    <t>SRINIVAS</t>
  </si>
  <si>
    <t>GUMMADI</t>
  </si>
  <si>
    <t>Kaushik Srinivas Gummadi</t>
  </si>
  <si>
    <t>ksgimp323@gmail.com</t>
  </si>
  <si>
    <t>p25700294@student.nicmar.ac.in</t>
  </si>
  <si>
    <t>03-Feb-2003</t>
  </si>
  <si>
    <t>English,Hindi,Telugu,Marathi</t>
  </si>
  <si>
    <t>3354 9635 6912</t>
  </si>
  <si>
    <t>KIRANJYOTHI</t>
  </si>
  <si>
    <t>C2-901, Siyona Apartments, Katraj-Dehu, Punawale, Pune</t>
  </si>
  <si>
    <t>APPASAHEB BIRNALE PUBLIC SCHOOL</t>
  </si>
  <si>
    <t>CENTRAL BOARD OF SECONDARY EDUCATION, SANGLI</t>
  </si>
  <si>
    <t>SRM INSTITUTE OF SCIENCE AND TECHNOLOGY, KATTANKULATHUR</t>
  </si>
  <si>
    <t>AutoCAD,MS Office,MS Project,Primavera,Staad pro</t>
  </si>
  <si>
    <t>Akruti Enterprises | Site Engineer  | Hadapsar  | Jun 2024 | Jul 2025 | 1Y 1M | 6</t>
  </si>
  <si>
    <t>Skillvertex | Intern | Online  | Mar 2022 | Apr 2022 | 4.4285714285714 Weeks</t>
  </si>
  <si>
    <t>P25700295</t>
  </si>
  <si>
    <t>MAHANAND</t>
  </si>
  <si>
    <t>Sahil Mahanand Pawar</t>
  </si>
  <si>
    <t>sahil301102@gmail.com</t>
  </si>
  <si>
    <t>p25700295@student.nicmar.ac.in</t>
  </si>
  <si>
    <t>30-Nov-2002</t>
  </si>
  <si>
    <t>9865 2010 5897</t>
  </si>
  <si>
    <t>MAHANAND PAWAR</t>
  </si>
  <si>
    <t>LIBRARIAN</t>
  </si>
  <si>
    <t>MANSI PAWAR</t>
  </si>
  <si>
    <t>A/P, Janavli, Shikshak Colony, Near Anumit Super Store, Tarandale Road, Kankavli</t>
  </si>
  <si>
    <t>Sindhudurg</t>
  </si>
  <si>
    <t>ST. URSULA SCHOOL</t>
  </si>
  <si>
    <t>GOVERNMENT POLYTECHNIC MALVAN</t>
  </si>
  <si>
    <t>TERNA ENGINEERING COLLEGE</t>
  </si>
  <si>
    <t>Pawar Patkar  Constructions Pvt. Ltd. | Trainee Engineer | Belapur, Navi-Mumbai | Dec 2024 | Jun 2025 | 0Y 6M | 1.89</t>
  </si>
  <si>
    <t>P25700296</t>
  </si>
  <si>
    <t>BHOYAR</t>
  </si>
  <si>
    <t>Harsh Rajendra Bhoyar</t>
  </si>
  <si>
    <t>bhoyarharsh012@gmail.com</t>
  </si>
  <si>
    <t>p25700296@student.nicmar.ac.in</t>
  </si>
  <si>
    <t>19-Aug-2003</t>
  </si>
  <si>
    <t>2020 6466 5902</t>
  </si>
  <si>
    <t>RAJENDRA BHOYAR</t>
  </si>
  <si>
    <t>JYOTSANA BHOYAR</t>
  </si>
  <si>
    <t>Plot No.26,Chichghare Layout Bypass Road Umred, Dist.- Nagpur</t>
  </si>
  <si>
    <t>JEEVAN VIKAS VIDHYALAYA, UMRED</t>
  </si>
  <si>
    <t>ACHARYA SHRIMANNARAYAN POLYTECHNIC PIPRI (MEGHE), WARDHA</t>
  </si>
  <si>
    <t>SINHGAD INSTITUTE OF TECHNOLOGY AND SCIENCE NARHE, PUNE</t>
  </si>
  <si>
    <t>AutoCAD,MS Office,MS Project,Primavera,BIM,CostX</t>
  </si>
  <si>
    <t>M/S M.D.BHOYAR CONSTRUCTIONS | Inten | Khapari | Dec 2023 | Jan 2024 | 3.8571428571429 Weeks</t>
  </si>
  <si>
    <t>P25700297</t>
  </si>
  <si>
    <t>AKSHITH</t>
  </si>
  <si>
    <t>BIJJALA</t>
  </si>
  <si>
    <t>Akshith Bijjala</t>
  </si>
  <si>
    <t>bijjalaakshith@gmail.com</t>
  </si>
  <si>
    <t>p25700297@student.nicmar.ac.in</t>
  </si>
  <si>
    <t>13-Jun-2003</t>
  </si>
  <si>
    <t>4858 5460 7265</t>
  </si>
  <si>
    <t>B S P C CHAKRAVARTHI</t>
  </si>
  <si>
    <t>SOFTWARE ENGINEER</t>
  </si>
  <si>
    <t>B SWAPNA</t>
  </si>
  <si>
    <t>13-6-460/34, MAHESH NAGAR COLONY, GUDIMALKAPUR, KARWAN</t>
  </si>
  <si>
    <t>13-6-463/1, Ashok Vihar_x000D_
Karwan_x000D_
Asifnagar</t>
  </si>
  <si>
    <t>NARAYANA SCHOOL</t>
  </si>
  <si>
    <t>TELANGANA</t>
  </si>
  <si>
    <t>ST. PATRICKS JUNIOR COLLAGE</t>
  </si>
  <si>
    <t>AMRITA VISHWA VIDHYAPEETHAM</t>
  </si>
  <si>
    <t>TAMIL NADU</t>
  </si>
  <si>
    <t>AutoCAD,MS Office,MS Project,Staad pro,BIM,Etabs,Sketchup</t>
  </si>
  <si>
    <t>Sagar SKYSCRAPERS LLP  | Trainee Junior Engineer | Pune | May 2026 | Jun 2026 | 8 Weeks | Campus Internship
L&amp;T edutech | Trainee  | Chennai  | Jun 2024 | Jul 2024 | 1.5714285714286 Weeks
L&amp;T edutech | Trainee  | Chennai  | Jul 2023 | Aug 2023 | 1.5714285714286 Weeks</t>
  </si>
  <si>
    <t>Design of Structural Steel Members
Principles of Construction Management
Safety for Professionals
Deep Excavation And Tunnels
Building Information Modeling
Bridge Engineering Design Practices
Concreting Techniques and Practices</t>
  </si>
  <si>
    <t>P25700298</t>
  </si>
  <si>
    <t>GOPICHAND</t>
  </si>
  <si>
    <t>Sejal Gopichand Rathod</t>
  </si>
  <si>
    <t>sejalrathod4617@gmail.com</t>
  </si>
  <si>
    <t>p25700298@student.nicmar.ac.in</t>
  </si>
  <si>
    <t>11-Jun-2002</t>
  </si>
  <si>
    <t>ENGLISH ,HINDI , MARATHI</t>
  </si>
  <si>
    <t>4703 9991 6788</t>
  </si>
  <si>
    <t>PARVATI</t>
  </si>
  <si>
    <t>N-12 D 52 / 2_x000D_
T.V Centre ,_x000D_
Hudco ,_x000D_
Near Sambhaji Statue_x000D_
Chhatrapati Sambhaji Nagar_x000D_
Maharashtra,431001_x000D_
8956224681</t>
  </si>
  <si>
    <t>SHANTINIKETAN PUBLIC SCHOOL</t>
  </si>
  <si>
    <t>BHASKARACHARYA  HIGHER SECONDARY SCHOOL</t>
  </si>
  <si>
    <t>DR. BABASAHEB AMBEDKAR MARATHWADA UNIVERSITY, CHHATRAPATI SAMBHAJINAGAR, MAHARASHTRA</t>
  </si>
  <si>
    <t>AutoCAD,MS Office,MS Project,lumion,Vray,Sketchup,Revit,html,css,MS Excel</t>
  </si>
  <si>
    <t>PrimaVerse IDC LLP | Junior Civil Engineer | Nanded City ,Pune | May 2024 | Sep 2024 | 0Y 4M | 2.4</t>
  </si>
  <si>
    <t>GVPR Engineers Limited | Intern | Chhatrapati Sambhaji Nagar | Dec 2022 | Apr 2023 | 21.428571428571 Weeks</t>
  </si>
  <si>
    <t>Construction Practice On-site
Professional Diploma In Civil CAD
Ethics in Engineering Practice
Finance For Non-Financial Manager</t>
  </si>
  <si>
    <t>P25700299</t>
  </si>
  <si>
    <t>Aditya Salve</t>
  </si>
  <si>
    <t>patiladitya542021@gmail.com</t>
  </si>
  <si>
    <t>p25700299@student.nicmar.ac.in</t>
  </si>
  <si>
    <t>Marathi, English and Hindi</t>
  </si>
  <si>
    <t>3000 6093 3518</t>
  </si>
  <si>
    <t>PADMAVATI</t>
  </si>
  <si>
    <t>1102 T3 GODREJ HILLSIDE 2 MAHALUNGE PUNE</t>
  </si>
  <si>
    <t>Mahavir Road , Sarafa Market, Sillod</t>
  </si>
  <si>
    <t>PODAR INTERNATIONAL SCHOOL, AURANGABAD</t>
  </si>
  <si>
    <t>CENTRAL BOARD OF SECONDARY EDUCATION , NEW DELHI</t>
  </si>
  <si>
    <t>DEVIDAS  GHORPADE INTERNATIONAL SCHOOL AND JR COLLEGE</t>
  </si>
  <si>
    <t>DR. BABASAHEB AMBEDKAR MARATHWADA UNIVERSITY, AURANGABAD</t>
  </si>
  <si>
    <t>GOVERNMENT COLLEGE OF ENGINEERING, AURANGABAD</t>
  </si>
  <si>
    <t>P25700300</t>
  </si>
  <si>
    <t>ADITYASINGH</t>
  </si>
  <si>
    <t>SANDIPSINGH</t>
  </si>
  <si>
    <t>MOHANE</t>
  </si>
  <si>
    <t>Adityasingh Sandipsingh Mohane</t>
  </si>
  <si>
    <t>adityamohane@gmail.com</t>
  </si>
  <si>
    <t>p25700300@student.nicmar.ac.in</t>
  </si>
  <si>
    <t>29-Nov-2002</t>
  </si>
  <si>
    <t>2683 6297 2373</t>
  </si>
  <si>
    <t>APARNA</t>
  </si>
  <si>
    <t>Kirti Nagar, Akola</t>
  </si>
  <si>
    <t>NISHU NURSERY AND KOTHARI CONVENT, AKOLA</t>
  </si>
  <si>
    <t>SHRI DAWALE JUNIOR COLLEGE, AKOLA</t>
  </si>
  <si>
    <t>SANT GADGE BABA AMRAVATI UNIVERSITY, AMRAVATI</t>
  </si>
  <si>
    <t>COLLEGE OF ENGINEERING AND TECHNOLOGY, AKOLA</t>
  </si>
  <si>
    <t>AutoCAD, MS Office, MS Project, Staad Pro Software, Primavera, Revit</t>
  </si>
  <si>
    <t>EZ Realty | Procurement Intern | Kharadi, Pune | May 2026 | Jul 2026 | 8.7142857142857 Weeks | Campus Internship
ATAL REALTECH LTD | INTERN- SITE SUPERVISION | AKOLA | Jun 2024 | Jul 2024 | 2.2857142857143 Weeks</t>
  </si>
  <si>
    <t>Bentley Foundation Certificate
Bentley Staad Pro Certificate</t>
  </si>
  <si>
    <t>P25700301</t>
  </si>
  <si>
    <t>SAGAR</t>
  </si>
  <si>
    <t>Sagar Singh</t>
  </si>
  <si>
    <t>chahalsagar725@gmail.com</t>
  </si>
  <si>
    <t>p25700301@student.nicmar.ac.in</t>
  </si>
  <si>
    <t>25-Apr-2003</t>
  </si>
  <si>
    <t>7958 9711 1849</t>
  </si>
  <si>
    <t>DHEER SINGH</t>
  </si>
  <si>
    <t>RUKMESH DEVI</t>
  </si>
  <si>
    <t>Gyan Vihar Colony, Near Sugar Mill</t>
  </si>
  <si>
    <t>Bijnor</t>
  </si>
  <si>
    <t>ROOTS INTL SCHOOL</t>
  </si>
  <si>
    <t>CBSE    BIJNOR/UTTAR PRADESH</t>
  </si>
  <si>
    <t>MD INTERNATIONAL SCHOOL</t>
  </si>
  <si>
    <t>CHANDIGARH UNIVERSITY  MOHALI/PUNJAB</t>
  </si>
  <si>
    <t>AutoCAD,MS Office,MS Project,OPENROADS,Abaqus</t>
  </si>
  <si>
    <t xml:space="preserve"> NBCC (INDIA) LIMITED | Intern | Gr. Noida | May 2026 | Jul 2026 | 9.5714285714286 Weeks | Campus Internship
S.P. Singla Construction Pvt. Ltd. | Intern | Haridwar | May 2024 | Jun 2024 | 3.7142857142857 Weeks</t>
  </si>
  <si>
    <t>Introduction to Civil Engineering profession</t>
  </si>
  <si>
    <t>P25700302</t>
  </si>
  <si>
    <t>RANDHE</t>
  </si>
  <si>
    <t>KALPESH</t>
  </si>
  <si>
    <t>Randhe Kalpesh Janardhan</t>
  </si>
  <si>
    <t>kalpeshrandhe999@gmail.com</t>
  </si>
  <si>
    <t>p25700302@student.nicmar.ac.in</t>
  </si>
  <si>
    <t>26-Dec-1996</t>
  </si>
  <si>
    <t>Marathi, Hinidi, English</t>
  </si>
  <si>
    <t>6366 7989 0055</t>
  </si>
  <si>
    <t>NICMAR BOYS' HOSTEL, N.I.A POST OFFICE, BALEWADI, PUNE</t>
  </si>
  <si>
    <t>Near Balaji Symphony, Sukhapur, Matheran Road, New Panvel, Tal- Panvel, Dist-Raigad</t>
  </si>
  <si>
    <t>PRIYADARSHANI HIGH SCHOOL</t>
  </si>
  <si>
    <t>PUNE/MAHARASHTRA</t>
  </si>
  <si>
    <t>CHANGU KANA THAKUR SECONDARY &amp; HIGHER SECONDARY VIDYALAYA</t>
  </si>
  <si>
    <t>MUMBAI/MAHARASHTRA</t>
  </si>
  <si>
    <t>J.S.P.M IMPERIAL COLLEGE OF ENGINEERING &amp; RESEARCH</t>
  </si>
  <si>
    <t>Balaji Symphony | Jr. Site Engineer | City-Panvel, Maharashtra | Sep 2018 | Sep 2022 | 4Y 0M | 1.87
Right Advisor Pvt.Ltd | Civil Engineer | Bamandongri, Kharkopar State- Maharashtra | Oct 2022 | Jun 2025 | 2Y 7M | 3.6</t>
  </si>
  <si>
    <t>6 Years 9 Months</t>
  </si>
  <si>
    <t>Sobha Ltd | Civil Engineer | Bangalore | May 2026 | Jul 2026 | 9 Weeks | Campus Internship</t>
  </si>
  <si>
    <t>Safety conscious person</t>
  </si>
  <si>
    <t>P25700303</t>
  </si>
  <si>
    <t>Shaik Mohammed Sameer</t>
  </si>
  <si>
    <t>sameersss1432@gmail.com</t>
  </si>
  <si>
    <t>p25700303@student.nicmar.ac.in</t>
  </si>
  <si>
    <t>ENGLISH,HINDI,TELUGU,URDU,TAMIL,ARABIC</t>
  </si>
  <si>
    <t>7351 1384 2219</t>
  </si>
  <si>
    <t>SHAIK MAHABOOB BASHA</t>
  </si>
  <si>
    <t>SHAIK SHAWAR</t>
  </si>
  <si>
    <t>39/107-138 Tagore Nagar, Bose Nagar, Raya Choti, Cuddapah</t>
  </si>
  <si>
    <t>PENCHAL REDDY HIGH SCHOOL</t>
  </si>
  <si>
    <t>CENTRAL BOARD OF SECONDARY EDUCATION, RAYACHOTY ANDHRA PRADESH</t>
  </si>
  <si>
    <t>SRI CHAITNYA BOYS JUNIOR COLLEGE</t>
  </si>
  <si>
    <t>BOARD OF INTERMEDIATE EDUCATION , VIJAYAWADA ANDHRA PRADESH</t>
  </si>
  <si>
    <t>SREE VIDYANIKETHAN ENGINEERING COLLAGE</t>
  </si>
  <si>
    <t>CEAT Limited | Project Trainee | Nagpur | May 2026 | Jul 2026 | 8.7142857142857 Weeks | Campus Internship
GS Peb &amp; Civil Works PVT.LTD | Shaik Mohammed Sameer | Chakan pune | Jan 2025 | Jun 2025 | 21.428571428571 Weeks</t>
  </si>
  <si>
    <t>P25700304</t>
  </si>
  <si>
    <t>SAMUDRAPU</t>
  </si>
  <si>
    <t>LAKSHMI DURGA</t>
  </si>
  <si>
    <t>ANAND KUMAR</t>
  </si>
  <si>
    <t>Samudrapu Lakshmi Durga Anand Kumar</t>
  </si>
  <si>
    <t>anandkumarsamudrapu@gmail.com</t>
  </si>
  <si>
    <t>p25700304@student.nicmar.ac.in</t>
  </si>
  <si>
    <t>28-May-2003</t>
  </si>
  <si>
    <t>2799 1929 3546</t>
  </si>
  <si>
    <t>ANIL KUMAR</t>
  </si>
  <si>
    <t>VASANTHA KUMARI</t>
  </si>
  <si>
    <t>3-71,Dibbalamida,Near Mahankallimma Temple,Undi Mandalam,Mahadevapatnam</t>
  </si>
  <si>
    <t>SRI BHARATHI EM HIGH SCHOOL</t>
  </si>
  <si>
    <t>BOARD OF SECOUNDARY EDUCATION ANDHRA PRADESH</t>
  </si>
  <si>
    <t>NARAYANA JUNIOUR COLLEGE</t>
  </si>
  <si>
    <t>SAGI RAMAKRISHNAM RAJU ENGINEERING COLLEGE</t>
  </si>
  <si>
    <t>ASCENT CS GLOBAL | INTERN | HYDERBAD | Jul 2022 | Sep 2022 | 8.7142857142857 Weeks
TRAFFIC POLICE  DEPARTMENT, BHIMAVARAM, ANDHRA PRADESH | INTERN IN TRAFFIC VOLUME STUDY  | BHIMAVARAM | Jun 2023 | Aug 2023 | 8.7142857142857 Weeks</t>
  </si>
  <si>
    <t>P25700305</t>
  </si>
  <si>
    <t>BALASAHEB</t>
  </si>
  <si>
    <t>FARGADE</t>
  </si>
  <si>
    <t>Yash Balasaheb Fargade</t>
  </si>
  <si>
    <t>yashfargade856@gmail.com</t>
  </si>
  <si>
    <t>p25700305@student.nicmar.ac.in</t>
  </si>
  <si>
    <t>5251 0121 6068</t>
  </si>
  <si>
    <t>BALASAHEB DATTU FARGADE</t>
  </si>
  <si>
    <t>PUSHPA</t>
  </si>
  <si>
    <t>AT-MEHENDURI,PO-RUMBHODI,TAL-AKOLE,DIS-AHILYANAGAR-422601</t>
  </si>
  <si>
    <t>SHRI CHHATRAPATI SHIVAJI MAHARAJ VIDYALAYA, MEHENDURI</t>
  </si>
  <si>
    <t>MAHARASHTRA STATE BOARD OF SECONDARY AND HIGHER SECONDARY EDUCATION,PUNE-(AKOLE,AHILYANAGAR-422601)</t>
  </si>
  <si>
    <t>SARSWATI VIDYALAYA AND JR. COLLEGE, DHAMANGAON PAT</t>
  </si>
  <si>
    <t>MAHARASHTRA STATE BOARD OF SECONDARY AND HIGHER SECONDARY EDUCATION,PUNE-(AKOLE, AHILYANAGAR-422601)</t>
  </si>
  <si>
    <t>AMRUTVAHINI POLYTECHNIC,(SANGAMNER,AHILYANAGAR-422605)</t>
  </si>
  <si>
    <t>DR.D.Y.PATIL SCHOOL OF ENGG AND TECH CHARHOLI BK ,(PUNE-412105)</t>
  </si>
  <si>
    <t>AutoCAD,MS Office,MS Project,Primavera,Project Scheduling</t>
  </si>
  <si>
    <t>TECHNOCRAFT FORMWORKS PRIVATE LIMITED | Design Engineer | Bavdhan, Pune-411021 | Aug 2024 | May 2025 | 0Y 8M | 3.36</t>
  </si>
  <si>
    <t>Revit Architecture
AUTOCAD</t>
  </si>
  <si>
    <t>P25700306</t>
  </si>
  <si>
    <t>KURUVILA</t>
  </si>
  <si>
    <t>SAIJAN</t>
  </si>
  <si>
    <t>Kuruvila Saijan</t>
  </si>
  <si>
    <t>999.ar.k.s@gmail.com</t>
  </si>
  <si>
    <t>p25700306@student.nicmar.ac.in</t>
  </si>
  <si>
    <t>22-Mar-1999</t>
  </si>
  <si>
    <t>5013 6534 1614</t>
  </si>
  <si>
    <t>SAIJAN KURIAKOSE</t>
  </si>
  <si>
    <t>DALIA SAIJAN</t>
  </si>
  <si>
    <t>Oliyapuram House, EN-160, Angamaly, Ernakulam, Kerala, 683572</t>
  </si>
  <si>
    <t>VISWAJYOTHI PUBLIC SCHOOL</t>
  </si>
  <si>
    <t>UNIVERSITY OF CALICUT</t>
  </si>
  <si>
    <t>AVANI INSTITUTE OF DESIGN, CALICUT, KERALA</t>
  </si>
  <si>
    <t>AutoCAD,MS Office,SketchUp,ArchiCAD,Revit,Rhino &amp; Grasshopper,Twinmotion,Adobe Creative Cloud,Procreate</t>
  </si>
  <si>
    <t>WOA DESIGN STUDIO PVT LTD | Lead Architect &amp; System Strategist | Kadavanthra, Ernakulam, Kerala  | Apr 2023 | Apr 2025 | 2Y 0M | 4.15</t>
  </si>
  <si>
    <t>NURU KARIM PARTNERS LLP | Urban Planning  | Mumbai | May 2026 | Jul 2026 | 8.5714285714286 Weeks | Campus Internship
Flying Elephant Studio | Trainee Architect  | Kalyan Nagar, Bangalore  | Jan 2021 | Jun 2021 | 22.857142857143 Weeks
OLIYAPURAM MARKETING COMPANY | ARCHITECT (INTERN) | ANGAMALY, ERNAKULAM | Jun 2022 | Feb 2023 | 38.857142857143 Weeks</t>
  </si>
  <si>
    <t>P25700307</t>
  </si>
  <si>
    <t>MAYUR</t>
  </si>
  <si>
    <t>KALYANI</t>
  </si>
  <si>
    <t>BANSODE</t>
  </si>
  <si>
    <t>Mayur Kalyani Bansode</t>
  </si>
  <si>
    <t>mayurbansode333@gmail.com</t>
  </si>
  <si>
    <t>p25700307@student.nicmar.ac.in</t>
  </si>
  <si>
    <t>08-Apr-2000</t>
  </si>
  <si>
    <t>3425 9129 7227</t>
  </si>
  <si>
    <t>KALPANA</t>
  </si>
  <si>
    <t>Sr No 30 Lane 4 Kondhwa Hospital Antulenagar Pisoli Near Vidyashilp School Yewlewadi</t>
  </si>
  <si>
    <t>CAMP EDUCATION SOCIETY'S HIGH SCHOOL &amp; JR COLLEGE</t>
  </si>
  <si>
    <t>KJEI'S TRINITY POLYTECHNIC PUNE, MAHARASHTRA</t>
  </si>
  <si>
    <t>SINHGAD ACADEMY OF ENGINEERING, PUNE MAHARASHTRA</t>
  </si>
  <si>
    <t>HINDUSTAN PETROLEUM CORPORATION LTD ( MUMBAI REFINARY) | Trainee Engineer. | MUMBAI REFINARY | Apr 2023 | Apr 2024 | 0Y 11M | 3</t>
  </si>
  <si>
    <t>Unique Civil | Intern Bim Modeler | Pune | May 2024 | Nov 2024 | 26.285714285714 Weeks
GAGAN UNNATI PROMOTERS , GAGAN CEFIRO | Civil Engineer Student  | PUNE | May 2018 | Jun 2018 | 4.5714285714286 Weeks</t>
  </si>
  <si>
    <t>P25700308</t>
  </si>
  <si>
    <t>RITWICK</t>
  </si>
  <si>
    <t>VATSA</t>
  </si>
  <si>
    <t>Ritwick Vatsa</t>
  </si>
  <si>
    <t>ritwickvatsa@gmail.com</t>
  </si>
  <si>
    <t>p25700308@student.nicmar.ac.in</t>
  </si>
  <si>
    <t>28-Nov-1999</t>
  </si>
  <si>
    <t>English,Hindi,Gujrati</t>
  </si>
  <si>
    <t>4781 8664 5382</t>
  </si>
  <si>
    <t>PRAKASH CHANDRA SINGH</t>
  </si>
  <si>
    <t>KUMARI MANJU</t>
  </si>
  <si>
    <t>FLAT NO 202,SHANTI APARTMENT,WEST OF 90 FT ROAD , KANKARBAGH</t>
  </si>
  <si>
    <t>SATTVA VIKAS SCHOOL</t>
  </si>
  <si>
    <t>CBSE,AHMEDABAD</t>
  </si>
  <si>
    <t>R.J.P.R.P COLLEGE</t>
  </si>
  <si>
    <t>BSEB,PATNA</t>
  </si>
  <si>
    <t>KALINGA INSTITUTE OF INDUSTRIAL TECHNOLOGY,BHUBANESHWAR</t>
  </si>
  <si>
    <t>Ashiana Housing Ltd | Assistant Engineer | Bhiwadi | Apr 2023 | Jun 2025 | 2Y 1M | 4.32</t>
  </si>
  <si>
    <t>P25700309</t>
  </si>
  <si>
    <t>GIRIPRASATH</t>
  </si>
  <si>
    <t>Giriprasath N</t>
  </si>
  <si>
    <t>ngiriprasath15@gmail.com</t>
  </si>
  <si>
    <t>p25700309@student.nicmar.ac.in</t>
  </si>
  <si>
    <t>15-Jul-2004</t>
  </si>
  <si>
    <t>English, Tamil and Telugu</t>
  </si>
  <si>
    <t>2245 6095 9239</t>
  </si>
  <si>
    <t>NAVANEETHAKRISHNAN T</t>
  </si>
  <si>
    <t>DATA MANAGER, GOVERNMENT HOSPITAL, VIRUDHUNAGAR, TAMIL NADU</t>
  </si>
  <si>
    <t>DHANALAKSHMI S</t>
  </si>
  <si>
    <t>1/223-8,kooraikundu,Virudhunagar Collectorate</t>
  </si>
  <si>
    <t>KVS MATRIC HR SEC SCHOOL VIRUDHUNAGAR</t>
  </si>
  <si>
    <t>NATIONAL ENGINEERING COLLEGE, KOVILPATTI</t>
  </si>
  <si>
    <t>Primavera P6,MS Project,MS Office,Revit,AutoCAD,CostX</t>
  </si>
  <si>
    <t>Bangalore Metro Corporation Ltd | Management Intern | Bangalore | May 2026 | Jul 2026 | 8.7142857142857 Weeks | Campus Internship
BALFOUR BEATTY INFRASTRUCTURE INDIA PVT. LTD. | Design and Drafting Engineer (Intern) | BANGALORE (UK-BASED COMPANY) | Jun 2024 | Jun 2024 | 3.8571428571429 Weeks
THE RAMCO CEMENTS LIMITED | Site Maintenance Engineer  | R.R. NAGAR FACTORY, TAMIL NADU | Nov 2023 | Nov 2023 | 2 Weeks</t>
  </si>
  <si>
    <t>Quantity Surveying Building Estimation and Project planning</t>
  </si>
  <si>
    <t>P25700310</t>
  </si>
  <si>
    <t>Bharat Parmar</t>
  </si>
  <si>
    <t>bharat866parmar@gmail.com</t>
  </si>
  <si>
    <t>p25700310@student.nicmar.ac.in</t>
  </si>
  <si>
    <t>16-Aug-2003</t>
  </si>
  <si>
    <t>Hindi,English,Marathi</t>
  </si>
  <si>
    <t>7062 5238 0855</t>
  </si>
  <si>
    <t>PARASMAL PARMAR</t>
  </si>
  <si>
    <t>PARUDEVI PARMAR</t>
  </si>
  <si>
    <t>FLAT NO 4 ANNAPURNA APARTMENTS 18 PANDE LAYOUT KHAML NAGPUR</t>
  </si>
  <si>
    <t>Parasmal Parmar, 22/104 Sonam Veena Chs Ltd, ., Nr Jain Bunglow, New Golden Nest, Phase -11, Bhaindar East, Thane</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</si>
  <si>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</si>
  <si>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</si>
  <si>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</si>
  <si>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</si>
  <si>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Project,SAP2000,Beam AI,Automeasure</t>
  </si>
  <si>
    <t>ATTENTIVE OS PRIVATE LIMITED | Trainee Estimator | New Delhi | Apr 2025 | Jun 2025 | 0Y 2M | 3.34</t>
  </si>
  <si>
    <t>NBCC (INDIA) LIMITED | PROJECT INTERN | Greater Noida | May 2026 | Jul 2026 | 9.7142857142857 Weeks | Campus Internship
ATTENTIVE OS PRIVATE LIMITED | INTERN | NEW DELHI | Jan 2025 | Apr 2025 | 12.571428571429 Weeks
R.K. MADHANI &amp; CO | INTERN | Amravati | May 2024 | Jul 2024 | 7.1428571428571 Weeks</t>
  </si>
  <si>
    <t>Construction Cost Estimating and Cost Control
International Leadership and Organizational  Behavior
Campus to Corporate
Resource and Waste Management in Buildings
Investment Analysis and Portfolio Management
Green Building Assessment &amp; Certification
Financial Reporting &amp; Analysis: Complete Preparation
Concreting Techniques and Practices</t>
  </si>
  <si>
    <t>P25700311</t>
  </si>
  <si>
    <t>Vaishnavi Vaishnavi</t>
  </si>
  <si>
    <t>ar.vysh332@gmail.com</t>
  </si>
  <si>
    <t>p25700311@student.nicmar.ac.in</t>
  </si>
  <si>
    <t>03-Mar-2000</t>
  </si>
  <si>
    <t>2503 6271 6368</t>
  </si>
  <si>
    <t>NAGNATH</t>
  </si>
  <si>
    <t>POLICE HEADCONSTABLE</t>
  </si>
  <si>
    <t>GOURAMMA</t>
  </si>
  <si>
    <t>15-5-269, Basavashraya, Near Gurudatta Dhyanmandir, Bidar</t>
  </si>
  <si>
    <t>Bidar</t>
  </si>
  <si>
    <t>GNYANA SUDHA VIDYALAYA, BIDAR</t>
  </si>
  <si>
    <t>CBSE, DELHI</t>
  </si>
  <si>
    <t>SC GURUKULA PU COLLEGE, KARDYAL BHALKI TQ, BIDAR DT 585328</t>
  </si>
  <si>
    <t>GOVERNMENT OF KARNATAKA, DEPARTMENT OF PRE UNIVERSITY EDUCATION, BANGALORE</t>
  </si>
  <si>
    <t>VISVESVARAYA TECHNOLOGICAL UNIVERSITY, BELGAVI</t>
  </si>
  <si>
    <t>BMS COLLEGE OF ARCHITECTURE, BENGALURU</t>
  </si>
  <si>
    <t>AutoCAD,MS Office,MS Project,Primavera,PowerBI,Revit,V- Ray,Enscape,Adobe Creative Suite,SketchUp</t>
  </si>
  <si>
    <t>INFRASCAPES LLP | ARCHITECT- DESIGN ASSOCIATE | Hyderabad | Mar 2024 | Mar 2025 | 1Y 0M | 3.6</t>
  </si>
  <si>
    <t>Cherry Hill Interiors Pvt. Ltd | Intern | Delhi | May 2026 | Jul 2026 | 8.7142857142857 Weeks | Campus Internship
CREATIVE GROUP LLP | INTERN ARCHITECT | NEW DELHI | Aug 2022 | Dec 2022 | 15.571428571429 Weeks
GROUND TALE ARCHITECTS AND DESIGNERS | JUNIOR ARCHITECT  | PUNE | Jun 2023 | Mar 2024 | 37.285714285714 Weeks</t>
  </si>
  <si>
    <t>C.Tech higher diploma in interior design
Operational excellence foundations
Root cause analysis: getting to the root of business problems
Microsoft project in business situations: tips from the field
Microsoft project quick tips
Microsoft project step-by-step: planning for successful project management
Learning Microsoft project
Six Sigma: green belt
Six Sigma foundations
Learn six Sigma foundations
Getting started with Microsoft project
Become a six sigma green belt
Ethics and engineering practice
Finance for non-financial managers
Construction Management: Planning and  Scheduling</t>
  </si>
  <si>
    <t>P25700312</t>
  </si>
  <si>
    <t>SANYAM</t>
  </si>
  <si>
    <t>KRUSHNARAO</t>
  </si>
  <si>
    <t>Sanyam Krushnarao Patil</t>
  </si>
  <si>
    <t>patilsanyam123@gmail.com</t>
  </si>
  <si>
    <t>p25700312@student.nicmar.ac.in</t>
  </si>
  <si>
    <t>10-Feb-1999</t>
  </si>
  <si>
    <t>7206 3466 9067</t>
  </si>
  <si>
    <t>KRUSHNARAO KASHIRAM PATIL</t>
  </si>
  <si>
    <t>RAJANI KRUSHNARAO PATIL</t>
  </si>
  <si>
    <t>SANKALP VIHAR WING A-19 JSPM COLLEGE ROAD, VETAL BUA CHOWK,NARHE,PUNE,41</t>
  </si>
  <si>
    <t>LATE B.D.S HIGHSCHOOL MOTALA,DIST BULDHANA</t>
  </si>
  <si>
    <t>ZEAL POLYTECHNIC NARHE,PUNE,MAHARASHTRA</t>
  </si>
  <si>
    <t>ALL INDIA SHREE SHIVAJI MEMORIAL SOCIETY,COLLEGE OF ENGINEERING ,PUNE</t>
  </si>
  <si>
    <t>AutoCAD,MS Office,Primavera</t>
  </si>
  <si>
    <t>Bangalore Metro Rail Corporation Ltd. | Management  | Bangalore | May 2026 | Jul 2026 | 8.7142857142857 Weeks | Campus Internship
Government Polytechnic Pune | Intern | Pune | Oct 2024 | Aug 2025 | 47.714285714286 Weeks
IMPERIAL PLAZA | Intern | Pune | Aug 2021 | Aug 2023 | 108.57142857143 Weeks</t>
  </si>
  <si>
    <t>Primavera
Autocad Advanced</t>
  </si>
  <si>
    <t>P25700313</t>
  </si>
  <si>
    <t>M S</t>
  </si>
  <si>
    <t>Manoj M S</t>
  </si>
  <si>
    <t>manoj77manu07@gmail.com</t>
  </si>
  <si>
    <t>p25700313@student.nicmar.ac.in</t>
  </si>
  <si>
    <t>11-Feb-2000</t>
  </si>
  <si>
    <t>9524 4003 0464</t>
  </si>
  <si>
    <t>SIDDESHWARA M B</t>
  </si>
  <si>
    <t>ASHA K</t>
  </si>
  <si>
    <t>207, _x000D_
Chikkobanahalli (P),_x000D_
Molakalmuru (T),_x000D_
Chitradurga (D),_x000D_
Karnataka._x000D_
Pincode - 577535</t>
  </si>
  <si>
    <t>Chitradurga</t>
  </si>
  <si>
    <t>ANMOL PUBLIC SCHOOL</t>
  </si>
  <si>
    <t>ST JOHN'S P.U. SCIENCE COLLEGE</t>
  </si>
  <si>
    <t>DEPARTMENT OF PRE-UNIVERSITY EDUCATION, KARNATKA</t>
  </si>
  <si>
    <t>BANGALORE INSTITUTE OF TECHNOLOGY, BENGALURU</t>
  </si>
  <si>
    <t>AutoCAD,MS Office,MS Project,Primavera,Staad Pro,Midas - Civil,Adsec,Etabs</t>
  </si>
  <si>
    <t>SYSTRA MVA CONSULTING INDIA PRIVATE LIMITED | ENGINEER - STRUCTURES ( ELEVATED) | FARIDABAD, HARAYANA AND BENGALURU, KARNATAKA | Mar 2022 | Jun 2025 | 3Y 3M | 5
SMEC RAIL INDIA PRIVATE LIMITED | GRADUATE ENGINEER TRAINEE | CHENNAI, TAMIL NADU | Aug 2021 | Mar 2022 | 0Y 6M | 3</t>
  </si>
  <si>
    <t>Hindustan Construction Company (HCC) | Project Intern | MUMBAI | May 2026 | Jul 2026 | 7.5714285714286 Weeks | Campus Internship
SYSTRA MVA CONSULTING INDIA PRIVATE LIMITED | INTERN | BENGALURU | Mar 2021 | Apr 2021 | 8.5714285714286 Weeks</t>
  </si>
  <si>
    <t>Impact Lab - Young Leaders Program 2025
PMP Certification</t>
  </si>
  <si>
    <t>P25700314</t>
  </si>
  <si>
    <t>NOOPUR</t>
  </si>
  <si>
    <t>HANDE</t>
  </si>
  <si>
    <t>Noopur Ravindra Hande</t>
  </si>
  <si>
    <t>noopurhande456@gmail.com</t>
  </si>
  <si>
    <t>p25700314@student.nicmar.ac.in</t>
  </si>
  <si>
    <t>22-Sep-2001</t>
  </si>
  <si>
    <t>4803 7634 4993</t>
  </si>
  <si>
    <t>F 1304 Eastern River Residency , Kashid Park ,_x000D_
Pimple Gurav 411061</t>
  </si>
  <si>
    <t>BLOOMINGDALE INTERNATIONAL SCHOOL</t>
  </si>
  <si>
    <t>CUSROW WADIA INSTITUTE OF TECHNOLOGY</t>
  </si>
  <si>
    <t>RMD SINHGAD TECHNICAL INSTITUTE CAMPUS</t>
  </si>
  <si>
    <t>Vaibhav Gulabrao Benke(government contractor &amp; engineer) | Civil Engineering Trainee | Junnar | May 2019 | Jun 2019 | 4.8571428571429 Weeks</t>
  </si>
  <si>
    <t>Ethics in Engineering Practice
AutoCAD</t>
  </si>
  <si>
    <t>P25700316</t>
  </si>
  <si>
    <t>IFHAM</t>
  </si>
  <si>
    <t>Ifham Khan</t>
  </si>
  <si>
    <t>iamifhamkhan@gmail.com</t>
  </si>
  <si>
    <t>p25700316@student.nicmar.ac.in</t>
  </si>
  <si>
    <t>06-Mar-2000</t>
  </si>
  <si>
    <t>5862 2786 3453</t>
  </si>
  <si>
    <t>MASROOR AHMED KHAN</t>
  </si>
  <si>
    <t>SHAHINA FAIZ</t>
  </si>
  <si>
    <t>4470, Shahtara Street, Ajmeri Gate</t>
  </si>
  <si>
    <t>Central Delhi</t>
  </si>
  <si>
    <t>CAMBRIDGE SCHOOL</t>
  </si>
  <si>
    <t>CENTRAL BOARD OF SECONDARY EDUCATION , NEW DELHI, DELHI</t>
  </si>
  <si>
    <t>CENTRAL BOARD OF SECONDARY EDUCATION, NEW DELHI, DELHI</t>
  </si>
  <si>
    <t>GURU GOBIND SINGH INDRAPRASTHA UNIVERSITY</t>
  </si>
  <si>
    <t>DR. AKHILESH DAS GUPTA INSTITUTE OF TECHNOLOGY &amp; MANAGEMENT</t>
  </si>
  <si>
    <t>AutoCAD,MS Office,MS Project,Primavera,Work Breakdown Structures,Progress Dashboard,Cost/Quantity Data Handling,Documentation Management,Engineering Drawings Interpretation,Quantity Takeoff</t>
  </si>
  <si>
    <t>Prestige Estates Projects Limited | Planning Intern | Ghazibad, Uttar Pradesh  | May 2026 | Jul 2026 | 8.5714285714286 Weeks | Campus Internship
ABR Infrasolutions Pvt. Ltd. | Civil Engineer Trainee | Noida, Uttar Pradesh  | Sep 2022 | Nov 2022 | 8.7142857142857 Weeks</t>
  </si>
  <si>
    <t>Primavera P6
Staad Pro
Revit Structure</t>
  </si>
  <si>
    <t>P25700317</t>
  </si>
  <si>
    <t>MUDEWAR</t>
  </si>
  <si>
    <t>Shruti Mudewar</t>
  </si>
  <si>
    <t>shrutimudewar13@gmail.com</t>
  </si>
  <si>
    <t>p25700317@student.nicmar.ac.in</t>
  </si>
  <si>
    <t>13-Jun-2001</t>
  </si>
  <si>
    <t>English, hindi, marathi</t>
  </si>
  <si>
    <t>6965 3078 3914</t>
  </si>
  <si>
    <t>BUISSNESS</t>
  </si>
  <si>
    <t>MAMTA</t>
  </si>
  <si>
    <t>Mamta Niwas, Near Renault Security Office, Haveli Garden, Chandrapur</t>
  </si>
  <si>
    <t>VIDYA NIKETAN HIGH SCHOOL</t>
  </si>
  <si>
    <t>NARAYANA GIRLS COLLEGE</t>
  </si>
  <si>
    <t>DIPLOMA OF INTERIOR DESIGNING</t>
  </si>
  <si>
    <t>HIMALAYAN UNIVERSITY</t>
  </si>
  <si>
    <t>PRIYADARSHINI INSTITUTE OF ARCHITECTURE AND DESIGN STUDIES, NAGPUR</t>
  </si>
  <si>
    <t>AutoCAD,MS Office,MS Project,Primavera,Sketchup,CostX</t>
  </si>
  <si>
    <t>Modi Srivasta and Associates | Trainee Architect | Vadodara, gujrat | Jan 2023 | Sep 2023 | 33.714285714286 Weeks</t>
  </si>
  <si>
    <t>P25700318</t>
  </si>
  <si>
    <t>Jaiswal</t>
  </si>
  <si>
    <t>Chaitanya</t>
  </si>
  <si>
    <t>Shailesh</t>
  </si>
  <si>
    <t>Jaiswal Chaitanya Shailesh</t>
  </si>
  <si>
    <t>chaitanyajaiswal23@gmail.com</t>
  </si>
  <si>
    <t>p25700318@student.nicmar.ac.in</t>
  </si>
  <si>
    <t>23-Sep-2002</t>
  </si>
  <si>
    <t>9190 4431 9274</t>
  </si>
  <si>
    <t>SHAILESH</t>
  </si>
  <si>
    <t>VIDYA</t>
  </si>
  <si>
    <t>HOME ECONOMIST (HOUSE WIFE)</t>
  </si>
  <si>
    <t>DESHMUKHWADI SHIVANE SWAMI BALAJI SOCIETY PUNE</t>
  </si>
  <si>
    <t>Mudliyaar Nagar Near Vitthal Rukmini Mandir,Amravati</t>
  </si>
  <si>
    <t>NARAYANDAS LADDHA HIGH SCHOOL,AMRAVATI</t>
  </si>
  <si>
    <t>DR.PANJABRAO DESHMUKH POLYTECHNIC, AMRAVATI</t>
  </si>
  <si>
    <t>SINHGAD COLLEGE OF ENGINEERING VADGAON, PUNE</t>
  </si>
  <si>
    <t>AutoCAD, Primavera P6, MS Project, Revit, Navisworks, BIM, Microsoft Excel, MS Office, MS Word</t>
  </si>
  <si>
    <t>SAI SHLOK INFRA PVT LTD  | Site Execution Intern | Silvassa - surangi | May 2026 | Jun 2026 | 8.1428571428571 Weeks | Campus Internship
Taha Construction  | Site Engineer | Amravati | Aug 2024 | Dec 2024 | 21.571428571429 Weeks
SIDDHIVINAYAK ENTERPRISES | Intern-Site Management | Pune | Jan 2025 | Mar 2025 | 8.4285714285714 Weeks</t>
  </si>
  <si>
    <t>MS Excel
Autodesk BIM Professional
Autodesk Autocad 2022
RevitÂ® For Architecture</t>
  </si>
  <si>
    <t>P25700320</t>
  </si>
  <si>
    <t>RAVI</t>
  </si>
  <si>
    <t>Rohit Ravi</t>
  </si>
  <si>
    <t>revirohit@gmaill.com</t>
  </si>
  <si>
    <t>p25700320@student.nicmar.ac.in</t>
  </si>
  <si>
    <t>31-May-2000</t>
  </si>
  <si>
    <t>ENGLISH, HINDI, KONKANI, MARATHI, MALAYALAM</t>
  </si>
  <si>
    <t>9072 0926 4469</t>
  </si>
  <si>
    <t>RAVINDRAN KORAPRETH</t>
  </si>
  <si>
    <t>LOUJA NALLAVEETIL</t>
  </si>
  <si>
    <t>VARALAXMI P.G., THIRD FLOOR, ROOM NO. 301, MAHALUNGE, BANER, PUNE-MAHARASHTRA</t>
  </si>
  <si>
    <t>TF-1, Bhanudeep Residency, Near Supermarket Complex, Ponda-Goa</t>
  </si>
  <si>
    <t>North Goa</t>
  </si>
  <si>
    <t>G. V. M'S A. J. DE ALMEIDA HIGH SCHOOL, PONDA-GOA</t>
  </si>
  <si>
    <t>GOA BOAD OF SECONDARY AND HIGHER SECONDARY EDUCATION, ALTO-BETIM, GOA</t>
  </si>
  <si>
    <t>G. V. M'S S. N. J. A. HIGHER SECONDARY SCHOOL, FARMAGUDI, PONDA-GOA</t>
  </si>
  <si>
    <t>GOA  UNIVERSITY</t>
  </si>
  <si>
    <t>DON BOSCO COLLEGE OF ENGINEERING</t>
  </si>
  <si>
    <t>AutoCAD,MS Office,MS Project,REVIT,E-TABS</t>
  </si>
  <si>
    <t>ENCUBE ETHICALS | ENGINEER | MADKAI, PONDA-GOA | Oct 2022 | Dec 2023 | 1Y 2M | 2.5
UR DREAMS | ENGINEER | VASCO | Aug 2024 | Jul 2025 | 0Y 10M | 2.16</t>
  </si>
  <si>
    <t>Advance Diploma in 3D Design (Revit and E-TABS )</t>
  </si>
  <si>
    <t>P25700321</t>
  </si>
  <si>
    <t>DEVANSH</t>
  </si>
  <si>
    <t>DWIVEDI</t>
  </si>
  <si>
    <t>Devansh Dwivedi</t>
  </si>
  <si>
    <t>devanshdwivedi1504@gmail.com</t>
  </si>
  <si>
    <t>p25700321@student.nicmar.ac.in</t>
  </si>
  <si>
    <t>15-Apr-2003</t>
  </si>
  <si>
    <t>HINDI ,ENGLISH</t>
  </si>
  <si>
    <t>3265 7168 1710</t>
  </si>
  <si>
    <t>SHACHIN DWIVEDI</t>
  </si>
  <si>
    <t>N/A</t>
  </si>
  <si>
    <t>GEETIKA DWIVEDI</t>
  </si>
  <si>
    <t>POST OFFICE, 25/1, NICMAR UNIVERSITY, GATE NO.2 , N.I.A_x000D_
RAM NAGAR,, BALEWADI RD, BANER, PUNE, MAHARASHTRA 411045</t>
  </si>
  <si>
    <t>10-C Pocket-A Dilshad Garden</t>
  </si>
  <si>
    <t>SHAHEED RAJPAL DAV PUBLIC SCHOOL DAYANAND VIHAR, DELHI -110092</t>
  </si>
  <si>
    <t>CBSE DELHI / EAST DELHI</t>
  </si>
  <si>
    <t>GURU GOBIND SINGH INDRAPRASTHA UNIVERSITY- DELHI</t>
  </si>
  <si>
    <t>DR. AKHILESH DAS GUPTA INSTITUTE OF PROFESSIONAL STUDIES, NEW DELHI-110056</t>
  </si>
  <si>
    <t>GSIDC | Execution | Goa | May 2026 | Jul 2026 | 8.7142857142857 Weeks | Campus Internship
TATA PROJECTS LIMITED | N/A | TCS NOIDA-IT PARK | Jul 2024 | Aug 2024 | 5.7142857142857 Weeks
ADGIPS | Project | Delhi (college) | Aug 2024 | Apr 2025 | 38.857142857143 Weeks
Younity | Business Development Specialist | Work from home | Oct 2024 | Dec 2024 | 7.1428571428571 Weeks</t>
  </si>
  <si>
    <t>Civil Design on Auto CAD, STAAD.Pro, ETABS &amp; Revit Architecture</t>
  </si>
  <si>
    <t>P25700322</t>
  </si>
  <si>
    <t>NIDHIN</t>
  </si>
  <si>
    <t>KAILAS A</t>
  </si>
  <si>
    <t>Nidhin Kailas A</t>
  </si>
  <si>
    <t>nidhinkailasa2@gmail.com</t>
  </si>
  <si>
    <t>p25700322@student.nicmar.ac.in</t>
  </si>
  <si>
    <t>29-Jun-2002</t>
  </si>
  <si>
    <t>English, Hindi, Malayalam, Tamil(only speak and listen)</t>
  </si>
  <si>
    <t>4246 0797 9803</t>
  </si>
  <si>
    <t>K AKHIL</t>
  </si>
  <si>
    <t>GOVT SERVANT</t>
  </si>
  <si>
    <t>K DINI</t>
  </si>
  <si>
    <t>ARA-72, TC 6/2194(7), AITHADI LANE, NEAR PRASANTHNAGAR, ULLOOR TO AKKULAM ROAD, MEDICAL COLLEGE P.O., THIRUVANANTHAPURAM</t>
  </si>
  <si>
    <t>KENDRIYA VIDYALAYA PATTOM</t>
  </si>
  <si>
    <t>CBSE, KERALA</t>
  </si>
  <si>
    <t>COLLEGE OF ENGINEERING TRIVANDRUM , KERALA</t>
  </si>
  <si>
    <t>AutoCAD,MS Office,MS Project,Staad.Pro,VISSIM, Primavera, CostX, Navisworks</t>
  </si>
  <si>
    <t>ULCCS Ltd. | Student intern | Trivandrum, Kerala | May 2026 | Jun 2026 | 7.7142857142857 Weeks | Campus Internship
KERALA STATE ELECTRICITY BOARD LIMITED | STUDENT INTERN | MUNNAR, IDUKKI | Jun 2024 | Jun 2024 | 1.4285714285714 Weeks</t>
  </si>
  <si>
    <t>P25700323</t>
  </si>
  <si>
    <t>PRATHAMESH</t>
  </si>
  <si>
    <t>BHOKARE</t>
  </si>
  <si>
    <t>Prathamesh Bhokare</t>
  </si>
  <si>
    <t>pbhokare27@gmail.com</t>
  </si>
  <si>
    <t>p25700323@student.nicmar.ac.in</t>
  </si>
  <si>
    <t>27-Jul-1999</t>
  </si>
  <si>
    <t>ENGLISH , MARATHI , HINDI</t>
  </si>
  <si>
    <t>3692 2952 6474</t>
  </si>
  <si>
    <t>ANAND VASANTRAO BHOKARE</t>
  </si>
  <si>
    <t>PRIVATE WORKER</t>
  </si>
  <si>
    <t>VARSHA ANAND BHOKARE</t>
  </si>
  <si>
    <t>SHREE RAM NAGAR NEAR AMBAR HOTEL DEEPDARSHAN APT GROUND FLOOR JULE SOLAPUR , SOLAPUR</t>
  </si>
  <si>
    <t>SECONDARY AND HIGHER SECONDARY EDUCATION , PUNE , MAHARASHTRA</t>
  </si>
  <si>
    <t>DESHBHAKT HARINARAYAN BANKATLAL SONI COLLEGE</t>
  </si>
  <si>
    <t>DR.BABASAHEB AMBEDKAR TECHNOLOGICAL UNIVERSITY, LONERE , RAIGAD</t>
  </si>
  <si>
    <t>NAGESH KARAJAGI ORCHID COLLEGE OF ENGINEERING &amp; TECHNOLOGY , SOLAPUR , MAHARASHTRA</t>
  </si>
  <si>
    <t>MINISTRY OF HOUSING &amp; URBAN AFFAIRS , GOVERNMENT OF INDIA , AICTE | INTERN | SOLAPUR | Jul 2022 | Aug 2022 | 5 Weeks</t>
  </si>
  <si>
    <t>P25700324</t>
  </si>
  <si>
    <t>RITIK</t>
  </si>
  <si>
    <t>Ritik Rana</t>
  </si>
  <si>
    <t>ritikranabaldeo@gmail.com</t>
  </si>
  <si>
    <t>p25700324@student.nicmar.ac.in</t>
  </si>
  <si>
    <t>20-May-2004</t>
  </si>
  <si>
    <t>9459 5099 5506</t>
  </si>
  <si>
    <t>HARIHAR RANA</t>
  </si>
  <si>
    <t>RAJESHWARI RANA</t>
  </si>
  <si>
    <t>Village- Angai Post-Baldeo Tehsil-Mahavan District-Mathura Uttar Pradesh</t>
  </si>
  <si>
    <t>HEERA SINGH PUBLIC SCHOOL</t>
  </si>
  <si>
    <t>CBSE - MATHURA</t>
  </si>
  <si>
    <t>GREEN WILLOW PUBLIC SCHOOL</t>
  </si>
  <si>
    <t>DR. A.P.J ABDUL KALAM TECHNICAL UNIVERSITY</t>
  </si>
  <si>
    <t>B.S.A COLLEGE OF ENGINEERING AND TECHNOLOGY, MATHURA</t>
  </si>
  <si>
    <t>Public Works Department | Intern  | Mathura  | Jul 2023 | Aug 2023 | 6.5714285714286 Weeks</t>
  </si>
  <si>
    <t>P25700326</t>
  </si>
  <si>
    <t>SHAILESHBHAI</t>
  </si>
  <si>
    <t>PATEL</t>
  </si>
  <si>
    <t>Soham Shaileshbhai Patel</t>
  </si>
  <si>
    <t>patelsoham722@gmail.com</t>
  </si>
  <si>
    <t>p25700326@student.nicmar.ac.in</t>
  </si>
  <si>
    <t>07-Feb-2000</t>
  </si>
  <si>
    <t>ENGLISH, HINDI, GUJARATI</t>
  </si>
  <si>
    <t>5297 4048 3458</t>
  </si>
  <si>
    <t>SHAILESH PATEL</t>
  </si>
  <si>
    <t>PRINTING SUPERVISOR</t>
  </si>
  <si>
    <t>JIGNASHA PATEL</t>
  </si>
  <si>
    <t>53,54 Jantanagar Soc. B, B/H Kapadia Health Club, New Civil Road, Bhatar, Surat</t>
  </si>
  <si>
    <t>R.S.M. POONAWALA SARVAJANIK EXPERIMENTAL SCHOOL</t>
  </si>
  <si>
    <t>GUJARAT SECONDARY AND HIGHER SECONDARY EDUCATION BOARD, SURAT</t>
  </si>
  <si>
    <t>SHREE SWAMI ATMANAND SARASWATI INSTITUTE OF TECHNOLOGY, SURAT</t>
  </si>
  <si>
    <t>AutoCAD,MS Office,MS Project,Primavera,Power bi,Excel,Revit</t>
  </si>
  <si>
    <t>Professional Engineering Services | Junior Civil Engineer | Surat, Gujarat | Nov 2021 | Apr 2023 | 1Y 5M | 1.8
AVADH GROUP | Junior Civil Engineer | Surat, Gujarat | May 2023 | Jun 2025 | 2Y 1M | 2.64</t>
  </si>
  <si>
    <t>3 Years 7 Months</t>
  </si>
  <si>
    <t>NBCC (INDIA) LIMITED | Project Intern  | Greater Noida | May 2026 | Jul 2026 | 9.5714285714286 Weeks | Campus Internship</t>
  </si>
  <si>
    <t>Revit
Auto CAD</t>
  </si>
  <si>
    <t>P25700327</t>
  </si>
  <si>
    <t>LEKHANA</t>
  </si>
  <si>
    <t>SHARADA</t>
  </si>
  <si>
    <t>Lekhana Sharada</t>
  </si>
  <si>
    <t>lekhanasharada@gmail.com</t>
  </si>
  <si>
    <t>p25700327@student.nicmar.ac.in</t>
  </si>
  <si>
    <t>26-Feb-2004</t>
  </si>
  <si>
    <t>ENGLISH,HINDI AND KANNADA</t>
  </si>
  <si>
    <t>4959 7573 4556</t>
  </si>
  <si>
    <t>PRAHLADA</t>
  </si>
  <si>
    <t>RAJANI MR</t>
  </si>
  <si>
    <t>No 19, Ganesh Mansion, 1st Cross, Kothanur Dinne Main Road, JP NAGAR 8TH PHASE</t>
  </si>
  <si>
    <t>APS PUBLIC SCHOOL</t>
  </si>
  <si>
    <t>ICSE, NEW DELHI</t>
  </si>
  <si>
    <t>VISVESWARAYA TECHNOLOGICAL UNIVERSITY</t>
  </si>
  <si>
    <t>BMS COLLEGE OF ENGINEERING, BENGALURU</t>
  </si>
  <si>
    <t>SOUTH WESTERN RAILWAY, OFFICE OF THE DEPUTY CHIEF ENGINEER (STATION DEVELOPMENT, CONSTRUCTION ORGANISATION), BENGALURU CANTONMENT | STUDENT TRAINEEâ€“ STATION DEVELOPMENT &amp; CONSTRUCTION | YESHWANTPUR RAILWAY STATION | Jul 2024 | Aug 2024 | 4.2857142857143 Weeks</t>
  </si>
  <si>
    <t>P25700328</t>
  </si>
  <si>
    <t>GIDAYE</t>
  </si>
  <si>
    <t>Gidaye Vedant Ravindra</t>
  </si>
  <si>
    <t>gidayevedant18@gmail.com</t>
  </si>
  <si>
    <t>p25700328@student.nicmar.ac.in</t>
  </si>
  <si>
    <t>05-Nov-2001</t>
  </si>
  <si>
    <t>3459 8345 0142</t>
  </si>
  <si>
    <t>RAVINDRA DHONDU GIDAYE</t>
  </si>
  <si>
    <t>GOVT. TEACHER</t>
  </si>
  <si>
    <t>ROHINI RAVINDRA GIDAYE</t>
  </si>
  <si>
    <t>SHRADDHA GARDEN,BUILDING 12, FLAT 12, GAWADE PARK, CHINCHWAD</t>
  </si>
  <si>
    <t>At/post-Devrukh ,near ASP College ,HP Gas Agency Road.</t>
  </si>
  <si>
    <t>SMT. ARUNDHATI ARUN PADHYE ENGLISH MEDIUM SCHOOL, DEVRUKH</t>
  </si>
  <si>
    <t>PADMASHREE DR. D. Y. PATIL COLLEGE OF ARCHITECTURE, AKURDI, PUNE</t>
  </si>
  <si>
    <t>AutoCAD,MS Office,MS Project,Primavera,Revit, Navisworks,SketchUp,D5 Render,Photoshop</t>
  </si>
  <si>
    <t>Avenue Architect | Architectural Intern - Redevelopment &amp; Building Sanctioning | Chinchwad, Pune | May 2026 | Jul 2026 | 8.7142857142857 Weeks | Campus Internship
Key Project | Architecture Intern | Pune | Jun 2024 | Oct 2024 | 18.571428571429 Weeks</t>
  </si>
  <si>
    <t>IGBC Accredited Professional- Associate</t>
  </si>
  <si>
    <t>P25700329</t>
  </si>
  <si>
    <t>MRUDUL</t>
  </si>
  <si>
    <t>UMAKANT</t>
  </si>
  <si>
    <t>Mrudul Umakant Bhagat</t>
  </si>
  <si>
    <t>mrudulbhagat2@gmail.com</t>
  </si>
  <si>
    <t>p25700329@student.nicmar.ac.in</t>
  </si>
  <si>
    <t>26-Mar-2002</t>
  </si>
  <si>
    <t>6593 2404 2176</t>
  </si>
  <si>
    <t>JANKI NAGAR, NEAR PETROL PUMP, KATOL, NAGPUR</t>
  </si>
  <si>
    <t>BHAGAT MRUDUL UMAKANT</t>
  </si>
  <si>
    <t>SARASWAT JUNIOR COLLEGE SAONER</t>
  </si>
  <si>
    <t>HIGHER SECONDARY CERTIFICATE</t>
  </si>
  <si>
    <t>AutoCAD, MS Office, MS Project, Primavera, SAP2000V21, STAADPRO, Revit, CostX , Naviswork</t>
  </si>
  <si>
    <t>Revespaces | Marketing Analytic and Digital Strategy Intern | Wakad , Pune | May 2026 | Jul 2026 | 8.7142857142857 Weeks | Campus Internship
MANE REALTORS PVT. LTD. | Office Work | Nagpur | Jan 2024 | Apr 2024 | 17.142857142857 Weeks</t>
  </si>
  <si>
    <t>P25700330</t>
  </si>
  <si>
    <t>HARSHDIP</t>
  </si>
  <si>
    <t>Harshdip Vikas Patil</t>
  </si>
  <si>
    <t>harshdipvpatil@rediffmail.com</t>
  </si>
  <si>
    <t>p25700330@student.nicmar.ac.in</t>
  </si>
  <si>
    <t>11-Aug-1999</t>
  </si>
  <si>
    <t>HINDI,ENGLISH &amp; MARATHI</t>
  </si>
  <si>
    <t>9747 7614 9874</t>
  </si>
  <si>
    <t>VIKAS PATIL</t>
  </si>
  <si>
    <t>POLICE</t>
  </si>
  <si>
    <t>BHARTI PATIL</t>
  </si>
  <si>
    <t>32 Jitendra Nagar, Deopur , Dhule</t>
  </si>
  <si>
    <t>JAHIND HIGHSCHOOL DHULE</t>
  </si>
  <si>
    <t>MAHARASTRA STATE BOARD OF SECONDARY AND HIGHER SECONDARY EDUCATION,PUNE</t>
  </si>
  <si>
    <t>G.D SAWANT COLLAGE ,NASHIK</t>
  </si>
  <si>
    <t>NETAJI POLYTECHNIC COLLAGE DHULE</t>
  </si>
  <si>
    <t>NORTH MAHARASHTRA UNIVERSITY JALGOAN</t>
  </si>
  <si>
    <t>SHRI JAYKUMAR RAVAL INSTISTUTE OF TECHNOLOGY DONDAICHA DHULE</t>
  </si>
  <si>
    <t>AutoCAD and construction skill and Quantity surveying</t>
  </si>
  <si>
    <t>P25700331</t>
  </si>
  <si>
    <t>PRACHI</t>
  </si>
  <si>
    <t>BHOINALLU</t>
  </si>
  <si>
    <t>Prachi Bhoinallu</t>
  </si>
  <si>
    <t>prachibhoinallu15@gmail.com</t>
  </si>
  <si>
    <t>p25700331@student.nicmar.ac.in</t>
  </si>
  <si>
    <t>15-Mar-2002</t>
  </si>
  <si>
    <t>6358 9886 5554</t>
  </si>
  <si>
    <t>JOB</t>
  </si>
  <si>
    <t>Sr. No. 13/4/5 Flat No. 25, Wing No. 3, Anandpark, Ektanagari, Anandnagar, Sinhgad Road, Pune 51</t>
  </si>
  <si>
    <t>BHOINALLU PRACHI VIJAY</t>
  </si>
  <si>
    <t>SECONDARY AND HIGHER SECONDARY EDUCATION, PUNE MAHARASHTRA</t>
  </si>
  <si>
    <t>HIGHER SECONDARY EDUCATION, PUNE MAHARASHTRA</t>
  </si>
  <si>
    <t>ZEAL POLYTECHNIC PUNE, MAHARASHTRA</t>
  </si>
  <si>
    <t>R. M. D SINHGAD SCHOOL OF ENGINEERING, PUNE MAHARASHTRA</t>
  </si>
  <si>
    <t>Son Waterproofing Co. LLP. | Billing Assistance | Pune | Jul 2024 | Nov 2024 | 20.428571428571 Weeks</t>
  </si>
  <si>
    <t>P25700332</t>
  </si>
  <si>
    <t>OM</t>
  </si>
  <si>
    <t>Om Rahul Jadhav</t>
  </si>
  <si>
    <t>omjadhav9950@gmail.com</t>
  </si>
  <si>
    <t>p25700332@student.nicmar.ac.in</t>
  </si>
  <si>
    <t>16-Mar-2003</t>
  </si>
  <si>
    <t>2769 2739 1544</t>
  </si>
  <si>
    <t>RAHUL BHIKASHETH JADHAV</t>
  </si>
  <si>
    <t>RUPALI RAHUL JADHAV</t>
  </si>
  <si>
    <t>Swpankunj Tilak Road Saraf Bazar Saraf</t>
  </si>
  <si>
    <t>MAHARASHTRA STATE BOARD OF SECONDARY AND HIGHER SECONDARY EDUCATION (MSBSHSE) , NASHIK</t>
  </si>
  <si>
    <t>UPADHYAY COLLEGE OF SCIENCE</t>
  </si>
  <si>
    <t>MIT WORLD PEACE UNIVERSITY, PUNE , MAHARASHTRA</t>
  </si>
  <si>
    <t>2027-Jun</t>
  </si>
  <si>
    <t>MIT WORLD PEACE UNIVERSITY, PUNE | Intern | PUNE | Mar 2023 | May 2023 | 12.857142857143 Weeks
INDIAN INSTITUTE OF TECHNOLOGY BOMBAY | RESEARCH INTERN | MUMBAI | Jan 2025 | Jul 2025 | 25.714285714286 Weeks</t>
  </si>
  <si>
    <t>P25700333</t>
  </si>
  <si>
    <t>TRIBHUVAN</t>
  </si>
  <si>
    <t>SALUNKE</t>
  </si>
  <si>
    <t>Tribhuvan Sunil Salunke</t>
  </si>
  <si>
    <t>salunketribhuvan@gmail.com</t>
  </si>
  <si>
    <t>p25700333@student.nicmar.ac.in</t>
  </si>
  <si>
    <t>21-Nov-1998</t>
  </si>
  <si>
    <t>6706 6315 7654</t>
  </si>
  <si>
    <t>UJWALA</t>
  </si>
  <si>
    <t>102 Om Plaza, Laxmi Colony Old Ausa Road_x000D_</t>
  </si>
  <si>
    <t>SHRI SADANAND HIGH SCHOOL LATUR.</t>
  </si>
  <si>
    <t>VISHWESHWARAYYA ABHIYANTRIKI PADVIKA MAHAVIDYALAYA ALMALA</t>
  </si>
  <si>
    <t>K J COLLEGE OF ENGINEERING &amp; MANAGEMENT RESEARCH,PUNE</t>
  </si>
  <si>
    <t>P25700334</t>
  </si>
  <si>
    <t>VINAYAKA</t>
  </si>
  <si>
    <t>PRAKASHAPPA</t>
  </si>
  <si>
    <t>CHAPPARADALLI</t>
  </si>
  <si>
    <t>Vinayaka Prakashappa Chapparadalli</t>
  </si>
  <si>
    <t>vinayakapc83@gmail.com</t>
  </si>
  <si>
    <t>p25700334@student.nicmar.ac.in</t>
  </si>
  <si>
    <t>2391 3504 9052</t>
  </si>
  <si>
    <t>LATE FORMER</t>
  </si>
  <si>
    <t>HOUSE WORK</t>
  </si>
  <si>
    <t>GURUCHARAN PG LAXMAN NAGAR BANER, LAXMAN NAGAR, BANER, PUNE,Â MAHARASHTRA</t>
  </si>
  <si>
    <t>Haveri (Dis),Hirekerur(Tq), Ingalagondi (V) (P).</t>
  </si>
  <si>
    <t>Haveri</t>
  </si>
  <si>
    <t>BGS ENG MED SCHOOL, SHARAVATHI NAGAR SHIVAMOGGA.</t>
  </si>
  <si>
    <t>KARNATAKA SECONDARY EDUCATION EXAMINATION BOARD, KARNATAKA.</t>
  </si>
  <si>
    <t>ADICHUNCHANAGIRI PU COLLEGE, KUVEMPU ROAD SHARAVATHI NAGAR, SHIVAMOGGA.</t>
  </si>
  <si>
    <t>DEPARTMENT OF PRE-UNIVERSITY EDUCATION, KARNATAKA.</t>
  </si>
  <si>
    <t>VISHWESHVARAIH TECHNOLOGICAL UNIVERSITY(VTU)</t>
  </si>
  <si>
    <t>DAYANANDA SAGAR COLLEGE OF ENGINEERING, KUMARSWAMY LAYOUT, BENGALURU, KARNATAKA.</t>
  </si>
  <si>
    <t>AutoCAD, MS Project, Primavera, MS office.</t>
  </si>
  <si>
    <t>Varunkumar Construction | Site Engineer and QA/QC | Bengaluru  | Feb 2024 | Jan 2025 | 0Y 11M | 2.5</t>
  </si>
  <si>
    <t>Oswal Group (Vardhman Amrante Pvt. Ltd.) | QA/QC &amp; Safety Control Intern | Ludhiana, Punjab  | May 2026 | Jul 2026 | 9.5714285714286 Weeks | Campus Internship
DESIGN POINT PROJECT MANAGEMENT AND CONSULTANTS | Site Engineer | Bangalore, Karnataka | Aug 2023 | Sep 2023 | 4.4285714285714 Weeks</t>
  </si>
  <si>
    <t>P25700335</t>
  </si>
  <si>
    <t>Anuj Gautam</t>
  </si>
  <si>
    <t>anuj28gautam@gmail.com</t>
  </si>
  <si>
    <t>p25700335@student.nicmar.ac.in</t>
  </si>
  <si>
    <t>02-Aug-2003</t>
  </si>
  <si>
    <t>7741 9856 0821</t>
  </si>
  <si>
    <t>RAKESH KUMAR GAUTAM</t>
  </si>
  <si>
    <t>MALTI</t>
  </si>
  <si>
    <t>432/95B/35, Momin Nagar, Campbell Road, Lucknow</t>
  </si>
  <si>
    <t>KASIGA SCHOOL</t>
  </si>
  <si>
    <t>CBSE, DEHRADUN</t>
  </si>
  <si>
    <t>VELLORE INSTITUTE OF TECHNOLOGY, CHENNAI</t>
  </si>
  <si>
    <t>CentreTech PMC Pvt. Ltd. | Project Management Intern | Thane | May 2026 | Jul 2026 | 8.7142857142857 Weeks | Campus Internship
Suraj Builder India Pvt. Ltd. | Trainee Engineer | Lucknow | Jul 2024 | Nov 2024 | 17.571428571429 Weeks</t>
  </si>
  <si>
    <t>Finance for Non-Financial Managers
Primavera with PPM Concepts</t>
  </si>
  <si>
    <t>P25700336</t>
  </si>
  <si>
    <t>PRAGATI</t>
  </si>
  <si>
    <t>JEETENDRA</t>
  </si>
  <si>
    <t>JAGTAP</t>
  </si>
  <si>
    <t>Pragati Jeetendra Jagtap</t>
  </si>
  <si>
    <t>jagtapp087@gmail.com</t>
  </si>
  <si>
    <t>p25700336@student.nicmar.ac.in</t>
  </si>
  <si>
    <t>12-Nov-1998</t>
  </si>
  <si>
    <t>2553 8466 7012</t>
  </si>
  <si>
    <t>JEETENDRA JAGTAP</t>
  </si>
  <si>
    <t>SANDHYA JAGTAP</t>
  </si>
  <si>
    <t>B1, 501, WELWORTH CELINA SOCIETY, OFF BANER ROAD, BANER, PUNE</t>
  </si>
  <si>
    <t>House No.18B, Ward No.6 Near Sai Temple,_x000D_
Arni Road, Samta Nagar, Yavatmal</t>
  </si>
  <si>
    <t>MAHILA VIDHYALA, YAVATMAL</t>
  </si>
  <si>
    <t>MAHARASHTRA STATE BOARD OF SECONDARY AND HIGHER SECONDARY EDUCATION (SSC)</t>
  </si>
  <si>
    <t>GOVERNMENT POLYTECHNIC, YAVATMAL, MAHARASHTRA</t>
  </si>
  <si>
    <t>JAGADAMBHA COLLAGE OF ENGINEERING AND TECHNOLOGY, YAVATMAL</t>
  </si>
  <si>
    <t>AutoCAD,MS Office,MS Project,Primavera,3D modeling using Sketchup-pro,Autodesk 3DS Max,Cost-x,Coohom AI Tool</t>
  </si>
  <si>
    <t>K Group of Emperors | Interior Designer | Pune | Jun 2022 | Jan 2024 | 1Y 7M | 4</t>
  </si>
  <si>
    <t>AutoCAD
3D Modeling, Animation &amp; Rendering using Autodesk 3DS Max
3D Modeling using SketchUp Pro</t>
  </si>
  <si>
    <t>P25700337</t>
  </si>
  <si>
    <t>RESHANYA</t>
  </si>
  <si>
    <t>Reshanya Gautam</t>
  </si>
  <si>
    <t>gautamreshanya@gmail.com</t>
  </si>
  <si>
    <t>p25700337@student.nicmar.ac.in</t>
  </si>
  <si>
    <t>English &amp; Hindi</t>
  </si>
  <si>
    <t>6209 6984 1950</t>
  </si>
  <si>
    <t>VIJAY GAUTAM</t>
  </si>
  <si>
    <t>GAYATRI GAUTAM</t>
  </si>
  <si>
    <t>576-577 Sai Kripa Colony</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</si>
  <si>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</si>
  <si>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</si>
  <si>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</si>
  <si>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</si>
  <si>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</si>
  <si>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P25700338</t>
  </si>
  <si>
    <t>KANSAL</t>
  </si>
  <si>
    <t>Krishna Kansal</t>
  </si>
  <si>
    <t>kansalkrishna2609@gmail.com</t>
  </si>
  <si>
    <t>p25700338@student.nicmar.ac.in</t>
  </si>
  <si>
    <t>5058 9782 3971</t>
  </si>
  <si>
    <t>YOGESH KANSAL</t>
  </si>
  <si>
    <t>POONAM KANSAL</t>
  </si>
  <si>
    <t>E-1055, SARASWATI VIHAR, PITAMPURA, NEW DELHI-110034</t>
  </si>
  <si>
    <t>North West Delhi</t>
  </si>
  <si>
    <t>SACHDEVA PUBLIC SCHOOL</t>
  </si>
  <si>
    <t>DELHI TECHNOLOGICAL UNIVERSITY</t>
  </si>
  <si>
    <t>DELHI TECHNOLOGICAL UNIVERSITY , DELHI</t>
  </si>
  <si>
    <t>AutoCAD,MS Office,MS Project,Primavera,REVIT,STADDPRO</t>
  </si>
  <si>
    <t>Prestige Estates Project Limited | Intern | Delhi-NCR | May 2026 | Jul 2026 | 8.5714285714286 Weeks | Campus Internship
PUSHPDEEP INFRASTRUCTURE | TRAINEE CIVIL ENGINEER | DELHI | Feb 2025 | Jun 2025 | 21.285714285714 Weeks
CENTRAL PUBLIC WORKS DEPARTMENT | TRAINEE CIVIL ENGINEER | DELHI | May 2024 | Jul 2024 | 8.4285714285714 Weeks
KBG ENGINEERS | TRAINEE CIVIL ENGINEER | JODHPUR, RAJASTHAN | Jun 2023 | Jun 2023 | 4.1428571428571 Weeks</t>
  </si>
  <si>
    <t>P25700339</t>
  </si>
  <si>
    <t>NAVANEET</t>
  </si>
  <si>
    <t>ANANT</t>
  </si>
  <si>
    <t>THORWAT</t>
  </si>
  <si>
    <t>Navaneet Anant Thorwat</t>
  </si>
  <si>
    <t>navaneetthorwat10@gmail.com</t>
  </si>
  <si>
    <t>p25700339@student.nicmar.ac.in</t>
  </si>
  <si>
    <t>ENGLISH, MARATHI, HINDI &amp; KANNADA</t>
  </si>
  <si>
    <t>6026 1052 4796</t>
  </si>
  <si>
    <t>ANJANA</t>
  </si>
  <si>
    <t>SHANKAR NAGAR NIDASOSHI ROAD,NEAR JOTHIBHA TEMPLE, SANKESHWAR</t>
  </si>
  <si>
    <t>Belgaum</t>
  </si>
  <si>
    <t>41321 - S S (K) PATIL ENG MED SCH SANKESHWAR BELGAUM KK</t>
  </si>
  <si>
    <t>SNJPSNMS INDP PU COLLEGE, NIDASOSHI HUKKERI TQ, BELGAUM DT 591236</t>
  </si>
  <si>
    <t>KLE TECHNOLOGICAL UNIVERSITY, HUBBALLI, KARNATAKA, INDIA.</t>
  </si>
  <si>
    <t>B.G. SHIRKE CONSTRUCTION TECHNOLOGY PVT. LTD. | Management Trainee | Goregaon West, Mumbai. | May 2026 | Jul 2026 | 8.7142857142857 Weeks | Campus Internship
SHRIYA PROPERTIES | SITE ENGINEER | HUBBALLI | Jan 2024 | Mar 2024 | 8.4285714285714 Weeks</t>
  </si>
  <si>
    <t>P25700340</t>
  </si>
  <si>
    <t>RONAK</t>
  </si>
  <si>
    <t>NITIN</t>
  </si>
  <si>
    <t>Ronak Nitin Rajput</t>
  </si>
  <si>
    <t>p25700340@student.nicmar.ac.in</t>
  </si>
  <si>
    <t>11-Dec-2002</t>
  </si>
  <si>
    <t>ENGLISH ,MARATHI, HINDI</t>
  </si>
  <si>
    <t>5232 5670 9852</t>
  </si>
  <si>
    <t>GANDHI NAGAR ,MALKAPUR</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</si>
  <si>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</si>
  <si>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</si>
  <si>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</si>
  <si>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</si>
  <si>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</si>
  <si>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</si>
  <si>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MAHARASHTRA METRO RAIL CORPORATION LTD. | INTERN | PUNE | Dec 2023 | Jan 2024 | 4.4285714285714 Weeks</t>
  </si>
  <si>
    <t>Ethics in Engineering Practice
Project Management Professional (PMP)
Business Analysis &amp; Process Management
Renewable Energy and Green Building Entrepreneurship
Finance for Non- Financial Managers</t>
  </si>
  <si>
    <t>P25700341</t>
  </si>
  <si>
    <t>NINAD</t>
  </si>
  <si>
    <t>Shinde Ninad Nikhil</t>
  </si>
  <si>
    <t>ninadshinde2803@gmail.com</t>
  </si>
  <si>
    <t>p25700341@student.nicmar.ac.in</t>
  </si>
  <si>
    <t>4700 3173 4781</t>
  </si>
  <si>
    <t>SUMEDHA</t>
  </si>
  <si>
    <t>907,KSHIRSAGAR SPHURTI,_x000D_
Khan Bhag,_x000D_
Kshirsagar Galli,_x000D_
VTC: Sangli,_x000D_
PO: Sangli,_x000D_
District: Sangli,_x000D_
State:Â Maharashtra,</t>
  </si>
  <si>
    <t>SOU SUNDARABAI SHANKARLAL MALU ENGLISH MEDIUM SCHOOL, HARIPUR, SANGLI</t>
  </si>
  <si>
    <t>KOLHAPUR DIVISIONAL BOARD/ MAHARASHTRA</t>
  </si>
  <si>
    <t>ARVADE HIGHSCHOOL, SANGLI</t>
  </si>
  <si>
    <t>D.BATU</t>
  </si>
  <si>
    <t>PADMABHOOSHAN VASANTRAODADA PATIL INSTITUTE OF TECHNOLOGY, BUDHGAON, SANGLI</t>
  </si>
  <si>
    <t>P25700342</t>
  </si>
  <si>
    <t>GHANSHYAM</t>
  </si>
  <si>
    <t>RAGHUNATH</t>
  </si>
  <si>
    <t>Ghanshyam Raghunath Patil</t>
  </si>
  <si>
    <t>grpatil512002@gmail.com</t>
  </si>
  <si>
    <t>p25700342@student.nicmar.ac.in</t>
  </si>
  <si>
    <t>05-Jan-2002</t>
  </si>
  <si>
    <t>6624 9853 1776</t>
  </si>
  <si>
    <t>RAGHUNATH PATIL</t>
  </si>
  <si>
    <t>FLAT NO. - 506, SARTHI SKYBAY C- WING, MAHALUNGE BALEWADI DIST. - PUNE</t>
  </si>
  <si>
    <t>A/P Avandhi, Tal. - Jath, Dist. - Sangli</t>
  </si>
  <si>
    <t>SHREE BHAVANI VIDYALAYA ATPADI.</t>
  </si>
  <si>
    <t>SANGLI/ MAHARASHTRA</t>
  </si>
  <si>
    <t>LAXMIDEVI PRIMARY, SECONDARY AND HIGHER EDUCATION</t>
  </si>
  <si>
    <t>SANGOLA/ MARASHTRA</t>
  </si>
  <si>
    <t>DR. BABASAHEB AMBEDKAR TECHNOLOGICAL UNIVERSITY, LONARE</t>
  </si>
  <si>
    <t>PADMABHOOSHAN VASANTRAO DADA PATIL INSTITUTE OF TECHNOLOGY, BUDHGAON</t>
  </si>
  <si>
    <t>P25700343</t>
  </si>
  <si>
    <t>PRAJIT</t>
  </si>
  <si>
    <t>Prajit S S</t>
  </si>
  <si>
    <t>prajitss03@gmail.com</t>
  </si>
  <si>
    <t>p25700343@student.nicmar.ac.in</t>
  </si>
  <si>
    <t>05-Sep-2003</t>
  </si>
  <si>
    <t>7227 8445 0768</t>
  </si>
  <si>
    <t>SIVAKUMAR</t>
  </si>
  <si>
    <t>SHANMUGAVADIVU</t>
  </si>
  <si>
    <t>125, Veppankattuthottam, Uppilipalayam, K G Valasu Post, Murungatholuvu</t>
  </si>
  <si>
    <t>Erode</t>
  </si>
  <si>
    <t>THE INDIAN PUBLIC SCHOOL</t>
  </si>
  <si>
    <t>CENTRAL BOARD OF SECONDARY EDUCATION, TAMIL NADU</t>
  </si>
  <si>
    <t>THE SUGUNA PIP SCHOOL</t>
  </si>
  <si>
    <t>AMRITA VISHWA VIDYAPEETHAM</t>
  </si>
  <si>
    <t>J Kumar InfraProjects Ltd | Project Management Intern | Chennai | May 2026 | Jul 2026 | 9.7142857142857 Weeks | Campus Internship
URC CONSTRUCTIONS (P) LTD | INTERN | CHENNAI | Jun 2024 | Jun 2024 | 2.4285714285714 Weeks
SRI MURUGAN CONSTRUCTIONS | PROJECT ASSISTANT INTERN | ERODE | May 2025 | Jun 2025 | 8.5714285714286 Weeks
L&amp;T EDUTECH | INTERN | CHENNAI | Jun 2024 | Jul 2024 | 1.5714285714286 Weeks</t>
  </si>
  <si>
    <t>Sustainable Design Of Buildings
Principles of Construction Management</t>
  </si>
  <si>
    <t>P25700344</t>
  </si>
  <si>
    <t>AMRUT</t>
  </si>
  <si>
    <t>KHALSE</t>
  </si>
  <si>
    <t>Rushikesh Amrut Khalse</t>
  </si>
  <si>
    <t>rakhalse@gmail.com</t>
  </si>
  <si>
    <t>p25700344@student.nicmar.ac.in</t>
  </si>
  <si>
    <t>06-Dec-1999</t>
  </si>
  <si>
    <t>7430 9272 6866</t>
  </si>
  <si>
    <t>VIJAYA</t>
  </si>
  <si>
    <t>BHAVANI GALLI SHENDURNI TAL-JAMNER DIST-JALGAON</t>
  </si>
  <si>
    <t>A.G.R.G.M.VIDYALAYA SHENDURNI</t>
  </si>
  <si>
    <t>SIDDHIVINAYAK TECHNICAL CAMPUS</t>
  </si>
  <si>
    <t>SAVITRIBAI PHULE UNIVERSITY PUNE UNIVERSITY</t>
  </si>
  <si>
    <t>SINHGAD ACADEMY OF ENGINEERING</t>
  </si>
  <si>
    <t>AutoCAD,MS Office,MS Project,Primavera,PHOTOSHOP,GRAPHIC DESIGN</t>
  </si>
  <si>
    <t>Deshpande landmark private limited | Project Engineer | Kothrud,Pune | May 2023 | Oct 2024 | 1Y 5M | 2.04</t>
  </si>
  <si>
    <t>P25700345</t>
  </si>
  <si>
    <t>PRAKSHALE</t>
  </si>
  <si>
    <t>Ayush Dilip Prakshale</t>
  </si>
  <si>
    <t>ayushprakshale@gmail.com</t>
  </si>
  <si>
    <t>p25700345@student.nicmar.ac.in</t>
  </si>
  <si>
    <t>30-Apr-2003</t>
  </si>
  <si>
    <t>4397 2463 5817</t>
  </si>
  <si>
    <t>DILIP SHAMRAO PRAKSHALE</t>
  </si>
  <si>
    <t>GOVERNMENT OFFICER</t>
  </si>
  <si>
    <t>SHAILAJA DILIP PRAKSHALE</t>
  </si>
  <si>
    <t>B 204 PRAKASH DEEP , NEAR NARAYANI DHAM MANDIR , KATRAJ , PUNE 411046</t>
  </si>
  <si>
    <t>PAWAR PUBLIC SCHOOL</t>
  </si>
  <si>
    <t>GOVERNMENT POLYTECHNIC PUNE, MAHARSHTRA</t>
  </si>
  <si>
    <t>DR.VISHWANATH KARAD MIT WORLD PEACE UNIVERSITY , PUNE , MAHARASHTRA</t>
  </si>
  <si>
    <t>Primavera ,Cost X ,Revit ,Microsoft Project , eTabs(Basic Modelling) , AutoCAD ,MS Office ,</t>
  </si>
  <si>
    <t xml:space="preserve"> Savvy Infrastructure Pvt. Ltd. | Quality Assurance &amp; Quality Control Intern | Gift City ,Gujarat | May 2026 | Jul 2026 | 8.7142857142857 Weeks | Campus Internship
SOIL AND WATER CONSERVATION DEPARTMENT ,GOVERNMENT OF MAHARASHTRA | SITE INTERN | KONDI, SOLAPUR | Jan 2025 | Jul 2025 | 25.857142857143 Weeks</t>
  </si>
  <si>
    <t>ISO 9001:2015 QMS Implementation and Auditing Practices
Managing Project Life Cycle with Primavera
Foundations of Project Management
Operations Management
IGBC Green Buildings &amp; Built Environment
Strategic Management
Certificate of Completion Talking to AI Prompt Engineering for Project Managers</t>
  </si>
  <si>
    <t>P25700346</t>
  </si>
  <si>
    <t>KAVYA</t>
  </si>
  <si>
    <t>NARAYANAN</t>
  </si>
  <si>
    <t>Kavya Narayanan</t>
  </si>
  <si>
    <t>kavya.hyd2019@gmail.com</t>
  </si>
  <si>
    <t>p25700346@student.nicmar.ac.in</t>
  </si>
  <si>
    <t>21-Jun-2001</t>
  </si>
  <si>
    <t>English, Hindi, Tamil</t>
  </si>
  <si>
    <t>5882 0135 5743</t>
  </si>
  <si>
    <t>JAI NARAYANAN SRINIVASAN</t>
  </si>
  <si>
    <t>SRIVIDYA NARAYANAN</t>
  </si>
  <si>
    <t>Flat 108, Lilac Tower, L And T Serene County, Telecom Nagar, Near Urdu University, Gachibowli</t>
  </si>
  <si>
    <t>MERIDIAN SCHOOL HYDERABAD RR DISTRICT</t>
  </si>
  <si>
    <t>CENTRAL BOARD OF SECONDARY EDUCATION , HYDERABAD</t>
  </si>
  <si>
    <t>CHIREC PUBLIC SCHOOL KONDAPUR HYDERABAD</t>
  </si>
  <si>
    <t>MANIPAL ACADEMY OF HIGHER EDUCATION</t>
  </si>
  <si>
    <t>MANIPAL SCHOOL OF ARCHITECTURE AND PLANNING , MANIPAL , KARNATAKA</t>
  </si>
  <si>
    <t>MS Project, MS Office, Primavera, Power BI, AutoCAD, Autodesk Revit, Sketchup, Twinmotion</t>
  </si>
  <si>
    <t>KPMG India | Summer Intern in Transformation - MPA team | Hyderabad | May 2026 | Jun 2026 | 7.5714285714286 Weeks | Campus Internship
SPaN Associates | Architectural Intern | Hyderabad | Jan 2023 | Jun 2023 | 25.571428571429 Weeks</t>
  </si>
  <si>
    <t xml:space="preserve">Solar Decathlon India 2021-22: Online Learning Modules on Net Zero Energy and Water Buildings </t>
  </si>
  <si>
    <t>P25700347</t>
  </si>
  <si>
    <t>RAJDEEPSING</t>
  </si>
  <si>
    <t>DINKAR</t>
  </si>
  <si>
    <t>Rajdeepsing Dinkar Patil</t>
  </si>
  <si>
    <t>rajdeep.patil1109@gmail.com</t>
  </si>
  <si>
    <t>p25700347@student.nicmar.ac.in</t>
  </si>
  <si>
    <t>8885 8156 4168</t>
  </si>
  <si>
    <t>DINKAR T PATIL</t>
  </si>
  <si>
    <t>RAJSHREE PATIL</t>
  </si>
  <si>
    <t>Rajdeep Banglow,Plot No 21 To 26A, RD Circle, Karmyogi Nager, Nashik 422008</t>
  </si>
  <si>
    <t>MARATHA HIGHSCHOOL NASHIK</t>
  </si>
  <si>
    <t>KTHM COLLAGE NASHIK</t>
  </si>
  <si>
    <t>MIT ACADEMY OF ENGINEERING,ALANDI,PUNE</t>
  </si>
  <si>
    <t>AutoCAD,MS Office,REVIT,ETABS</t>
  </si>
  <si>
    <t>Winntus Aluminium Formwork | Design Engineer  | Pune  | Jan 2025 | May 2025 | 21.285714285714 Weeks
NIRMITI CONSULTANTS PVT.LTD | SITE ENGINEER | NASHIK | Jun 2024 | Jul 2024 | 4.2857142857143 Weeks</t>
  </si>
  <si>
    <t>Autodesk Revit For Architecture
Autocad Certification Course</t>
  </si>
  <si>
    <t>P25700348</t>
  </si>
  <si>
    <t>MANTHAN</t>
  </si>
  <si>
    <t>DAHIWALE</t>
  </si>
  <si>
    <t>Manthan Dahiwale</t>
  </si>
  <si>
    <t>manthan12@gmail.com</t>
  </si>
  <si>
    <t>p25700348@student.nicmar.ac.in</t>
  </si>
  <si>
    <t>12-Aug-1999</t>
  </si>
  <si>
    <t>8129 4805 0309</t>
  </si>
  <si>
    <t>CHITRA</t>
  </si>
  <si>
    <t>C-302, Kandpile Residency Near Sbi Atm Takka Panvel</t>
  </si>
  <si>
    <t>MPSC COLLEGE</t>
  </si>
  <si>
    <t>STATE BOARD</t>
  </si>
  <si>
    <t>SHANTINIKETAN POLYTECHNIC, MUMBAI</t>
  </si>
  <si>
    <t>MGM COLLEGE OF ENGINEERING</t>
  </si>
  <si>
    <t>Rajshree Construction Consortium | Junior Engineer | Mumbai | Jan 2024 | Sep 2024 | 0Y 8M | 2.52
Visiontech Construction | Project Engineer | Mumbai | Oct 2024 | Jun 2025 | 0Y 8M | 3</t>
  </si>
  <si>
    <t>Kedar Buildcon Builders &amp; Developers | Site Intern | Mumbai | Nov 2022 | Feb 2023 | 13.142857142857 Weeks</t>
  </si>
  <si>
    <t>P25700349</t>
  </si>
  <si>
    <t>ROBIN</t>
  </si>
  <si>
    <t>Robin Singh</t>
  </si>
  <si>
    <t>robinsingh6250@gmail.com</t>
  </si>
  <si>
    <t>p25700349@student.nicmar.ac.in</t>
  </si>
  <si>
    <t>15-Sep-1998</t>
  </si>
  <si>
    <t>4768 5712 8424</t>
  </si>
  <si>
    <t>SAJEEWAN SINGH</t>
  </si>
  <si>
    <t>SUSHEELA SINGH</t>
  </si>
  <si>
    <t>Indira Nagar Nyotani Unnao</t>
  </si>
  <si>
    <t>Unnao</t>
  </si>
  <si>
    <t>K R B SINGH INTER COLLEGE</t>
  </si>
  <si>
    <t>UTTAR PRADESH STATE BOARD OF HIGH SCHOOL AND INTERMEDIATE EDUCATION</t>
  </si>
  <si>
    <t>DR. A.P.J ABDUL KALAM TECHNICAL UNIVERSITY, UP</t>
  </si>
  <si>
    <t>BANSAL INSTITUTE OF ENGINEERING &amp; TECHNOLOGY</t>
  </si>
  <si>
    <t>AutoCAD,MS Office,Microsoft Excel, Primavera P6, Revit, Cost X</t>
  </si>
  <si>
    <t>Neccon Power &amp; Infra Ltd | Civil Engineer | Hajo Assam | Nov 2021 | Feb 2025 | 3Y 2M | 3.6
Quess Corp Limited | Civil Engineer | Velgatoor Telangana | Feb 2025 | Jul 2025 | 0Y 4M | 4.85</t>
  </si>
  <si>
    <t>Kayne Bio Sciences Ltd. | Project Execution Intern | Hyderabad | May 2026 | Jul 2026 | 8.7142857142857 Weeks | Campus Internship
U. P Rajkiya Nirmad Nigam Limited Lucknow Uttar Pradesh. | Summer Trainee | Lucknow | Jul 2018 | Jul 2018 | 4.1428571428571 Weeks
Research Designs and standards organisation Manak Nagar Lucknow Uttar Pradesh | Summer Trainee | Lucknow | Jun 2019 | Jul 2019 | 5.5714285714286 Weeks</t>
  </si>
  <si>
    <t>P25700350</t>
  </si>
  <si>
    <t>YADHUKRISHNAN</t>
  </si>
  <si>
    <t>Yadhukrishnan R</t>
  </si>
  <si>
    <t>yadhukrishnanr4@gmail.com</t>
  </si>
  <si>
    <t>p25700350@student.nicmar.ac.in</t>
  </si>
  <si>
    <t>04-May-1999</t>
  </si>
  <si>
    <t>English,Malayalam,Hindi</t>
  </si>
  <si>
    <t>4990 5447 0974</t>
  </si>
  <si>
    <t>RAGHAVA PANICKER</t>
  </si>
  <si>
    <t>GROCERY SHOP</t>
  </si>
  <si>
    <t>REMADEVI RAGHAVA PANICKER</t>
  </si>
  <si>
    <t>Cheruppillil House, Edayakunnam, South Chittoor P O, Ernakulam</t>
  </si>
  <si>
    <t>AMRITA VIDYALAYAM</t>
  </si>
  <si>
    <t>CENTRAL BOARD OF SECONDARY EDUCATION , ERNAKULAM- KERALA</t>
  </si>
  <si>
    <t>SCMS SCHOOL OF ENGINEERING AND TECHNOLOGY, ERNAKULAM-KERALA</t>
  </si>
  <si>
    <t>AutoCAD,MS Office,Internal QMS Auditor (ISO-9001:2015),Concrete Mix design</t>
  </si>
  <si>
    <t>Larsen and Toubro | Senior Engineer | Meghalaya and Assam | Oct 2022 | Jul 2025 | 2Y 8M | 8.28</t>
  </si>
  <si>
    <t>Sobha Limited | Planning Intern | Bangalore | May 2026 | Jul 2026 | 9 Weeks | Campus Internship
NESTABIDE | Trainee | Ernakulam | Dec 2021 | Jul 2022 | 29.142857142857 Weeks</t>
  </si>
  <si>
    <t>Internal QMS Auditor (ISO-9001-2015)</t>
  </si>
  <si>
    <t>P25700351</t>
  </si>
  <si>
    <t>ZAMBRE</t>
  </si>
  <si>
    <t>SANJIV</t>
  </si>
  <si>
    <t>Zambre Sarthak Sanjiv</t>
  </si>
  <si>
    <t>zambresarthak@gmail.com</t>
  </si>
  <si>
    <t>p25700351@student.nicmar.ac.in</t>
  </si>
  <si>
    <t>23-May-2003</t>
  </si>
  <si>
    <t>2091 0417 0352</t>
  </si>
  <si>
    <t>SANJIV ZAMBRE</t>
  </si>
  <si>
    <t>MANISHA ZAMBRE</t>
  </si>
  <si>
    <t>Vasantdada Sugar Factory Ctype 4/R11 Madhavnagar Road Sangli</t>
  </si>
  <si>
    <t>SANGLI HIGHSCHOOL, SANGLI</t>
  </si>
  <si>
    <t>MAHARASHTRA STATE BOARD OF SECONDARY AND HIGHER SECONDARY EDUCATION, PUNE, MAHARASHTRA.</t>
  </si>
  <si>
    <t>SHIVAJI UNIVERSITY , KOLHAPUR</t>
  </si>
  <si>
    <t>RAJARAMBAPU INSTITUTE OF TECHNOLOGY, RAJARAMNAGAR (SAKHARALE), WALWA, DIST-SANGLI,MAHARASHTRA.</t>
  </si>
  <si>
    <t>AutoCAD,MS Office,MS Project,Primavera,staadpro,Costx</t>
  </si>
  <si>
    <t>GNY Group  | Summer Intern | Chhatrapati Sambhajinagar. | May 2026 | Jul 2026 | 8.7142857142857 Weeks | Campus Internship
MB CONSTRUCTION HOUSE | SITE ENGINEER | SANGLI | Aug 2023 | Aug 2023 | 2.4285714285714 Weeks</t>
  </si>
  <si>
    <t>Ethics in Engineering Practice
Finance for non-Financial Managers
Foundations of Project Management
German-I</t>
  </si>
  <si>
    <t>P25700352</t>
  </si>
  <si>
    <t>SARVESH</t>
  </si>
  <si>
    <t>CHAUDHARI</t>
  </si>
  <si>
    <t>Sarvesh Rajesh Chaudhari</t>
  </si>
  <si>
    <t>sarveshchaudhari194@gmail.com</t>
  </si>
  <si>
    <t>p25700352@student.nicmar.ac.in</t>
  </si>
  <si>
    <t>05-Mar-2000</t>
  </si>
  <si>
    <t>8625 5103 4513</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</si>
  <si>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</si>
  <si>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</si>
  <si>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</si>
  <si>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</si>
  <si>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</si>
  <si>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</si>
  <si>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</si>
  <si>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</si>
  <si>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</si>
  <si>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AutoCAD,MS Office,MS Project,MS Power BI</t>
  </si>
  <si>
    <t>Marathon Realty Pvt. Ltd. | Project Planning &amp; Execution | Mulund Head office, Mumbai | Dec 2021 | Jul 2025 | 3Y 6M | 4.6</t>
  </si>
  <si>
    <t>3 Years 6 Months</t>
  </si>
  <si>
    <t>Deloitte Touche Tohmatsu India LLP | Intern | Mumbai | May 2026 | Jul 2026 | 8.5714285714286 Weeks | Campus Internship
CITY AND INDUSTRIAL DEVELOPMENT CORPORATION OF MAHARASHTRA LIMITED | INTERN | PUSHPAK NAGAR, DAPOLI, NAVI MUMBAI | Dec 2019 | Jan 2020 | 4.5714285714286 Weeks</t>
  </si>
  <si>
    <t>Computing &amp; Typing English (30WPM)
Maharashtra State Certificate In Information Technology (MS-CIT)
MS Excel
Autocad 2D &amp; 3D
Power BI</t>
  </si>
  <si>
    <t>P25700353</t>
  </si>
  <si>
    <t>NAKUL</t>
  </si>
  <si>
    <t>RAMKISAN</t>
  </si>
  <si>
    <t>Ingle Nakul Ramkisan</t>
  </si>
  <si>
    <t>nakulingle5@gmail.com</t>
  </si>
  <si>
    <t>p25700353@student.nicmar.ac.in</t>
  </si>
  <si>
    <t>11-Aug-2002</t>
  </si>
  <si>
    <t>3791 6472 1776</t>
  </si>
  <si>
    <t>RAMKISAN PARMESHWAR INGLE</t>
  </si>
  <si>
    <t>MEENA RAMKISAN INGLE</t>
  </si>
  <si>
    <t>FLAT NO B- 702 , KAVERI APARTMENT, MHADA COLONY, NEAR SNBP INTERNATIONAL SCHOOL MORWADI, PIMPRI, PUNE</t>
  </si>
  <si>
    <t>At.Pentakali, Po. Hiwara Aashram, Tq. Mehkar, Dist. Buldhana. Maharashtra. Pin - 443301</t>
  </si>
  <si>
    <t>CHATRAPATI SHAHU MAHARAJ VIDYALAYA, PENTAKALI</t>
  </si>
  <si>
    <t>CUSROW WADIA INSTITUTE OF TECHNOLOGY, PUNE</t>
  </si>
  <si>
    <t>DR. D. Y. PATIL INSTITUTE OF TECHNOLOGY, PIMPRI, PUNE</t>
  </si>
  <si>
    <t>AutoCAD,MS Office,MS Project,Primavera,Autodesk Revit,MS Excel,AutoCAD 3D,BIM,CostX</t>
  </si>
  <si>
    <t>Kolte Patil Developer's limited  | Construction &amp; Operation Department - Intern | Wagholi, Pune | May 2026 | Jul 2026 | 9.7142857142857 Weeks | Campus Internship
INFRAKING CONSULTING ENGINEERS PVT.LTD | Project Management Assistant | Pune, Maharashtra | Feb 2023 | Mar 2023 | 4.1428571428571 Weeks</t>
  </si>
  <si>
    <t>Certificate Course in AutoCAD
Certificate Course In REVIT</t>
  </si>
  <si>
    <t>P25700354</t>
  </si>
  <si>
    <t>BHOOMIKA</t>
  </si>
  <si>
    <t>Bhoomika M S</t>
  </si>
  <si>
    <t>bhoomibhoomika772001@gmail.com</t>
  </si>
  <si>
    <t>p25700354@student.nicmar.ac.in</t>
  </si>
  <si>
    <t>07-Jul-2001</t>
  </si>
  <si>
    <t>English, Hindi, Kannada and Telugu</t>
  </si>
  <si>
    <t>6308 8158 5594</t>
  </si>
  <si>
    <t>SATISH BABU M S</t>
  </si>
  <si>
    <t>V KATHYAYINI</t>
  </si>
  <si>
    <t>#59, 1st Stage 18A Cross, E Block, Mahendra Enclave, Near Kavitha Bakery, JP Nagar</t>
  </si>
  <si>
    <t>CHAITRA HIGH SCHOOL</t>
  </si>
  <si>
    <t>THE NATIONAL INSTITUTE OF ENGINEERING</t>
  </si>
  <si>
    <t>MS Project, Primavera P6, Building Information Modelling (BIM), AutoCAD, MS Office</t>
  </si>
  <si>
    <t>Nina Percept Pvt Ltd (A subsidiary of Pidilite Industries Ltd) | Executive - Project Planning, Monitoring &amp; Controls | Bengaluru/ Mumbai | Aug 2023 | Jan 2025 | 1Y 4M | 3.2
Eleganz Interiors Ltd | Project Coordinator | Bengaluru | Jan 2025 | Jun 2025 | 0Y 5M | 5.4</t>
  </si>
  <si>
    <t>Prestige Estates Projects Limited | Site and Project Planning Intern | Bengaluru | May 2026 | Jul 2026 | 8.5714285714286 Weeks | Campus Internship
PUBLIC WORKS DEPARTMENT OFFICE, MYSURU | INTERNSHIP TRAINEE | MYSURU | Aug 2022 | Sep 2022 | 6.1428571428571 Weeks</t>
  </si>
  <si>
    <t>P25700355</t>
  </si>
  <si>
    <t>GATADE</t>
  </si>
  <si>
    <t>Vivek Sachin Gatade</t>
  </si>
  <si>
    <t>vivekgatade0909@gmail.com</t>
  </si>
  <si>
    <t>p25700355@student.nicmar.ac.in</t>
  </si>
  <si>
    <t>16-Jan-2003</t>
  </si>
  <si>
    <t>English, Hindi,Marathi</t>
  </si>
  <si>
    <t>6348 6670 0954</t>
  </si>
  <si>
    <t>CONSTRUCTION BUSINESS</t>
  </si>
  <si>
    <t>Babasaheb Patil Colony, Plot No. 90, Near Datt Mandir, Manermala, Unchgaon, Kolhapur.</t>
  </si>
  <si>
    <t>ROYAL ENGLISH MEDIUM SCHOOL, UNCHAGAON, KOLHAPUR</t>
  </si>
  <si>
    <t>MAHARASHTRA STATE BOARD OF SECONDARY AND  HIGHER SECONDARY EDUCATION ,PUNE</t>
  </si>
  <si>
    <t>D Y PATIL COLLEGE OF ENGINEERING AND TECHNOLOGY, KOLHAPUR</t>
  </si>
  <si>
    <t>AutoCAD,MS Office,MS Project,Revit (Arch.)</t>
  </si>
  <si>
    <t>Kolte-Patil Developers LTD. | Construction and Operation Department | Pune  | May 2026 | Jul 2026 | 9.7142857142857 Weeks | Campus Internship
DIKSHA CONSTRUCTION | SITE EXECUTION | KOLHAPUR | Jun 2024 | Jul 2024 | 4.2857142857143 Weeks</t>
  </si>
  <si>
    <t>MS-CIT
Rivet
AutoCAD
Finance For Non-Financial Managers</t>
  </si>
  <si>
    <t>P25700356</t>
  </si>
  <si>
    <t>Rushikesh Atul Jagtap</t>
  </si>
  <si>
    <t>rushiatul@gmail.com</t>
  </si>
  <si>
    <t>p25700356@student.nicmar.ac.in</t>
  </si>
  <si>
    <t>8442 2391 5724</t>
  </si>
  <si>
    <t>ATUL JAGTAP</t>
  </si>
  <si>
    <t>SELF-EMPLOYED</t>
  </si>
  <si>
    <t>SUMATI JAGTAP</t>
  </si>
  <si>
    <t>B/104, Jijau CHS, Sec- 17, Kamothe, Panvel.</t>
  </si>
  <si>
    <t>MNR SCHOOL OF EXCELLENCE</t>
  </si>
  <si>
    <t>GOVERNMENT POLYTECHNIC THANE, MUMBAI</t>
  </si>
  <si>
    <t>SARASWATI COLLEGE OF ENGINEERING, KHARGHAR, MAHARASHTRA</t>
  </si>
  <si>
    <t>AutoCAD,MS Office,MS Project,Revit,qgis</t>
  </si>
  <si>
    <t>Girish Enterprises Pvt. Ltd. | Trainee | Dronagiri, JNPT, Navi Mumbai | Jan 2022 | Mar 2022 | 6.1428571428571 Weeks
BG Shirke Construction Technology Pvt. Ltd. | Trainee | Taloja, Navi Mumbai | Feb 2021 | Feb 2021 | 2.1428571428571 Weeks</t>
  </si>
  <si>
    <t>Autodesk Revit
NPTEL Design of Steel Structures</t>
  </si>
  <si>
    <t>P25700357</t>
  </si>
  <si>
    <t>PAL</t>
  </si>
  <si>
    <t>MITUL</t>
  </si>
  <si>
    <t>DESAI</t>
  </si>
  <si>
    <t>Pal Mitul Desai</t>
  </si>
  <si>
    <t>paldesai321@gmail.com</t>
  </si>
  <si>
    <t>p25700357@student.nicmar.ac.in</t>
  </si>
  <si>
    <t>31-Aug-2003</t>
  </si>
  <si>
    <t>English, Hindi, Gujarati</t>
  </si>
  <si>
    <t>5466 7704 5579</t>
  </si>
  <si>
    <t>MITUL DESAI</t>
  </si>
  <si>
    <t>MINTU DESAI</t>
  </si>
  <si>
    <t>Niraant, Opposite Diamond Factory, At And Post Parnera Pardi, Valsad</t>
  </si>
  <si>
    <t>ATUL VIDYALAYA, ATUL</t>
  </si>
  <si>
    <t>INDIAN SCHOOL CERTIFICATE (ISC) EXAMINATION, NEW DELHI</t>
  </si>
  <si>
    <t>SARVAJANIK UNIVERSITY</t>
  </si>
  <si>
    <t>SARVAJANIK COLLEGE OF ENGINEERING AND TECHNOLOGY, SURAT</t>
  </si>
  <si>
    <t>MS Office,MS Project,Primavera,CostX,Revit</t>
  </si>
  <si>
    <t>PSP PROJECTS LIMITED | INTERN | SURAT | Jan 2025 | Mar 2025 | 11.857142857143 Weeks</t>
  </si>
  <si>
    <t>P25700358</t>
  </si>
  <si>
    <t>NEHA</t>
  </si>
  <si>
    <t>Neha Raj Asha</t>
  </si>
  <si>
    <t>neharajasha@gmail.com</t>
  </si>
  <si>
    <t>p25700358@student.nicmar.ac.in</t>
  </si>
  <si>
    <t>ENGLISH, MALAYALAM, HINDI, ARABIC, FRENCH</t>
  </si>
  <si>
    <t>8542 3595 8994</t>
  </si>
  <si>
    <t>RAJKUMAR NARAYANAN NAIR</t>
  </si>
  <si>
    <t>ASHA RAJKUMAR</t>
  </si>
  <si>
    <t>TLRA 23 ANISHA, Thoppil Lane, Kumarapuram</t>
  </si>
  <si>
    <t>SHARJAH INDIAN SCHOOL</t>
  </si>
  <si>
    <t>COCHIN UNIVERSITY OF SCIENCE AND TECHNOLOGY</t>
  </si>
  <si>
    <t>MARIAN COLLEGE OF ARCHITECTURE AND PLANNING, THIRUVANANTHAPURAM</t>
  </si>
  <si>
    <t>AutoCAD,MS Office,MS Project,Sketchup,Adobe Indesign,Adobe Photoshop,Lumion,V-Ray,Enscape,Procreate,Primevera,Naviskworks,Autodesk Revit, RIB CostX,Smart PLS</t>
  </si>
  <si>
    <t>Top Concept Engineering Consultants | Architect | Dubai, U.A.E | Jun 2024 | Aug 2025 | 1Y 2M | 12.9
Next Engineering Consultants | Architectural Engineer | Dubai, U.A.E | Jun 2023 | Feb 2024 | 0Y 8M | 10.04</t>
  </si>
  <si>
    <t>Savvy Infrastructure Pvt. Ltd. | Contracts Intern | Gandhinagar, Gujarat | May 2026 | Jul 2026 | 8.7142857142857 Weeks | Campus Internship
Varghese Panicker Architects | Architectural Intern | Trivandrum, Kerala | Aug 2021 | Dec 2021 | 18.428571428571 Weeks</t>
  </si>
  <si>
    <t>Sustainability in Architecture: An Interdisciplinary Introduction from Universitat PolitÃ¨cnica de ValÃ¨ncia
Fundamentals of Project Planning and Management from University of Virginia</t>
  </si>
  <si>
    <t>P25700359</t>
  </si>
  <si>
    <t>BARRE</t>
  </si>
  <si>
    <t>Ajay Barre</t>
  </si>
  <si>
    <t>ajaybarre72@gmail.com</t>
  </si>
  <si>
    <t>p25700359@student.nicmar.ac.in</t>
  </si>
  <si>
    <t>12-Feb-2004</t>
  </si>
  <si>
    <t>English,Hindi,telugu</t>
  </si>
  <si>
    <t>3090 2977 7335</t>
  </si>
  <si>
    <t>BARRE YONA</t>
  </si>
  <si>
    <t>DAILY WAGER</t>
  </si>
  <si>
    <t>BARRE SUNEETHA</t>
  </si>
  <si>
    <t>7-63,thurpu Digavalli,nuzvid</t>
  </si>
  <si>
    <t>ZP HIGH SCHOOL</t>
  </si>
  <si>
    <t>A.A.N.MURTHY&amp;V.V.R.SESHADRI RAO POLYTECHNIC</t>
  </si>
  <si>
    <t>AFFILIATED TO JNTUK</t>
  </si>
  <si>
    <t>VISHNU INSTITUTE OF TECHNOLOGY,BHIMAVARAM</t>
  </si>
  <si>
    <t>AutoCAD,MS Office,MS Project,Primavera,ETABS,REVIT,CostX,STAAD Pro</t>
  </si>
  <si>
    <t>ROADS AND BUILDINGS DEPARTMENT | OPERATIONS&amp; SITE INTERN | BHIMAVARAM | Nov 2023 | Jan 2024 | 8.5714285714286 Weeks
NATIONAL INSTITUTE OF CONSTRUCTION MANAGEMNET AND RESEARCH | PROJECT MANAGEMENT INTERN | HYDERABAD | Jun 2024 | Jun 2024 | 2.4285714285714 Weeks</t>
  </si>
  <si>
    <t>P25700360</t>
  </si>
  <si>
    <t>RENUKA</t>
  </si>
  <si>
    <t>BANTE</t>
  </si>
  <si>
    <t>Renuka Sudhir Bante</t>
  </si>
  <si>
    <t>renukabante.23@gmail.com</t>
  </si>
  <si>
    <t>p25700360@student.nicmar.ac.in</t>
  </si>
  <si>
    <t>23-Sep-1999</t>
  </si>
  <si>
    <t>8489 5299 6633</t>
  </si>
  <si>
    <t>SANJANA</t>
  </si>
  <si>
    <t>3,Sainath Nagar, Near Nagpur Naka, Takiya Ward, Bhandara</t>
  </si>
  <si>
    <t>Bhandara</t>
  </si>
  <si>
    <t>JAYCEES CONVENT</t>
  </si>
  <si>
    <t>SRI CHAITANYA JUNIOR KALASHALSA</t>
  </si>
  <si>
    <t>TELENGANA STATE BOARD OF INTERMEDIATE EDUCATION</t>
  </si>
  <si>
    <t>DEPARTMENT OF TECHNOLOGY, SHIVAJI UNIVERSITY, KOLHAPUR</t>
  </si>
  <si>
    <t>AutoCAD,MS Office,MS Project,Primavera,Revit,CostX</t>
  </si>
  <si>
    <t>Urbangaon  | Project Management Intern | Jaipur  | May 2026 | Jul 2026 | 8.7142857142857 Weeks | Campus Internship
Datta Construction | Site Engineer Trainee | LAKHANI | Jun 2023 | Jul 2023 | 4.7142857142857 Weeks
M/S.V.Y. NIKHAR &amp;ASSOCIATES | SITE ENGINEER TRAINEE | BHANDARA | May 2019 | Jun 2019 | 3 Weeks</t>
  </si>
  <si>
    <t>Six Sigma Green Belt
Project Management in Construction
Highway Planning, Pavement Design and Construction
Data Analysis
Project Management Principles and Practices Specialization
Infrastructure for Transportation Systems
Sustainable Design Practices in Building Design
	Mechanization in Construction Specialization
	Construction Management Fundamentals</t>
  </si>
  <si>
    <t>P25700361</t>
  </si>
  <si>
    <t>CHINNAMSETTI</t>
  </si>
  <si>
    <t>HEMANTH SAI KRISHNA</t>
  </si>
  <si>
    <t>Chinnamsetti Hemanth Sai Krishna</t>
  </si>
  <si>
    <t>hemanthsaikrishna604@gmail.com</t>
  </si>
  <si>
    <t>p25700361@student.nicmar.ac.in</t>
  </si>
  <si>
    <t>07-Jan-2002</t>
  </si>
  <si>
    <t>English, Hindi,Telugu</t>
  </si>
  <si>
    <t>9545 9346 5546</t>
  </si>
  <si>
    <t>CHINNAMSETTI SURYA RAO</t>
  </si>
  <si>
    <t>CHINNAMSETTI PADMA TULASI</t>
  </si>
  <si>
    <t>D.No:2-7, Ramalayam Street, Itempudi, Iragavaram Mandal</t>
  </si>
  <si>
    <t>GEETANJALI HIGH SCHOOL</t>
  </si>
  <si>
    <t>BOARD OF SECONDARY EDUCATION, ANDHRAPRADESH</t>
  </si>
  <si>
    <t>CIVIL</t>
  </si>
  <si>
    <t>S.M.V.M POLYTECHNIC COLLEGE,TANUKU</t>
  </si>
  <si>
    <t>JNTUK</t>
  </si>
  <si>
    <t>S.R.K.R ENGINEERING COLLEGE , BHIMAVARAM</t>
  </si>
  <si>
    <t>AutoCAD,MS Office,MS Project,Primavera,RIB CostX,Canva</t>
  </si>
  <si>
    <t>Megha Engineering And Infrastructure Limited | Site Engineer  | Basti,UttarPradesh | Jul 2023 | May 2025 | 1Y 9M | 3.25</t>
  </si>
  <si>
    <t>Bhajan Infratech Pvt limited | Project Co-ordinator  | Surat | May 2026 | Jun 2026 | 7.7142857142857 Weeks | Campus Internship</t>
  </si>
  <si>
    <t>Cost Estimating &amp; Cost Control
Advanced Communication Strategies
Finance for Non-Financial Managers</t>
  </si>
  <si>
    <t>P25700362</t>
  </si>
  <si>
    <t>PRAVEEN</t>
  </si>
  <si>
    <t>Praveen P</t>
  </si>
  <si>
    <t>praveeensvg@gmail.com</t>
  </si>
  <si>
    <t>p25700362@student.nicmar.ac.in</t>
  </si>
  <si>
    <t>17-Sep-2003</t>
  </si>
  <si>
    <t>6099 9964 4445</t>
  </si>
  <si>
    <t>PARAMASIVAM A P</t>
  </si>
  <si>
    <t>RETIRED STATE GOVERNMENT EMPLOYEE</t>
  </si>
  <si>
    <t>SANGARAPARAMESWARI R</t>
  </si>
  <si>
    <t>2/409, Yuvaraja Illam, T.Pudur, Krishna Nagar, 4th Street, Sivaganga</t>
  </si>
  <si>
    <t>Sivaganga</t>
  </si>
  <si>
    <t>MAHARISHI INTERNATIONAL RESIDENTIAL SCHOOL</t>
  </si>
  <si>
    <t>CENTRAL BOARD OF SECONDARY EDUCATION , CHENNAI</t>
  </si>
  <si>
    <t>CENTRAL BOARD OF SECONDARY EDUCATION, CHENNAI</t>
  </si>
  <si>
    <t>SASTRA DEEMED TO BE UNIVERSITY</t>
  </si>
  <si>
    <t>SASTRA DEEMED TO BE UNIVERSITY, THANJAVUR</t>
  </si>
  <si>
    <t>MS Project,Primavera,AutoCAD,MS Office,Cost X.</t>
  </si>
  <si>
    <t>AKG Building Consultants Pvt. Ltd. | Site execution Control | Bangalore | May 2026 | Jul 2026 | 8.7142857142857 Weeks | Campus Internship
UNIQCORE CONSTRUCTIONS INDIA PVT LTD | Site Engineering Intern | SASTRA Deemed to be University,Thanjavur | Jun 2024 | Jul 2024 | 4 Weeks</t>
  </si>
  <si>
    <t>P25700363</t>
  </si>
  <si>
    <t>PUSHPENDRA</t>
  </si>
  <si>
    <t>Pushpendra Yadav</t>
  </si>
  <si>
    <t>pushpendra.yadav2809@gmail.com</t>
  </si>
  <si>
    <t>p25700363@student.nicmar.ac.in</t>
  </si>
  <si>
    <t>28-Sep-2000</t>
  </si>
  <si>
    <t>2905 8063 1443</t>
  </si>
  <si>
    <t>RAMNARESH</t>
  </si>
  <si>
    <t>MAYA</t>
  </si>
  <si>
    <t>Bk 1658, Yogesh Nagar, Section-26_x000D_
Near Nutan Marathi School, Ulhasnagar 4</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</si>
  <si>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</si>
  <si>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</si>
  <si>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</si>
  <si>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</si>
  <si>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</si>
  <si>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J.F. Constructions | Site Engineer | Ambarnath | Jul 2022 | Jun 2025 | 2Y 11M | 3.2</t>
  </si>
  <si>
    <t>Masin Projects Private Limited | Intern - Delay Department | Gurugram | May 2026 | Jul 2026 | 8.7142857142857 Weeks | Campus Internship
SUMITRA BUILDCONS PVT. LTD. | SITE CIVIL ENGINEER | MURBAD | Dec 2019 | Jan 2020 | 4.4285714285714 Weeks</t>
  </si>
  <si>
    <t>Finance for Non-Financial Managers
Google Project Management
Managing Social and Human Capital
Introduction to Artificial Intelligence (AI) by IBM
Microsoft Public Relations and Communications Associate
Microeconomics Principles
Construction Project Management
Construction Finance
Construction Industry: The Way Forward
AI For Everyone by DeepLearning.AI</t>
  </si>
  <si>
    <t>P25700364</t>
  </si>
  <si>
    <t>INGALE</t>
  </si>
  <si>
    <t>Prathamesh Mahesh Ingale</t>
  </si>
  <si>
    <t>pmingale109@gmail.com</t>
  </si>
  <si>
    <t>p25700364@student.nicmar.ac.in</t>
  </si>
  <si>
    <t>24-Mar-2002</t>
  </si>
  <si>
    <t>7901 6542 4979</t>
  </si>
  <si>
    <t>G1 Arihant Apartment, Ingale Colony, Shivane, NDA Road, Pune-411023</t>
  </si>
  <si>
    <t>SAHYADRI NATIONAL SCHOOL</t>
  </si>
  <si>
    <t>BALSHIKSHAN MANDIR CAMPUS</t>
  </si>
  <si>
    <t>ZEAL COLLEGE OF ENGINEERING &amp; RESEARCH, PUNE, MAHARASHTRA</t>
  </si>
  <si>
    <t>GNY Group | Junior Project Engineer Intern | Chhatrapati Sambhajinagar | May 2026 | Jul 2026 | 8.7142857142857 Weeks | Campus Internship
VASTU INFRA | Site Engineer Intern | Kekarav, Bavdhan Hills, Pune | Jun 2024 | Jun 2024 | 4.1428571428571 Weeks</t>
  </si>
  <si>
    <t>P25700366</t>
  </si>
  <si>
    <t>Tejas Sunil Pawar</t>
  </si>
  <si>
    <t>tejas.tp9797@gmail.com</t>
  </si>
  <si>
    <t>p25700366@student.nicmar.ac.in</t>
  </si>
  <si>
    <t>3203 0141 4259</t>
  </si>
  <si>
    <t>SUNIL BABURAO PAWAR</t>
  </si>
  <si>
    <t>VANDANA SUNIL PAWAR</t>
  </si>
  <si>
    <t>51,Shivaji Housing Society Karad.</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</si>
  <si>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</si>
  <si>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</si>
  <si>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</si>
  <si>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</si>
  <si>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</si>
  <si>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SHIVAJI UNIVERSITY,KOLHAPUR</t>
  </si>
  <si>
    <t>RAJARAMBAPU INSTITUTE OF TECHNOLOGY, SAKHARALE TAL WALWA DIST SANGLI.</t>
  </si>
  <si>
    <t>AutoCAD,MS Office,MS Project,Primavera,Cost X</t>
  </si>
  <si>
    <t>Mantra Properties | Management-Intern | Pune  | May 2026 | Jul 2026 | 8.5714285714286 Weeks | Campus Internship
M/S. KRISHNA ASSOCIATES | JR. CIVIL ENGINEER | KARAD  | Jan 2024 | Jul 2024 | 27.142857142857 Weeks</t>
  </si>
  <si>
    <t>P25700368</t>
  </si>
  <si>
    <t>MENDHE</t>
  </si>
  <si>
    <t>Vikas Prakash Mendhe</t>
  </si>
  <si>
    <t>vikasmendhe5260@gmail.com</t>
  </si>
  <si>
    <t>p25700368@student.nicmar.ac.in</t>
  </si>
  <si>
    <t>21-Aug-2001</t>
  </si>
  <si>
    <t>2883 3370 5033</t>
  </si>
  <si>
    <t>PRAKASH MENDHE</t>
  </si>
  <si>
    <t>DEFENCE (CRPF)</t>
  </si>
  <si>
    <t>SANGITA MENDHE</t>
  </si>
  <si>
    <t>FLAT NO 202 KRISHNA KUNJ APARTMENT SUSGAON PUNE</t>
  </si>
  <si>
    <t>Ward No 3 Siddhi Vinayak Colony Tarwekar Layout Nagbhid</t>
  </si>
  <si>
    <t>ST. XAVIERS HIGH SCHOOL MIDC ,NAGPUR</t>
  </si>
  <si>
    <t>CENTRAL BOARD OF SECONDARY EDUCATION , MAHARASHTRA</t>
  </si>
  <si>
    <t>MAJOR HEMANT JAKATE HIGH SCHOOL ,NAGPUR</t>
  </si>
  <si>
    <t>MAHARASHTRA STATE BOARD OF SECONDARY AND HIGHER SECONDARY EDUCATION PUNE, MAHARASHTRA</t>
  </si>
  <si>
    <t>RASHTRASANT TUKADOJI MAHRARAJ NAGPUR UNIVERSITY</t>
  </si>
  <si>
    <t>KAVIKULGURU INSTITUTE OF TECHNOLOGY AND SCIENCE RAMTEK MAHARASHTRA</t>
  </si>
  <si>
    <t>Suntronic renewables | junior civil engineer  | nagpur | Mar 2024 | May 2025 | 65.142857142857 Weeks</t>
  </si>
  <si>
    <t>P25700369</t>
  </si>
  <si>
    <t>Prasad Ramesh Mane</t>
  </si>
  <si>
    <t>prasadm3440@gmail.com</t>
  </si>
  <si>
    <t>p25700369@student.nicmar.ac.in</t>
  </si>
  <si>
    <t>3051 2276 0670</t>
  </si>
  <si>
    <t>GREENLIFE SOCIETY, LAXMI CHOWK, HINJEWADI PHASE-1, PIMPRI-CHINCHWAD</t>
  </si>
  <si>
    <t>Mahapur, Tq. Latur, Dist. Latur</t>
  </si>
  <si>
    <t>SHRI DESHIKENDRA VIDYALAYA, LATUR, MAHARASHTRA.</t>
  </si>
  <si>
    <t>MAHARASHTRA STATE BOARD OF SECONDARY AND HIGHER SECONDARY EDUCATION, PUNE.</t>
  </si>
  <si>
    <t>SWAMI VIVEKANAND INSTITUTE OF POLYTECHNIC, LATUR.</t>
  </si>
  <si>
    <t>AutoCAD,MS Office,MS Project,Primavera,Revit,RIB CostX,</t>
  </si>
  <si>
    <t>New Consolidated Construction Compony Ltd. (NCCCL) | Planning Intern | Ghansoli, Navi Mumbai | May 2026 | Jul 2026 | 8.5714285714286 Weeks | Campus Internship
Saishraddha Cement Products | Operations &amp; Production Management Intern | Latur, Maharashtra | Apr 2024 | Aug 2024 | 21.714285714286 Weeks
Sakshi Constructions | Project Controls &amp; Execution Intern | Pune | Aug 2023 | Feb 2024 | 30.285714285714 Weeks</t>
  </si>
  <si>
    <t>Finance for Non-Financial Managers
Data Analysis
Project Admin (Scholar), DGQC</t>
  </si>
  <si>
    <t>P25700370</t>
  </si>
  <si>
    <t>SOLANKI</t>
  </si>
  <si>
    <t>Rahul Mahesh Solanki</t>
  </si>
  <si>
    <t>rahulmaheshsolanki018@gmail.com</t>
  </si>
  <si>
    <t>p25700370@student.nicmar.ac.in</t>
  </si>
  <si>
    <t>18-Jan-2001</t>
  </si>
  <si>
    <t>ENGLISH, GUJARATI, HINDI, MARATHI</t>
  </si>
  <si>
    <t>6240 7944 9401</t>
  </si>
  <si>
    <t>BMC SERVANT</t>
  </si>
  <si>
    <t>ALKA</t>
  </si>
  <si>
    <t>382 RAJMALA ROOM NO 13 CHARKOP SEC 3 OPP DOMINOS PIZZA KANDIVALI WEST</t>
  </si>
  <si>
    <t>B-3/21 Shravan Nagar Near Ekta Nagar At New Link Road Kandivali West</t>
  </si>
  <si>
    <t>P J PANCHOLIA HIGH SCHOOL</t>
  </si>
  <si>
    <t>SARDAR VALLABHBHAI PATEL POLYTECHNIC</t>
  </si>
  <si>
    <t>2024-Jan</t>
  </si>
  <si>
    <t>THE GREEN VENTUREZ DEVELOPERS | Site Engineer | Kandivali West | Dec 2023 | Jun 2025 | 1Y 6M | 2.4</t>
  </si>
  <si>
    <t>J Kumar  | Execution plus control  | Mumbai  | May 2026 | Jul 2026 | 10 Weeks | Campus Internship</t>
  </si>
  <si>
    <t>P25700371</t>
  </si>
  <si>
    <t>Disha J</t>
  </si>
  <si>
    <t>dishajagdeesh@gmail.com</t>
  </si>
  <si>
    <t>p25700371@student.nicmar.ac.in</t>
  </si>
  <si>
    <t>23-Jan-1999</t>
  </si>
  <si>
    <t>3190 5576 9693</t>
  </si>
  <si>
    <t>JAGADEESH K</t>
  </si>
  <si>
    <t>EX-  BLOCK EDUCATION OFFICER</t>
  </si>
  <si>
    <t>SAVITHA S R</t>
  </si>
  <si>
    <t>Door Number 99, Third Cross, South, Anikethana Road, Kuvempunagar, Mysore, Karnataka</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</si>
  <si>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</si>
  <si>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</si>
  <si>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</si>
  <si>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</si>
  <si>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</si>
  <si>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Engineering,Mysore</t>
  </si>
  <si>
    <t>AutoCAD,MS Office,MS Project,Primavera, Power BI,Staad pro,Etabs,3dsmax,Idea Statica,Cohoom,Revit</t>
  </si>
  <si>
    <t>RR CONSTRUCTIONS | Structural Design Engineer | Mysore, Karnataka | Nov 2022 | Jul 2024 | 1Y 8M | 1.2</t>
  </si>
  <si>
    <t>BECHTEL INDIA PRIVATE LIMITED | Supply chain management - Intern | Gurugram, India | May 2026 | Jul 2026 | 7.5714285714286 Weeks | Campus Internship
MYSORE CITY CORPORATION- VANI VILAS WATER SUPPLY DIVISION | Engineer - Intern | MYSORE | Jul 2019 | Aug 2019 | 4 Weeks
R.K. ASSOCIATES, PROJECT MANAGEMENT AND STRUCTURAL CONSULTANTS | Structural Designer/ Engineer | MYSORE | Oct 2021 | Nov 2021 | 8.5714285714286 Weeks</t>
  </si>
  <si>
    <t>Diploma in Interior Design</t>
  </si>
  <si>
    <t>P25700372</t>
  </si>
  <si>
    <t>YAJUR</t>
  </si>
  <si>
    <t>JAGMOHAN</t>
  </si>
  <si>
    <t>Yajur Jagmohan</t>
  </si>
  <si>
    <t>gargyajur@gmail.com</t>
  </si>
  <si>
    <t>p25700372@student.nicmar.ac.in</t>
  </si>
  <si>
    <t>15-Aug-2000</t>
  </si>
  <si>
    <t>6429 2706 6509</t>
  </si>
  <si>
    <t>RAJAT GARG</t>
  </si>
  <si>
    <t>SHIVA GARG</t>
  </si>
  <si>
    <t>366, PATEL NAGAR, NEW MANDI, MUZAFFARNAGAR</t>
  </si>
  <si>
    <t>Muzaffarnagar</t>
  </si>
  <si>
    <t>BIRLA VIDYA MANDIR, NAINITAL</t>
  </si>
  <si>
    <t>CBSE, UTTARAKHAND</t>
  </si>
  <si>
    <t>BHARAT MATA SARASWATI BALMANDIR NARELA DELHI</t>
  </si>
  <si>
    <t>SYMBIOSIS INTERNATIONAL UNIVERSITY</t>
  </si>
  <si>
    <t>Primavera P6, MSP, AutoCAD,MS Office,Bluebeam Revu, CostX</t>
  </si>
  <si>
    <t>Turner International | Assistant Quantity Surveyor | Bengaluru | Jul 2022 | Nov 2022 | 0Y 4M | 3
Ceigall India Limited | Engineer - Contracts Administration | Gurugram | Mar 2024 | Jun 2025 | 1Y 3M | 7.5</t>
  </si>
  <si>
    <t>KPMG Assurance and Consulting Services LLP  | Intern - Transformation (MPA) | Gurugram | May 2026 | Jun 2026 | 7.5714285714286 Weeks | Campus Internship
Turner Project Management India Pvt Ltd (Turner International) | Quantity Surveying Trainee | Bengaluru | Feb 2022 | Jun 2022 | 21.285714285714 Weeks</t>
  </si>
  <si>
    <t>P25700373</t>
  </si>
  <si>
    <t>RAJDEEP</t>
  </si>
  <si>
    <t>MULE</t>
  </si>
  <si>
    <t>Rajdeep Rajesh Mule</t>
  </si>
  <si>
    <t>rajdeepmule@gmail.com</t>
  </si>
  <si>
    <t>p25700373@student.nicmar.ac.in</t>
  </si>
  <si>
    <t>03-Mar-2002</t>
  </si>
  <si>
    <t>5152 8355 6580</t>
  </si>
  <si>
    <t>RAJESH MULE</t>
  </si>
  <si>
    <t>DR DIPALI MULE</t>
  </si>
  <si>
    <t>G-46 Patang Plaza Tower, Opp PICT College, Bharti Vidyapeeth, Katraj, Pune - 411046</t>
  </si>
  <si>
    <t>THE BISHOP'S CO-ED SCHOOL, UNDRI, PUNE</t>
  </si>
  <si>
    <t>HIGHER SECONDARY CERTIFICATE EXAMINATION, MAHARASHTRA</t>
  </si>
  <si>
    <t>AutoCAD,MS Office,MS Project,Primavera,Sketchup,Enscape,Photoshop,Canva,InDesign,RIB CostX,Revit,Lumion</t>
  </si>
  <si>
    <t>Adani Realty's Navbharat Mega Developers Pvt. Ltd.  | Project Planning &amp; Control Intern | BKC Inspire, Mumbai | May 2026 | Jul 2026 | 7.7142857142857 Weeks | Campus Internship
Prashant Deshmukh &amp; Associates | Trainee Architect | Pune | Jun 2024 | Oct 2024 | 17.714285714286 Weeks</t>
  </si>
  <si>
    <t>Ethics in Engineering Practice - authorized by Indian Institute of Technology Kharagpur
Generative AI for Everyone - authorized by DeepLearning.AI
Finance for Non-Financial Managers - authorized by Emory University</t>
  </si>
  <si>
    <t>P25700374</t>
  </si>
  <si>
    <t>NAINA</t>
  </si>
  <si>
    <t>BHAT</t>
  </si>
  <si>
    <t>Naina Bhat</t>
  </si>
  <si>
    <t>nainabhat24@gmail.com</t>
  </si>
  <si>
    <t>p25700374@student.nicmar.ac.in</t>
  </si>
  <si>
    <t>English, Hindi, Kashmiri</t>
  </si>
  <si>
    <t>4088 9189 2185</t>
  </si>
  <si>
    <t>RAMESH KUMAR BHAT</t>
  </si>
  <si>
    <t>LOVELY BHAT</t>
  </si>
  <si>
    <t>Hno 435 Near Sector 9 Basai Village Gurgaon Haryana</t>
  </si>
  <si>
    <t>DEENBANDHU CHHOTU RAM UNIVERSITY OF SCIENCE AND TECHNOLOGY</t>
  </si>
  <si>
    <t>DEENBANDHU CHHOTU RAM UNIVERSITY OF SCIENCE AND TECHNOLOGY MURTHAL HARYANA</t>
  </si>
  <si>
    <t>AutoCAD,MS Office,MS Project,Primavera,Revit,MS excel</t>
  </si>
  <si>
    <t>Prestige Estates Private Limited | Inrtern | Ghaziabad | May 2026 | Jul 2026 | 8.5714285714286 Weeks | Campus Internship
Shivam Construction | Intern | Gurugram | Sep 2023 | Feb 2024 | 22.571428571429 Weeks
PWD B&amp;R PANCHKULA | Intern | Panchkula chandigarh | Aug 2022 | Dec 2022 | 19.428571428571 Weeks</t>
  </si>
  <si>
    <t>AUTOCAD
One million leaders Asia fellowship program
Finance for Non-Financial Managers</t>
  </si>
  <si>
    <t>P25700375</t>
  </si>
  <si>
    <t>RAJKUMAR</t>
  </si>
  <si>
    <t>NAGULWAR</t>
  </si>
  <si>
    <t>Rahul Rajkumar Nagulwar</t>
  </si>
  <si>
    <t>rahulrajkumarnagulwar1@gmail.com</t>
  </si>
  <si>
    <t>p25700375@student.nicmar.ac.in</t>
  </si>
  <si>
    <t>19-Dec-2003</t>
  </si>
  <si>
    <t>English , Hindi , Marathi</t>
  </si>
  <si>
    <t>8594 6963 2228</t>
  </si>
  <si>
    <t>RAJKUMAR B. NAGULWAR</t>
  </si>
  <si>
    <t>VARSHA R. NAGULWAR</t>
  </si>
  <si>
    <t>F-101 NAGULWAR COMPLEX , ABOVE INDIAN BANK , MAHALAXMI NAGAR , MANEWADA ROAD , NAGPUR , 440024</t>
  </si>
  <si>
    <t>MONTFORT SCHOOL ASHOKWAN NAGPUR/MAHARASHTRA</t>
  </si>
  <si>
    <t>CENTRAL BOARD OF SECONDARY EDUCATION NAGPUR/MAHARASHTRA</t>
  </si>
  <si>
    <t>GOVERNMENT POLYTECHNIC, NAGPUR/MAHARASHTRA</t>
  </si>
  <si>
    <t>SHRI RAMDEOBABA COLLEGE OF ENGINEERING AND MANAGEMENT , NAGPUR/MAHARASHTRA</t>
  </si>
  <si>
    <t>AutoCAD,MS Office,MS Project,Beam AI,Automeasure</t>
  </si>
  <si>
    <t>ATTENTIVE  OS PRIVATE LIMITED | TRAINEE ESTIMATOR | NEW DELHI | Apr 2025 | Jul 2025 | 0Y 2M | 3.34</t>
  </si>
  <si>
    <t>SRIBAL CONSTRUCTION COMPANY | PROJECT COORDINATION | BHOGAPURAM, VIZAG | May 2026 | Jul 2026 | 8.7142857142857 Weeks | Campus Internship
B.R.SHARMA &amp; ASSOCIATE ARCHITECTS &amp; CONSULTING | INTERN SITE ENGINEER | NAGPUR/ MAHARASHTRA | May 2024 | Jul 2024 | 5.8571428571429 Weeks
ATTENTIVE  OS PRIVATE LIMITED | INTERN ESTIMATOR  | NEW DELHI | Jan 2025 | Apr 2025 | 12.571428571429 Weeks</t>
  </si>
  <si>
    <t>P25700376</t>
  </si>
  <si>
    <t>PRATIKSHA</t>
  </si>
  <si>
    <t>Patil Pratiksha Ramesh</t>
  </si>
  <si>
    <t>pratiksharpatil2002@gmail.com</t>
  </si>
  <si>
    <t>p25700376@student.nicmar.ac.in</t>
  </si>
  <si>
    <t>22-May-2002</t>
  </si>
  <si>
    <t>3543 9646 7820</t>
  </si>
  <si>
    <t>RAMESH JANARDHAN PATIL</t>
  </si>
  <si>
    <t>SUREKHA RAMESH PATIL</t>
  </si>
  <si>
    <t>Plot 27/w, S No. 563/5, Anurag State Bank Colony, Mahabal, Jalgaon 425001_x000D_</t>
  </si>
  <si>
    <t>LATE B. G. SHANBHAG SCHOOL, JALGAON</t>
  </si>
  <si>
    <t>GOVERNMENT POLYTECHNIC JALGAON</t>
  </si>
  <si>
    <t>AutoCAD, MS Office, Revit, Primavera, MSP</t>
  </si>
  <si>
    <t>ADVETKUNAL ENTERPRISES PVT.LTD | Site Engineer trainee | Pune | Dec 2022 | Jan 2023 | 4.1428571428571 Weeks</t>
  </si>
  <si>
    <t>P25700378</t>
  </si>
  <si>
    <t>SHELAWADAKAR</t>
  </si>
  <si>
    <t>Shubham Dinkar Shelawadakar</t>
  </si>
  <si>
    <t>shelawadakarshubham@gmail.com</t>
  </si>
  <si>
    <t>p25700378@student.nicmar.ac.in</t>
  </si>
  <si>
    <t>11-Jul-2003</t>
  </si>
  <si>
    <t>5697 7226 1454</t>
  </si>
  <si>
    <t>MALVADI, A/P. MINCHE KHURD, BHUDARGAD, KOLHAPUR</t>
  </si>
  <si>
    <t>Main Road, Pandivare, Tikkewadi, Kolhapur</t>
  </si>
  <si>
    <t>R.V. DESAI SCHOOL, MINCHE KHURD</t>
  </si>
  <si>
    <t>CIVIL &amp; RURAL ENGINEERING</t>
  </si>
  <si>
    <t>INSTITUTE OF CIVIL &amp; RURAL ENGINEERING, GARGOTI</t>
  </si>
  <si>
    <t>AutoCAD,MS Office,MS Project,Primavera,CostX,REVIT,NavisWorks</t>
  </si>
  <si>
    <t>ANAROCK Property Consultants Pvt. Ltd. | Intern-PMES | Goa | May 2026 | Jul 2026 | 8.7142857142857 Weeks | Campus Internship</t>
  </si>
  <si>
    <t>Industrial / Inplant Training
TECHNOTSAV 2k24 (National Level Technical Event)
ChatGPT &amp; AI Tools Workshop
Project Management Assessment
Data Analysis
Cybersecurity for Everyone</t>
  </si>
  <si>
    <t>P25700379</t>
  </si>
  <si>
    <t>DHANANJAY</t>
  </si>
  <si>
    <t>DALAVI</t>
  </si>
  <si>
    <t>Kalpesh Dhananjay Dalavi</t>
  </si>
  <si>
    <t>kalpeshdalavi2777@gmail.com</t>
  </si>
  <si>
    <t>p25700379@student.nicmar.ac.in</t>
  </si>
  <si>
    <t>22-Nov-1999</t>
  </si>
  <si>
    <t>7027 0263 1823</t>
  </si>
  <si>
    <t>A/P SASURE TAL BARSHI DIS SOLAPUR</t>
  </si>
  <si>
    <t>VIDAY MANDAR HIGHSCHOOL ,VAIRAG</t>
  </si>
  <si>
    <t>DR. CHANDARBHANU SONAWANE MAHAVIDAYLA ,LATUR</t>
  </si>
  <si>
    <t>SVERI'S COLLEGE OF ENGINEERING (POLY)</t>
  </si>
  <si>
    <t>JSPM'S RAJARSHI SHAHU COLLEGE OF ENGINEERING</t>
  </si>
  <si>
    <t>AutoCAD,MS Office,MS Project,Primavera,E-TAB,STAAD PRO</t>
  </si>
  <si>
    <t>Bhate &amp; Raje Construction Co. Pvt. Ltd. | Project Planning | Punawale, Pune | May 2026 | Jul 2026 | 8.7142857142857 Weeks | Campus Internship
Kalpesh Construction | Site Engineer | Vairag | Apr 2023 | Mar 2024 | 52.142857142857 Weeks
Pune Metro | Intern | Shivajinagar | Feb 2022 | Apr 2022 | 8.4285714285714 Weeks</t>
  </si>
  <si>
    <t>P25700380</t>
  </si>
  <si>
    <t>ANNA</t>
  </si>
  <si>
    <t>SAJU</t>
  </si>
  <si>
    <t>Anna Saju</t>
  </si>
  <si>
    <t>annasaju20@gmail.com</t>
  </si>
  <si>
    <t>p25700380@student.nicmar.ac.in</t>
  </si>
  <si>
    <t>20-May-2002</t>
  </si>
  <si>
    <t>3829 4665 5094</t>
  </si>
  <si>
    <t>SAJU THOMAS</t>
  </si>
  <si>
    <t>SHEENA SAJU</t>
  </si>
  <si>
    <t>Pellissery House Ammadam P.O. Thrissur Kerala 680563</t>
  </si>
  <si>
    <t>SACRED HEART C.G.H.S.S. THRISSUR</t>
  </si>
  <si>
    <t>BOARD OF PUBLIC EXAMINATIONS KERALA</t>
  </si>
  <si>
    <t>CHRIST COLLEGE OF ENGINEERING IRINJALAKUDA</t>
  </si>
  <si>
    <t>AutoCAD,MS Office,MS Project,Primavera,ETABS,Quantity Survey and Estimation,Lumion,Google SketchUp</t>
  </si>
  <si>
    <t>IIT GUWAHATI | Research Fellowship  | Guwahati  | Aug 2024 | Jun 2025 | 0Y 10M | 3</t>
  </si>
  <si>
    <t>Godrej properties limited  | Operations Intern | Bangalore  | May 2026 | Jul 2026 | 8.7142857142857 Weeks | Campus Internship
LOCAL SELF GOVERNMENT DEPARTMENT | INTERN | PALAKKAD | May 2023 | May 2023 | 1.1428571428571 Weeks</t>
  </si>
  <si>
    <t>Advancement and Applications of Analytical Instruments
3D Visualisation
Non-Destructive Testing
Quantity Survey and Estimation
ETABS
Introduction to Machining and Machining Fluids
Theory Of Production Processes
Expansive Soil
Rock Engineering
Urban Transportation Systems Planning</t>
  </si>
  <si>
    <t>P25700381</t>
  </si>
  <si>
    <t>DARPAN</t>
  </si>
  <si>
    <t>NARENDRA</t>
  </si>
  <si>
    <t>TATIYA</t>
  </si>
  <si>
    <t>Darpan Narendra Tatiya</t>
  </si>
  <si>
    <t>darpan11tatiya@gmail.com</t>
  </si>
  <si>
    <t>p25700381@student.nicmar.ac.in</t>
  </si>
  <si>
    <t>04-Nov-2003</t>
  </si>
  <si>
    <t>English,Hindi,Marwari,Marathi</t>
  </si>
  <si>
    <t>8377 4975 6242</t>
  </si>
  <si>
    <t>Plot No 8, Adarsh Nagar,Sakri,Dhule</t>
  </si>
  <si>
    <t>HON. SHARAD PAWAR PUBLIC SCHOOL</t>
  </si>
  <si>
    <t>CENTRAL BOARD OF SECONDARY EDUCATION, NASHIK/MAHARASHTRA</t>
  </si>
  <si>
    <t>NAMO RIMS JUNIOR COLLEGE</t>
  </si>
  <si>
    <t>MAHARASHTRA STATE BOARD OF SECONDARY AND HIGHER SECONDARY EDUCATION, PUNE/MAHARASHTRA</t>
  </si>
  <si>
    <t>DR. VISHWANATH KARAD MIT WORLD PEACE UNIVERSITY</t>
  </si>
  <si>
    <t>DR. VISHWANATH KARAD MIT WORLD PEACE UNIVERSITY, PUNE/MAHARASHTRA</t>
  </si>
  <si>
    <t>AutoCAD,MS Office,MS Project,Primavera, Basic BIM</t>
  </si>
  <si>
    <t>NM Sonawane Govt. Contractor | Junior Site Supervisor | Dhongsagali | Dec 2024 | Jun 2025 | 25.857142857143 Weeks</t>
  </si>
  <si>
    <t>P25700382</t>
  </si>
  <si>
    <t>TETALI</t>
  </si>
  <si>
    <t>BHANU KRISHNA</t>
  </si>
  <si>
    <t>Tetali Bhanu Krishna Reddy</t>
  </si>
  <si>
    <t>krishnareddy2686@gmail.com</t>
  </si>
  <si>
    <t>p25700382@student.nicmar.ac.in</t>
  </si>
  <si>
    <t>16-Jun-2002</t>
  </si>
  <si>
    <t>7110 4671 7984</t>
  </si>
  <si>
    <t>SATYANARAYANA REDDY</t>
  </si>
  <si>
    <t>SANTHA KUMARI</t>
  </si>
  <si>
    <t>D.no- 9-61/2, Flat No. 508, Block- C, Vasanth Vihar, Kommadi, Madhurawada, Visakhapatnam, 530048, Andhra Pradesh.</t>
  </si>
  <si>
    <t>DR KKRS GOWTHAM</t>
  </si>
  <si>
    <t>LAWSONS BAY COLONY, VISAKHAPATNAM, ANDHRA PRADESH.</t>
  </si>
  <si>
    <t>SAI GANAPATHI, VISAKHAPATNAM, ANDHRA PRADESH.</t>
  </si>
  <si>
    <t>GITAM (DEEMED UNIVERSITY)</t>
  </si>
  <si>
    <t>GANDHI INSTITUTE OF TECHNOLOGY AND MANAGEMENT, VISAKHAPATNAM, ANDHRA PRADESH.</t>
  </si>
  <si>
    <t>MS Project, AutoCAD, MS Office, Excel, Primavera</t>
  </si>
  <si>
    <t>ROADS &amp; BUILDINGS | Site Intern | Visakhapatnam | May 2019 | Nov 2019 | 26.285714285714 Weeks
Chennai Metro Rail Limited | Site Intern | Chennai | May 2024 | Jun 2024 | 4 Weeks</t>
  </si>
  <si>
    <t>P25700383</t>
  </si>
  <si>
    <t>POORNESH</t>
  </si>
  <si>
    <t>J Poornesh</t>
  </si>
  <si>
    <t>poorneshchowdary167@gmail.com</t>
  </si>
  <si>
    <t>p25700383@student.nicmar.ac.in</t>
  </si>
  <si>
    <t>16-Jul-2002</t>
  </si>
  <si>
    <t>English,Telugu ,Kannada&amp;Hindi</t>
  </si>
  <si>
    <t>7301 8550 5545</t>
  </si>
  <si>
    <t>J RAMESH</t>
  </si>
  <si>
    <t>FARMER &amp; BUSINESS</t>
  </si>
  <si>
    <t>J UMADEVI</t>
  </si>
  <si>
    <t>19-12-551 BAIRAGIPETTADA TIRUPATI SRI BALAJI DISTRICT</t>
  </si>
  <si>
    <t>000,Ramesh Naidu Building ,sindhurajapuram , AM Puram(p) ,SR Puram (m) Chittor Dist</t>
  </si>
  <si>
    <t>BHARATIYA VIDHYA BHAVANS</t>
  </si>
  <si>
    <t>CENTRAL BOARD OF SECONDARY EDUCATION,NEW DELHI</t>
  </si>
  <si>
    <t>SRI CHAITHANYA ACADEMY JUNIOR COLLEGE</t>
  </si>
  <si>
    <t>REVA UNIVERSITY</t>
  </si>
  <si>
    <t>REVA UNIVERSITY ,BANGALORE , KARNATAKA</t>
  </si>
  <si>
    <t>AutoCAD,MS Project,Google sketchup &amp; enscape,Costx</t>
  </si>
  <si>
    <t>Swathi civil consultancy |  Designer  | Banglore | Feb 2024 | May 2024 | 11.428571428571 Weeks
Swathi civil consultancy | Site execution | Banglore | Feb 2024 | Jan 2025 | 49.285714285714 Weeks</t>
  </si>
  <si>
    <t>P25700384</t>
  </si>
  <si>
    <t>VEDANGI</t>
  </si>
  <si>
    <t>PALHADE</t>
  </si>
  <si>
    <t>Vedangi Sanjay Palhade</t>
  </si>
  <si>
    <t>vedangipalhade2002@gmail.com</t>
  </si>
  <si>
    <t>p25700384@student.nicmar.ac.in</t>
  </si>
  <si>
    <t>28-Aug-2002</t>
  </si>
  <si>
    <t>9608 9863 1882</t>
  </si>
  <si>
    <t>KAVITA</t>
  </si>
  <si>
    <t>Raut Wadi Nilesh Bhawan Akola</t>
  </si>
  <si>
    <t>SHRI DAWALE JR. COLLEGE MOTHI UMARI AKOLA</t>
  </si>
  <si>
    <t>COLLEGE OF ENGINEERING &amp; TECHNOLOGY, AKOLA</t>
  </si>
  <si>
    <t>AutoCAD,MS Office,MS Project,Primavera,3DS MAX V-Ray,Sketchup,Project Planning &amp; Scheduling</t>
  </si>
  <si>
    <t>Kothari Construction Company | Site Engineer | Akola, Maharashtra  | May 2026 | Jul 2026 | 7.7142857142857 Weeks | Campus Internship</t>
  </si>
  <si>
    <t>P25700385</t>
  </si>
  <si>
    <t>HONNAGUDI</t>
  </si>
  <si>
    <t>Sanjay Honnagudi</t>
  </si>
  <si>
    <t>sanjayhonnagudi@gmail.com</t>
  </si>
  <si>
    <t>p25700385@student.nicmar.ac.in</t>
  </si>
  <si>
    <t>9369 5440 3448</t>
  </si>
  <si>
    <t>VEERESH HONNAGUDI</t>
  </si>
  <si>
    <t>RETIRED CO-OPERATIVE BANK EMPLOYEE</t>
  </si>
  <si>
    <t>HEMAVATHI</t>
  </si>
  <si>
    <t>Veeresh Honnagudi,_x000D_
House No: 8-5-117/38 Ganga Nilaya, Vasundara Nagara Central Public School Road Karatagi - 583229</t>
  </si>
  <si>
    <t>SRI SHARANA BASAVESHWARA ENGLISH MEDIUM HIGH SCHOOL KARATAGI</t>
  </si>
  <si>
    <t>SRI VIDYANIKETAN PU COLLEGE GANAGAVTHI</t>
  </si>
  <si>
    <t>BAPUJI INSTITUTE OF ENGINEERING AND TECHNOLOGY, DAVANGERE</t>
  </si>
  <si>
    <t>AutoCAD,MS Office,MS Project, Primavera, CostX, Revit Architecture, Sketchup, Vray Essential</t>
  </si>
  <si>
    <t>BENAKA DEVELOPERS AND PROJECT PVT LTD | Site Engineer | Bengaluru | Jul 2024 | Jun 2025 | 0Y 11M | 2.34</t>
  </si>
  <si>
    <t>Prestige Estates Projects Limited | Site Execution and Control | Bangalore | May 2026 | Jul 2026 | 7.5714285714286 Weeks | Campus Internship
FORUM OF PRACTICING ARCHITECTS AND CONSULTING CIVIL ENGINEERS | SITE INTERN | DAVANAGERE | Aug 2023 | Sep 2023 | 3.7142857142857 Weeks</t>
  </si>
  <si>
    <t>Master in CIVIL CAD</t>
  </si>
  <si>
    <t>P25700386</t>
  </si>
  <si>
    <t>RISHU</t>
  </si>
  <si>
    <t>Rishu Kumar</t>
  </si>
  <si>
    <t>singhrishu067@gmail.com</t>
  </si>
  <si>
    <t>p25700386@student.nicmar.ac.in</t>
  </si>
  <si>
    <t>24-Mar-1999</t>
  </si>
  <si>
    <t>3776 2016 8063</t>
  </si>
  <si>
    <t>JITENDRA</t>
  </si>
  <si>
    <t>Mini Bigha , Jaidev Nagar Aurangabad , Bihar (824101)</t>
  </si>
  <si>
    <t>LORD BUDDHA PUBLIC SCHOOL ,AURANGABAD , BIHAR</t>
  </si>
  <si>
    <t>C.B.S.E BOARD DELHI</t>
  </si>
  <si>
    <t>R.S.Y COLLEGE DEVKUND, AAURNGABAD , BIHAR (824101)</t>
  </si>
  <si>
    <t>B.S.E.B PATNA BIHAR</t>
  </si>
  <si>
    <t>D.I.T UNIVERSITY DEHRADUN UTTARAKHAND</t>
  </si>
  <si>
    <t>DEHRADUN INSTITUTE OF TECHNOLOGY, DEHRADUN, UTTARAKHAND</t>
  </si>
  <si>
    <t>Pasa Resources pvt. ltd | Site Engineer | Ranchi, Jharkhand | Jan 2023 | Apr 2024 | 1Y 3M | 2.53
TEXAM Projects LLP | Site Engineer | Sangil  Mahasthara  | May 2024 | Jul 2025 | 1Y 1M | 3.36</t>
  </si>
  <si>
    <t>2 Years 5 Months</t>
  </si>
  <si>
    <t>Cemindia Project Limited  | Summer Intern | Karwar , Karnataka | May 2026 | Jun 2026 | 8.1428571428571 Weeks | Campus Internship
PWD Dehradun | Intern | Mussoorie | Apr 2018 | Jul 2018 | 10.285714285714 Weeks
BRBCL | Intern | Aurangabad Bihar | Jun 2019 | Jul 2019 | 5.1428571428571 Weeks</t>
  </si>
  <si>
    <t>P25700387</t>
  </si>
  <si>
    <t>DHAS</t>
  </si>
  <si>
    <t>Sakshi Sanjay Dhas</t>
  </si>
  <si>
    <t>dhassakshi1102@gmail.com</t>
  </si>
  <si>
    <t>p25700387@student.nicmar.ac.in</t>
  </si>
  <si>
    <t>11-Jan-2002</t>
  </si>
  <si>
    <t>6593 1422 4900</t>
  </si>
  <si>
    <t>SANJAY B. DHAS</t>
  </si>
  <si>
    <t>VANITA SANJAY DHAS</t>
  </si>
  <si>
    <t>A/P Masur, Plot No.10, Near Shivaji High School, Kiwal Road ._x000D_
Tal - Karad Dist - Satara</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</si>
  <si>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</si>
  <si>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</si>
  <si>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</si>
  <si>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</si>
  <si>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</si>
  <si>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</si>
  <si>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K. P. INFRA | JR. Billing Engineer | Karad | Jul 2023 | Jun 2025 | 1Y 11M | 2.4</t>
  </si>
  <si>
    <t>AJWANI INFRASTRUCTURE PVT.LTD. | INTERN | PUNE | Jan 2022 | Feb 2022 | 4.7142857142857 Weeks</t>
  </si>
  <si>
    <t>P25700388</t>
  </si>
  <si>
    <t>ABHINAV</t>
  </si>
  <si>
    <t>Abhinav V</t>
  </si>
  <si>
    <t>abhinavvnath10@gmail.com</t>
  </si>
  <si>
    <t>p25700388@student.nicmar.ac.in</t>
  </si>
  <si>
    <t>29-Aug-2002</t>
  </si>
  <si>
    <t>English, Hindi, Malayalam, Tamil</t>
  </si>
  <si>
    <t>5052 3757 4368</t>
  </si>
  <si>
    <t>VISWANATHAN A</t>
  </si>
  <si>
    <t>RTD</t>
  </si>
  <si>
    <t>BHAGIASREE K C</t>
  </si>
  <si>
    <t>Vaiga Malur_x000D_
Sivapuram</t>
  </si>
  <si>
    <t>BHAVANS VIDYA MANDIR CHITHALI</t>
  </si>
  <si>
    <t>JAWAHARLAL COLLEGE OF ENGINEERING AND TECHNOLOGY</t>
  </si>
  <si>
    <t>AutoCAD,MS Office,MS Project,Primavera,Revit,Sketchup</t>
  </si>
  <si>
    <t>Uralungal Labour Contract Co-operative Society Ltd (ULCCS Ltd) | Site execution | Kannur, Kerala | May 2026 | Jul 2026 | 7.7142857142857 Weeks | Campus Internship
MADECKAL CONSTRUCTIONS | INTERNSHIP TRAINEE | MUVATTUPUZHA | Jan 2022 | Jan 2022 | 0.85714285714286 Weeks
SKYLINE BUILDERS | INTERNSHIP TRAINEE | KOCHI | May 2023 | May 2023 | 1.4285714285714 Weeks</t>
  </si>
  <si>
    <t>BIM
Revit Architecture
AutoCAD 2D &amp; 3D
German - 1</t>
  </si>
  <si>
    <t>P25700389</t>
  </si>
  <si>
    <t>SURESHRAO</t>
  </si>
  <si>
    <t>RASEKAR</t>
  </si>
  <si>
    <t>Aditya Sureshrao Rasekar</t>
  </si>
  <si>
    <t>rasekar19@gmail.com</t>
  </si>
  <si>
    <t>p25700389@student.nicmar.ac.in</t>
  </si>
  <si>
    <t>19-Sep-1997</t>
  </si>
  <si>
    <t>6379 4583 0504</t>
  </si>
  <si>
    <t>SHIWAJI WARD DESAIGANJ (WADSA), GADCHIROLI MH</t>
  </si>
  <si>
    <t>Gadchiroli</t>
  </si>
  <si>
    <t>KUTHE PATIL HIGH SCHOOL</t>
  </si>
  <si>
    <t>PRABHAT POLYTECHNIC BRAMHAPURI MAHARASHTRA</t>
  </si>
  <si>
    <t>SAVITRIBAI PHULE PUNE UNIVERSITY,  PUNE MAHARASHTRA</t>
  </si>
  <si>
    <t>G H RAISONI COLLEGE OF ENGINEERING AND MANAGEMENT, PUNE MAHARASHTRA</t>
  </si>
  <si>
    <t>AutoCAD,MS Office,MS Project,Primavera,MS EXCEL</t>
  </si>
  <si>
    <t>SHRAVANI HITECH PRIVATE LIMITED | JR ENGINEER | CHANDRAPUR | Feb 2021 | Jun 2025 | 4Y 4M | 4.36</t>
  </si>
  <si>
    <t>4 Years 4 Months</t>
  </si>
  <si>
    <t>SOBHA LIMITED INDIA | PROJECT PLANNING | BANGLORE | May 2026 | Jul 2026 | 9 Weeks | Campus Internship
ADVANCED BRICKSTONE CONSTRUCTIONS PVT LTD | TRAINEE ENGINEER | PUNE | Aug 2019 | Mar 2020 | 32.571428571429 Weeks</t>
  </si>
  <si>
    <t>Microsoft Project Professional &amp; Primavera P6</t>
  </si>
  <si>
    <t>P25700390</t>
  </si>
  <si>
    <t>CHAITANYA</t>
  </si>
  <si>
    <t>TELTUMBDE</t>
  </si>
  <si>
    <t>Chaitanya Anand Teltumbde</t>
  </si>
  <si>
    <t>chaitanyateltembade4@gmail.com</t>
  </si>
  <si>
    <t>p25700390@student.nicmar.ac.in</t>
  </si>
  <si>
    <t>14-Sep-2003</t>
  </si>
  <si>
    <t>4481 7418 0997</t>
  </si>
  <si>
    <t>ANAND TELTUMBADE</t>
  </si>
  <si>
    <t>BUSINESSMEN</t>
  </si>
  <si>
    <t>NILIMA TELTUMBDE</t>
  </si>
  <si>
    <t>GOODSLAND PG, OPPO DMART, BANER</t>
  </si>
  <si>
    <t>Behind Amit Motors, Sant Tukdoji Ward, Hinganghat</t>
  </si>
  <si>
    <t>ST.JOHN'S HIGHSCHOOL (CBSE)</t>
  </si>
  <si>
    <t>HINGANGHAT, MAHARASHTRA</t>
  </si>
  <si>
    <t>DR. B. R. AMBEDKAR JUNIOR COLLEGE</t>
  </si>
  <si>
    <t>BRACTS VISHWAKARMA INSTITUTE OF INFORMATION TECHNOLOGY</t>
  </si>
  <si>
    <t>PRUDENT ENGINEERING AND VALUATION SERVICES | VALUATION INTERN  | PUNE | Jan 2025 | May 2025 | 17.142857142857 Weeks
ECAS | Business Development Intern | Pune | May 2026 | Jun 2026 | 8.1428571428571 Weeks</t>
  </si>
  <si>
    <t>P25700391</t>
  </si>
  <si>
    <t>ANVAY</t>
  </si>
  <si>
    <t>GHARAT</t>
  </si>
  <si>
    <t>Anvay R Gharat</t>
  </si>
  <si>
    <t>anvay.gharat01@gmail.com</t>
  </si>
  <si>
    <t>p25700391@student.nicmar.ac.in</t>
  </si>
  <si>
    <t>HINDI, MARATHI, ENGLISH</t>
  </si>
  <si>
    <t>3804 7030 9386</t>
  </si>
  <si>
    <t>RAVINDRA GOVIND GHARAT</t>
  </si>
  <si>
    <t>SAMPADA GOVIND GHARAT</t>
  </si>
  <si>
    <t>Nandadeep CHS, Plot No 70, Sector 9, New Panvel</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</si>
  <si>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</si>
  <si>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</si>
  <si>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</si>
  <si>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</si>
  <si>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</si>
  <si>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AutoCAD,MS Office,MS Project,Primavera,CANVA,Revit</t>
  </si>
  <si>
    <t>Akurai PEB LLP | Asst Sales Engineer | Malad | Oct 2023 | Feb 2025 | 72.142857142857 Weeks
J.M. MHATRE INFRA PVT. LTD. | SITE EXECUTION TRAINEE | PANVEL-KARJAT RAILWAY CORRIDOR | Jan 2023 | Apr 2023 | 12.714285714286 Weeks</t>
  </si>
  <si>
    <t>P25700392</t>
  </si>
  <si>
    <t>SHREYARAM</t>
  </si>
  <si>
    <t>Shreyaram Shreyaram</t>
  </si>
  <si>
    <t>shreyaram2404@gmail.com</t>
  </si>
  <si>
    <t>p25700392@student.nicmar.ac.in</t>
  </si>
  <si>
    <t>ENGLISH, KANNADA, HINDI</t>
  </si>
  <si>
    <t>7576 3118 0305</t>
  </si>
  <si>
    <t>N SHANTHARAM</t>
  </si>
  <si>
    <t>CONSULTING CIVIL ENGINEERING</t>
  </si>
  <si>
    <t>JYOTHI S G</t>
  </si>
  <si>
    <t>#FF-03, A-Block, 1st Floor, Ajantha Vihar Apartment, Industrial Town, 4th Phase, Yelahanka New Town, Bengaluru - 560064</t>
  </si>
  <si>
    <t>PRESIDENCY PRE-UNIVERSITY COLLEGE</t>
  </si>
  <si>
    <t>BMS SCHOOL OF ARCHITECTURE</t>
  </si>
  <si>
    <t>AutoCAD, MS Project, MS Word, MS Excel, MS PowerPoint, SketchUp, BIM (Revit), Adobe Photoshop, TwinMotion, D5 Render, Enscape, CostX, Primavera</t>
  </si>
  <si>
    <t>PRESTIGE ESTATES PROJECTS LIMITED | PROJECT MANAGEMENT INTERN | BANGALORE  | May 2026 | Jul 2026 | 8.5714285714286 Weeks | Campus Internship
AJAN DESIGN ATRIUM | ARCHITECTURAL INTERN | BANGALORE  | Jan 2025 | Apr 2025 | 15.428571428571 Weeks</t>
  </si>
  <si>
    <t>Ethics in Engineering
German - I
Indian Town Planning and Architecture
Data Analysis
Finance for Non-Financial Managers
digiQC</t>
  </si>
  <si>
    <t>P25700393</t>
  </si>
  <si>
    <t>RAKESH</t>
  </si>
  <si>
    <t>D</t>
  </si>
  <si>
    <t>Rakesh D</t>
  </si>
  <si>
    <t>diliprakesh29@gmail.com</t>
  </si>
  <si>
    <t>p25700393@student.nicmar.ac.in</t>
  </si>
  <si>
    <t>29-Sep-2000</t>
  </si>
  <si>
    <t>English, Hindi, Telugu, Tamil, Kannada</t>
  </si>
  <si>
    <t>3049 8473 7850</t>
  </si>
  <si>
    <t>S DILIP KUMAR</t>
  </si>
  <si>
    <t>PARTNER</t>
  </si>
  <si>
    <t>D LATHA</t>
  </si>
  <si>
    <t>No. 9905, Dishitha,60ft Road, Vijayanagar 4th Stage 2nd Phase, Near Indian Bank, Mysore_x000D_</t>
  </si>
  <si>
    <t>06429-KENDRIYA VIDYALAYA TUNGABHADRA DAM HOSPET KK</t>
  </si>
  <si>
    <t>CIVIL ENGINEERING (GENERAL)</t>
  </si>
  <si>
    <t>SANDUR POLYTECHNIC, KARNATAKA</t>
  </si>
  <si>
    <t>PES UNIVERSITY</t>
  </si>
  <si>
    <t>PES UNIVERSITY, BENGALURU</t>
  </si>
  <si>
    <t>AutoCAD,MS Office,MS Project,Primavera,Design and Build,Cost &amp; Time Management,Strategic Planning,Conflict Resolution,Rapid Prototyping,Team Building,Stakeholder Management</t>
  </si>
  <si>
    <t>DL Engineering Works | Construction Project Coordinator (Turnkey Projects) | Mysore | Apr 2023 | Jun 2025 | 2Y 2M | 4.14</t>
  </si>
  <si>
    <t>Ahluwalia Contracts (India) Limited | Planning &amp; Commercial | Bengaluru | May 2026 | Jul 2026 | 8.5714285714286 Weeks | Campus Internship
TAHAL Group | Intern | Bangalore  | Nov 2019 | Dec 2019 | 1 Weeks
Nexus India INC | BIM Trainee | Mysore | Jan 2023 | Apr 2023 | 12.857142857143 Weeks</t>
  </si>
  <si>
    <t>P25700394</t>
  </si>
  <si>
    <t>Himanshu Himanshu</t>
  </si>
  <si>
    <t>hsharma2128@gmail.com</t>
  </si>
  <si>
    <t>p25700394@student.nicmar.ac.in</t>
  </si>
  <si>
    <t>17-May-2002</t>
  </si>
  <si>
    <t>English, Hindi, Punjabi, Haryanvi</t>
  </si>
  <si>
    <t>2280 9787 1726</t>
  </si>
  <si>
    <t>SATYAWAN</t>
  </si>
  <si>
    <t>NEELAM</t>
  </si>
  <si>
    <t>393/18 Kaithal, Haryana</t>
  </si>
  <si>
    <t>Kaithal</t>
  </si>
  <si>
    <t>D A V CENTENARY PUBLIC SCHOOL, JIND</t>
  </si>
  <si>
    <t>NAV DURGA SR SEC SCHOOL, JIND</t>
  </si>
  <si>
    <t>BOARD OF SCHOOL EDUCATION HARYANA, HARYANA</t>
  </si>
  <si>
    <t>THAPAR INSTITUTE OF ENGINEERING AND TECHNOLOGY, PATIALA</t>
  </si>
  <si>
    <t>AutoCAD,MS Office,MS Project,Primavera,Autodesk Revit,Staad pro</t>
  </si>
  <si>
    <t>Geoquest India | Operations Intern | Delhi, India | May 2026 | Jun 2026 | 8 Weeks | Campus Internship
A &amp; S CONTRACTING L.L.C | INTERN | DUBAI | Jul 2023 | Dec 2023 | 20.571428571429 Weeks</t>
  </si>
  <si>
    <t>P25700395</t>
  </si>
  <si>
    <t>ASHISH</t>
  </si>
  <si>
    <t>Ashish Mahendra Dubey</t>
  </si>
  <si>
    <t>ashisshhhhh@gmail.com</t>
  </si>
  <si>
    <t>p25700395@student.nicmar.ac.in</t>
  </si>
  <si>
    <t>25-May-2000</t>
  </si>
  <si>
    <t>5589 7871 3881</t>
  </si>
  <si>
    <t>MAHENDRA DUBEY</t>
  </si>
  <si>
    <t>ANITA DUBEY</t>
  </si>
  <si>
    <t>B/406 Rajdeep Apartment Opp Sheetal Cinema Kurla West</t>
  </si>
  <si>
    <t>HOLY CROSS HIGH SCHOOL</t>
  </si>
  <si>
    <t>MAHARASHTRA STATE BOARD OF SECONDARY AND HIGHER SECONDARY EDUCATION MUMBAI/MAHARASHTRA</t>
  </si>
  <si>
    <t>THAKUR COLLEGE OF ENGINEERING AND TECHNOLOGY MUMBAI/MAHARASHTRA</t>
  </si>
  <si>
    <t>Runwal Group | Junior Engineer - Projects  | Mumbai  | Sep 2023 | Jul 2025 | 1Y 10M | 3.5</t>
  </si>
  <si>
    <t>RUNWAL ENTERPRISES | Contracts Intern | Mumbai | May 2026 | Jul 2026 | 8.1428571428571 Weeks | Campus Internship</t>
  </si>
  <si>
    <t>P25700396</t>
  </si>
  <si>
    <t>SIDDHARTH</t>
  </si>
  <si>
    <t>JAIN</t>
  </si>
  <si>
    <t>Siddharth Rajesh Jain</t>
  </si>
  <si>
    <t>siddharth99.srj@gmail.com</t>
  </si>
  <si>
    <t>p25700396@student.nicmar.ac.in</t>
  </si>
  <si>
    <t>26-Apr-2003</t>
  </si>
  <si>
    <t>English , hindi, marathi , marwadi</t>
  </si>
  <si>
    <t>3977 9796 4304</t>
  </si>
  <si>
    <t>RAJESH JAIN</t>
  </si>
  <si>
    <t>BUSSINESSMAN</t>
  </si>
  <si>
    <t>JYOSTNA JAIN</t>
  </si>
  <si>
    <t>72, Appasaheb Nagar, Dondaicha</t>
  </si>
  <si>
    <t>AHINSA INTERNATIONAL SCHOOL</t>
  </si>
  <si>
    <t>MET BHUJBAL KNOWLWDGE CITY, NASHIK</t>
  </si>
  <si>
    <t>WORLD PEACE UNIVERSITY</t>
  </si>
  <si>
    <t>MIT WPU , KOTHRUD PUNE</t>
  </si>
  <si>
    <t>Madhuri Engineers | Planning and coordination  | Pune | May 2026 | Jul 2026 | 8.7142857142857 Weeks | Campus Internship
Dhanavade group | Site engineer  | Pune | Apr 2025 | Jul 2025 | 12.857142857143 Weeks
Bharucha  construction and co. | Quality engineer  | Pune | Jan 2025 | Apr 2025 | 12.857142857143 Weeks</t>
  </si>
  <si>
    <t>Skilling engineers  for professional success</t>
  </si>
  <si>
    <t>P25700397</t>
  </si>
  <si>
    <t>KONDHARE</t>
  </si>
  <si>
    <t>Aniket Santosh Kondhare</t>
  </si>
  <si>
    <t>aniketkondhare05@gmail.com</t>
  </si>
  <si>
    <t>p25700397@student.nicmar.ac.in</t>
  </si>
  <si>
    <t>05-Jun-2001</t>
  </si>
  <si>
    <t>Marathi, English &amp; Hindi</t>
  </si>
  <si>
    <t>9311 1247 9482</t>
  </si>
  <si>
    <t>SANTOSH KONDHARE</t>
  </si>
  <si>
    <t>PRIVATE SECTOR EMPLOYEE</t>
  </si>
  <si>
    <t>ANITA KONDHARE</t>
  </si>
  <si>
    <t>FLAT NO. 1003, FLOOR 10TH, YES RESIDENCY, HADAPSAR GAON, HADAPSAR, PUNE.</t>
  </si>
  <si>
    <t>Subhash Nagar, Post- Jagdish Nagar, Tal- Khalapur, Dist.- Raigad.</t>
  </si>
  <si>
    <t>J.C MAHINDRA MEMORIAL SCHOOL</t>
  </si>
  <si>
    <t>KHOPOLI/MAHARASHTRA</t>
  </si>
  <si>
    <t>SOU. VENUTAI CHAVAN POLYTECHNIC COLLEGE/MAHARASHTRA</t>
  </si>
  <si>
    <t>SINHGAD INSTITUTE OF TECHNOLOGY AND SCIENCE/MAHARASHTRA</t>
  </si>
  <si>
    <t>Microsoft Project (MSP), Primavera, AutoCAD, Revit</t>
  </si>
  <si>
    <t>Progressia Valuers and Consultants LLP | Valuation Engineer | Tilak Road, Pune | Aug 2024 | Jun 2025 | 0Y 10M | 1.8
Millennium Engineers and Contractors Limited. | Trainee. Engineer | Wagholi, Pune | Aug 2023 | Jul 2024 | 0Y 11M | 1.68</t>
  </si>
  <si>
    <t>Convenient Construction Consultancy Pvt Ltd | Planning Intern | Bengaluru, Karnataka, India | May 2026 | Jul 2026 | 9.7142857142857 Weeks | Campus Internship
SUVIDHA CONSTRO | INTERN | MAYUR COLONY, KOTHRUD, PUNE | May 2019 | Jun 2019 | 6 Weeks</t>
  </si>
  <si>
    <t>Diploma in BIM Professional (DBIM)
Asian Paints Smart Idea Challenge 2025</t>
  </si>
  <si>
    <t>P25700398</t>
  </si>
  <si>
    <t>NALAMWAR</t>
  </si>
  <si>
    <t>Nalamwar Priya Santosh</t>
  </si>
  <si>
    <t>priyasantoshnalamwar@gmail.com</t>
  </si>
  <si>
    <t>p25700398@student.nicmar.ac.in</t>
  </si>
  <si>
    <t>06-Oct-2003</t>
  </si>
  <si>
    <t>5833 1483 8857</t>
  </si>
  <si>
    <t>SAPANA</t>
  </si>
  <si>
    <t>501, NEEV CLASSIC, MADHUBAN SOCIETY RD, BALEWADI</t>
  </si>
  <si>
    <t>44/45, Balaji Niwas, Green Park, Arni</t>
  </si>
  <si>
    <t>SUNRISE NURSERY &amp; CONVENT, ARNI</t>
  </si>
  <si>
    <t>GOVERNMENT POLYTECHNIC PUNE</t>
  </si>
  <si>
    <t>SLB Onesubsea | Planner | Hinjewadi, Pune | May 2026 | Jul 2026 | 8.5714285714286 Weeks | Campus Internship
Legacy Lifespaces | Site Engineer | Ravet, Pune | Dec 2023 | Jan 2024 | 5.2857142857143 Weeks</t>
  </si>
  <si>
    <t>P25700399</t>
  </si>
  <si>
    <t>GOWDA</t>
  </si>
  <si>
    <t>R C</t>
  </si>
  <si>
    <t>Manoj Gowda R C</t>
  </si>
  <si>
    <t>manojgowdarc@gmail.com</t>
  </si>
  <si>
    <t>p25700399@student.nicmar.ac.in</t>
  </si>
  <si>
    <t>16-Jan-2004</t>
  </si>
  <si>
    <t>ENGLISH,KANNADA,TELUGU,HINDI</t>
  </si>
  <si>
    <t>5070 3908 5218</t>
  </si>
  <si>
    <t>R.A CHANDRAPPA</t>
  </si>
  <si>
    <t>FARMAR</t>
  </si>
  <si>
    <t>BHAGYAMMA</t>
  </si>
  <si>
    <t>REDDIHALLI (V) , DAVANAHALLI (T),BANGALORE RURAL (D), 562129</t>
  </si>
  <si>
    <t>NANDINI VIDYANIKETHANA H S</t>
  </si>
  <si>
    <t>JSS POLYTECHNIC / BGS POLYTECHNIC , KARNATAKA</t>
  </si>
  <si>
    <t>NEW HORIZON COLLEGE OF ENGINEERING , BENGALURU</t>
  </si>
  <si>
    <t>AutoCAD, MS Office, MS Project, P6 primavera,CostX,AutoCAD Civil 3D, MS Excel, BIM</t>
  </si>
  <si>
    <t>Rodic Consultants Pvt Ltd | Business Development | Delhi | May 2026 | Jul 2026 | 8.7142857142857 Weeks | Campus Internship
Cendrol Contruction Contracts Pvt Ltd | Construction Project Engineer Intern | Bengaluru  | Jan 2025 | Mar 2025 | 6.7142857142857 Weeks</t>
  </si>
  <si>
    <t>Ethics in Engineering Practice
Finance for Non-Financial Managers
Google Project Management</t>
  </si>
  <si>
    <t>P25700400</t>
  </si>
  <si>
    <t>GURAV</t>
  </si>
  <si>
    <t>SUDESH</t>
  </si>
  <si>
    <t>Gurav Sudesh Suresh</t>
  </si>
  <si>
    <t>sudeshgurav2003@gmail.com</t>
  </si>
  <si>
    <t>p25700400@student.nicmar.ac.in</t>
  </si>
  <si>
    <t>22-Jan-2003</t>
  </si>
  <si>
    <t>5246 2028 5205</t>
  </si>
  <si>
    <t>Maharatna Nivas, Navin Vasahat, _x000D_
A/p Harali BK, Gadhinglaj</t>
  </si>
  <si>
    <t>CREATIVE HIGH SCHOOL, GADHINGLAJ</t>
  </si>
  <si>
    <t>K. J. SOMAIYA POLYTECHNIC VIDYAVIHAR, MUMBAI</t>
  </si>
  <si>
    <t>SAVATRIBAI PHULE PUNE UNIVERSITY</t>
  </si>
  <si>
    <t>DR. D. Y.PATIL INSTITUTE OF TECHNOLOGY PIMPRI,PUNE</t>
  </si>
  <si>
    <t>New Consolidated Construction Company Limited | Site Execution | Juinagar , Navi Mumbai | May 2026 | Jul 2026 | 8.5714285714286 Weeks | Campus Internship
Legacy Lifespace | Site Engineer | Ravet ,Pune | Dec 2023 | Jan 2024 | 3.8571428571429 Weeks</t>
  </si>
  <si>
    <t>P25700401</t>
  </si>
  <si>
    <t>HIMESH</t>
  </si>
  <si>
    <t>Himesh Pravin Patil</t>
  </si>
  <si>
    <t>himeshpatil1705@gmail.com</t>
  </si>
  <si>
    <t>p25700401@student.nicmar.ac.in</t>
  </si>
  <si>
    <t>24-Sep-2000</t>
  </si>
  <si>
    <t>English, Hindi, Marathi, Gujrati</t>
  </si>
  <si>
    <t>3293 2920 4387</t>
  </si>
  <si>
    <t>ASSISTANT TEACHER</t>
  </si>
  <si>
    <t>PRADNYA</t>
  </si>
  <si>
    <t>13/B, AASHIRWAD, SHIV SUNDARAM NAGAR, DONGARGAON ROAD</t>
  </si>
  <si>
    <t>Nandurbar</t>
  </si>
  <si>
    <t>AT- ALKHED, POST- PADALDA, TALUKA- SHAHADA, DISTRICT- NANDURBAR.</t>
  </si>
  <si>
    <t>SHETH V.K.SHAH VIDYAMANDIR SHAHADA</t>
  </si>
  <si>
    <t>KAI.SAU.G.F.PATIL JUNIOR COLLEGE OF ARTS, SCIENCE AND COMMERCE.</t>
  </si>
  <si>
    <t>JSPM'S RAJARSHI SHAHU COLLEGE OF ENGINEERING, PUNE.</t>
  </si>
  <si>
    <t>AutoCAD,MS Office,MS Project,Primavera,CostX</t>
  </si>
  <si>
    <t>PASS DEVELOPERS | Civil Trainee | MOSHI, PUNE | Jun 2022 | Jun 2022 | -0.14285714285714 Weeks
NISHANK CONSTRUCTIONS | Civil Engineering Intern | Palghar | Sep 2024 | Jun 2025 | 43.142857142857 Weeks</t>
  </si>
  <si>
    <t>Applications OF Microsoft Project</t>
  </si>
  <si>
    <t>P25700402</t>
  </si>
  <si>
    <t>Hardik Singh</t>
  </si>
  <si>
    <t>hardiksingh635@gmail.com</t>
  </si>
  <si>
    <t>p25700402@student.nicmar.ac.in</t>
  </si>
  <si>
    <t>28-Oct-2003</t>
  </si>
  <si>
    <t>3766 2191 5691</t>
  </si>
  <si>
    <t>BASHESHWAR SINGH</t>
  </si>
  <si>
    <t>REKHA</t>
  </si>
  <si>
    <t>C-19 BEL COLONY KOTDWAR BALBHADRAPUR</t>
  </si>
  <si>
    <t>Pauri</t>
  </si>
  <si>
    <t>Uttarakhand</t>
  </si>
  <si>
    <t>BALUNI PUBLIC SCHOOL</t>
  </si>
  <si>
    <t>CBSE (UTTAR PRADESH)</t>
  </si>
  <si>
    <t>UTTARAKHAND TECHNICAL UNIVERSITY</t>
  </si>
  <si>
    <t>GOVIND BALLABH PANT INSTITUTE OF ENGINEERING &amp; TECHNOLOGY (UTTARAKHAND</t>
  </si>
  <si>
    <t>AutoCAD,MS Office,MS Project,Primavera,CIVIL 3D,Adobe Premiere pro,Filmora</t>
  </si>
  <si>
    <t>CLANCY GLOBAL CONSULTANCY | SITE EXECUTION | DELHI NCR | May 2026 | Jul 2026 | 8.7142857142857 Weeks | Campus Internship
Public Works Department | SITE INTERN (PWD) | ROORKEE | Jun 2023 | Jul 2023 | 4.1428571428571 Weeks
Bharat Electronics Limited (BEL) | INTERN | KOTDWARA | Jul 2022 | Aug 2022 | 4.2857142857143 Weeks</t>
  </si>
  <si>
    <t xml:space="preserve">Finance for Non-Financial Managers
Construction Equipment Maintenance &amp; Safety
Data Analysis
NPTEL (Ethics in Engineering Practice, German)
digiQC </t>
  </si>
  <si>
    <t>P25700403</t>
  </si>
  <si>
    <t>MALVIYA</t>
  </si>
  <si>
    <t>Pushpendra Malviya</t>
  </si>
  <si>
    <t>pushpm1234@gmail.com</t>
  </si>
  <si>
    <t>p25700403@student.nicmar.ac.in</t>
  </si>
  <si>
    <t>27-Dec-2002</t>
  </si>
  <si>
    <t>Hindi and English</t>
  </si>
  <si>
    <t>3552 5778 3476</t>
  </si>
  <si>
    <t>SUNIL MALVIYA</t>
  </si>
  <si>
    <t>SUNITA MALVIYA</t>
  </si>
  <si>
    <t>JR.MIG, 6/1, ANKUR COMPLEX PHASE-3, NEAR PARUL HOSPITAL, SHIVAJI NAGAR</t>
  </si>
  <si>
    <t>MAHARISHI VIDYA MANDIR, RATANPUR</t>
  </si>
  <si>
    <t>CBSE, BHOPAL, MADHYA PRADESH</t>
  </si>
  <si>
    <t>MAULANA AZAD NATIONAL INSTITUTE OF TECHNOLOGY</t>
  </si>
  <si>
    <t>MANIT BHOPAL, MADHYA PRADESH</t>
  </si>
  <si>
    <t>AutoCAD,MS Office,MS Project,Primavera,QGIS,Sketchup,Autodesk Flow,ArcGIS,Google Earth,Data Analysis,Revit,Navisworks,CostX</t>
  </si>
  <si>
    <t>Town and Country Planning, Madhya Pradesh | Data Analyst  | Bhopal | May 2024 | Jun 2024 | 6.4285714285714 Weeks
Dilip Buildcon Ltd. | Contracts Intern | Bhopal | May 2026 | Jul 2026 | 8.7142857142857 Weeks</t>
  </si>
  <si>
    <t>Six Sigma Green Belt
Project Management in Construction
Highway Planning, Pavement Design and Construction
Data Analysis
Project Management Principles and Practices Specialization
Infrastructure for Transportation Systems
Construction Equipment Maintenance &amp; Safety
Sustainable Design Practices in Building Design
Mechanization in Construction Specialization
Construction Project Management
Construction Management Fundamentals
Finance for Non-Financial Managers</t>
  </si>
  <si>
    <t>P25700404</t>
  </si>
  <si>
    <t>SUNNY</t>
  </si>
  <si>
    <t>BARWAL</t>
  </si>
  <si>
    <t>Sunny Sanjay Barwal</t>
  </si>
  <si>
    <t>sunnybarwal46@gmail.com</t>
  </si>
  <si>
    <t>p25700404@student.nicmar.ac.in</t>
  </si>
  <si>
    <t>07-Mar-2002</t>
  </si>
  <si>
    <t>8971 7099 3403</t>
  </si>
  <si>
    <t>SANJAY BARWAL</t>
  </si>
  <si>
    <t>SANGITA BARWAL</t>
  </si>
  <si>
    <t>B-5, Suyog Colony, Padampura, Aurangabad, Maharashtra</t>
  </si>
  <si>
    <t>THE COUNCIL FOR THE INDIAN SCHOOL CERTIFICATE EXAMINATIONS, NEW DELHI</t>
  </si>
  <si>
    <t>DEOGIRI COLLEGE</t>
  </si>
  <si>
    <t>DEOGIRI INSTITUTE OF ENGINEERING AND MANAGEMENT STUDIES, AURANGABAD, MAHARASHTRA</t>
  </si>
  <si>
    <t>Ideal Infratech | Site Supervisor  | Golwadi Bypass, Aurangabad, Maharashtra | Feb 2024 | May 2024 | 12.857142857143 Weeks</t>
  </si>
  <si>
    <t>P25700405</t>
  </si>
  <si>
    <t>GLYDA</t>
  </si>
  <si>
    <t>PAIVA</t>
  </si>
  <si>
    <t>Glyda Paiva</t>
  </si>
  <si>
    <t>glydapaiva@gmail.com</t>
  </si>
  <si>
    <t>p25700405@student.nicmar.ac.in</t>
  </si>
  <si>
    <t>24-Jun-2003</t>
  </si>
  <si>
    <t>6299 7635 1012</t>
  </si>
  <si>
    <t>JUFRIN PAIVA</t>
  </si>
  <si>
    <t>RETIRED ASSISTANT ENGINEER, KSEB</t>
  </si>
  <si>
    <t>SERINA REBELLO</t>
  </si>
  <si>
    <t>BETHEL, Colony Road, Manjummel</t>
  </si>
  <si>
    <t>AL-AMEEN PUBLIC SCHOOL, EDAPPALLY, KOCHI</t>
  </si>
  <si>
    <t>CENTRAL BOARD OF SECONDARY EDUCATION, KOCHI</t>
  </si>
  <si>
    <t>SACRED HEART HIGHER SECONDARY SCHOOL, KERALA</t>
  </si>
  <si>
    <t>KMEA ENGINEERING COLLEGE, KERALA</t>
  </si>
  <si>
    <t>AutoCAD,MS Office,MS Project,Primavera,Geostudio(Slope/W)</t>
  </si>
  <si>
    <t>Uralungal Labour Contract Co-operative Society(ULCCS) | Intern | Varkala, Kerala | May 2026 | Jul 2026 | 8 Weeks | Campus Internship
A &amp; E PROJECTS | INTERN | ERNAKULAM | May 2023 | May 2023 | 0.85714285714286 Weeks</t>
  </si>
  <si>
    <t>P25700406</t>
  </si>
  <si>
    <t>AKHILESH</t>
  </si>
  <si>
    <t>CHOUDHARY</t>
  </si>
  <si>
    <t>Akhilesh Choudhary</t>
  </si>
  <si>
    <t>cakhilesh218@gmail.com</t>
  </si>
  <si>
    <t>p25700406@student.nicmar.ac.in</t>
  </si>
  <si>
    <t>24-Oct-1999</t>
  </si>
  <si>
    <t>7127 1912 3748</t>
  </si>
  <si>
    <t>VASANT CHOUDHARY</t>
  </si>
  <si>
    <t>USHA CHOUDHARY</t>
  </si>
  <si>
    <t>WARD NO 10 KADU COLONY SAUSAR</t>
  </si>
  <si>
    <t>Chhindwara</t>
  </si>
  <si>
    <t>Pipla Narayanwar Ward No 06</t>
  </si>
  <si>
    <t>OM SAI CENTRAL PUBLIC SCHOOL SAUSAR</t>
  </si>
  <si>
    <t>CBSE SAUSAR/MADHYA PRADESH</t>
  </si>
  <si>
    <t>SHRI CHAITANYA KALASHYALA</t>
  </si>
  <si>
    <t>TSBIE HYDERABAD/ TELANGANA</t>
  </si>
  <si>
    <t>YESHWANTRAO CHAVAN COLLEGE OF ENGINEERING NAGPUR/MAHARASHTRA</t>
  </si>
  <si>
    <t>AutoCAD,MS Office,MS Project,Primavera,Sql,Excel</t>
  </si>
  <si>
    <t>S.K. Associate | Project Engineer | Nagpur (Maharashtra) | Oct 2021 | Oct 2022 | 1Y 0M | 2.25
Narayana Infra Construction | Site Engineer | Sausar (Madhya Pradesh) | Nov 2022 | Jun 2023 | 0Y 7M | 2.82
Quess Corp Limited (ADANI GREEN ENERGY LTD) | Engineer  | khavda (Gujarat) | Jul 2023 | Dec 2024 | 1Y 5M | 5.37</t>
  </si>
  <si>
    <t>3 Years 2 Months</t>
  </si>
  <si>
    <t>Zero Energy Building
Finance for Non-Financial Manager
Adani Agel Spot  Recognition
Autocad</t>
  </si>
  <si>
    <t>P25700408</t>
  </si>
  <si>
    <t>ALAGAR</t>
  </si>
  <si>
    <t>SANTHOSH</t>
  </si>
  <si>
    <t>Alagar Santhosh S</t>
  </si>
  <si>
    <t>alagarsam2003@gmail.com</t>
  </si>
  <si>
    <t>p25700408@student.nicmar.ac.in</t>
  </si>
  <si>
    <t>11-Jan-2003</t>
  </si>
  <si>
    <t>English,Tamil</t>
  </si>
  <si>
    <t>6007 4240 7323</t>
  </si>
  <si>
    <t>SAMPATH A</t>
  </si>
  <si>
    <t>HR MANAGER</t>
  </si>
  <si>
    <t>DHANALAKSHMI K</t>
  </si>
  <si>
    <t>1/1270,Vivekananthar Street,_x000D_
Pandian Nagar,_x000D_
Virudhunagar</t>
  </si>
  <si>
    <t>KSHATRIYA VIDHYA SALA ENGLISH MEDIUM SCHOOL</t>
  </si>
  <si>
    <t>VIRUDHUNAGAR</t>
  </si>
  <si>
    <t>PSG INSTITUTE OF TECHNOLOGY AND APPLIED RESEARCH</t>
  </si>
  <si>
    <t>COIMBATORE</t>
  </si>
  <si>
    <t>AutoCAD,MS Office,MS Project,Primavera,CostX,BIM</t>
  </si>
  <si>
    <t>Larsen and Toubro | Internship Chennai metro | Chennai | Jul 2023 | Aug 2023 | 4.4285714285714 Weeks
S &amp; P Foundation | Intern â€“ Billing &amp; Quantity Surveying (Residential project) | Chennai | Sep 2024 | Feb 2025 | 24.571428571429 Weeks</t>
  </si>
  <si>
    <t>Drone Surveying and Mapping by Bentley Institute.</t>
  </si>
  <si>
    <t>P25700409</t>
  </si>
  <si>
    <t>PARAS</t>
  </si>
  <si>
    <t>NAGESH</t>
  </si>
  <si>
    <t>Paras Nagesh Patil</t>
  </si>
  <si>
    <t>patilparas22@gmail.com</t>
  </si>
  <si>
    <t>p25700409@student.nicmar.ac.in</t>
  </si>
  <si>
    <t>4637 9048 3777</t>
  </si>
  <si>
    <t>NAGESH CHALU PATIL</t>
  </si>
  <si>
    <t>ASHWINI NAGESH PATIL</t>
  </si>
  <si>
    <t>C-1,203 , Sanghavi Valley_x000D_
Parsik Nagar , Old Mumbai Pune Road</t>
  </si>
  <si>
    <t>SAHAKAR VIDHYA PRASARAK MANDAL SECONARY SCHOOL</t>
  </si>
  <si>
    <t>MAHARASTRA STATE BOARD OF SECONDARY AND HIGHER EECONDARY EDUCATION, PUNE</t>
  </si>
  <si>
    <t>GOVERNMENT POLYTECHNIC, MUMBAI,BANDRA</t>
  </si>
  <si>
    <t>DATTA MEGHE COLLEGE OF ENGINEERING,AIROLI</t>
  </si>
  <si>
    <t>AutoCAD,MS Office,MS Project,ETABS,QGIS</t>
  </si>
  <si>
    <t>Embassy Developments Ltd. | Construction- Intern | Thane  | May 2026 | Jul 2026 | 8.4285714285714 Weeks | Campus Internship
B.G.SHIRKE CONSTRUCTION TECHNOLOGY PVT. LTD. | INTERN  | SHIRDHON, DOMBIVLI | Jun 2024 | Jul 2024 | 4.2857142857143 Weeks
JAIN ENGINEERS PVT. LTD. | INTERN  | PALAVA, KHONI, DOMBIVLI (EAST) | Feb 2022 | Sep 2022 | 30.142857142857 Weeks</t>
  </si>
  <si>
    <t>P25700410</t>
  </si>
  <si>
    <t>ABHIJITH</t>
  </si>
  <si>
    <t>K M</t>
  </si>
  <si>
    <t>Abhijith K M</t>
  </si>
  <si>
    <t>abhijithmanoj666@gmail.com</t>
  </si>
  <si>
    <t>p25700410@student.nicmar.ac.in</t>
  </si>
  <si>
    <t>9206 1992 5411</t>
  </si>
  <si>
    <t>MANOJ KUMAR K T</t>
  </si>
  <si>
    <t>SIJIMOL P M</t>
  </si>
  <si>
    <t>KAROTH HOUSE, WEST KADUNGALLOOR.P.O, ALUVA, ERNAKULAM,KERALA</t>
  </si>
  <si>
    <t>RAJASHREE S M MEMORIAL SCHOOL ALUVA</t>
  </si>
  <si>
    <t>CENTRAL  BOARD OF SECONDARY EDUCATION, KERALA</t>
  </si>
  <si>
    <t>SNDP HSS ALUVA</t>
  </si>
  <si>
    <t>GOVERNMENT OF KERALA BOARD OF HIGHER SECONDARY EXAMINATIONS KERALA</t>
  </si>
  <si>
    <t>COCHIN INTERNATIONAL AIRPORT LIMITED | SITE SUPERVISION | COCHIN INTERNATIONAL AIRPORT | Jan 2024 | Dec 2024 | 0Y 11M | 1.62</t>
  </si>
  <si>
    <t>P25700411</t>
  </si>
  <si>
    <t>MARICHERLA</t>
  </si>
  <si>
    <t>Navya Maricherla</t>
  </si>
  <si>
    <t>navyamaricherla0506@gmail.com</t>
  </si>
  <si>
    <t>p25700411@student.nicmar.ac.in</t>
  </si>
  <si>
    <t>05-Sep-2000</t>
  </si>
  <si>
    <t>English, Hindi, Telugu, Marathi</t>
  </si>
  <si>
    <t>7913 1808 0294</t>
  </si>
  <si>
    <t>JAGADISH MARICHERLA</t>
  </si>
  <si>
    <t>DEPUTY CHIEF ENGINEER</t>
  </si>
  <si>
    <t>SUNEETA MARICHERLA</t>
  </si>
  <si>
    <t>Green Zone Society, D Building, Flat No. 501, Opp To Mohan Nagar Society, Baner-Sus Link Road, Baner</t>
  </si>
  <si>
    <t>KENDRIYA VIDYALAYA O F BHUSAWAL JALGAON MR</t>
  </si>
  <si>
    <t>MACRO VISION ACADEMY BURHANPUR DT KHANDWA MP</t>
  </si>
  <si>
    <t>VISHWAKARMA INSTITUTE OF INFORMATION TECHNOLOGY</t>
  </si>
  <si>
    <t>AutoCAD,MS Office,MS Project,Primavera,BIM,Cost X</t>
  </si>
  <si>
    <t>MAHINDRA LIFESPACE DEVELOPERS LIMITED | SR. EXECUTIVE PLANNING | PUNE | Jul 2022 | Jul 2025 | 2Y 11M | 7.68</t>
  </si>
  <si>
    <t>KPMG India | Transformation- Major Projects Advisory  | Mumbai | May 2026 | Jun 2026 | 7.5714285714286 Weeks | Campus Internship
CENTRAL RAILWAYS | ENGINEER TRAINEE | PUNE | Jun 2020 | Nov 2020 | 21.857142857143 Weeks</t>
  </si>
  <si>
    <t>Communicate to Connect
Cost and Resource Loading in Microsoft Project
Successful Presentation
Excel Skills for Business Essentials
Project Management: The Basics for Success
Finance for Non-Financial Managers</t>
  </si>
  <si>
    <t>P25700412</t>
  </si>
  <si>
    <t>S M</t>
  </si>
  <si>
    <t>Abhishek S M</t>
  </si>
  <si>
    <t>abhya72@gmail.com</t>
  </si>
  <si>
    <t>p25700412@student.nicmar.ac.in</t>
  </si>
  <si>
    <t>21-Jan-1999</t>
  </si>
  <si>
    <t>English, Kannada, Hindi, Telugu</t>
  </si>
  <si>
    <t>3924 4400 6847</t>
  </si>
  <si>
    <t>NAGARAJ S M</t>
  </si>
  <si>
    <t>LAKSHMI S M</t>
  </si>
  <si>
    <t>Ward 6, Near Vinayaka Nagar, 2nd Cross Road, Kampli - 583132</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</si>
  <si>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</si>
  <si>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</si>
  <si>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</si>
  <si>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</si>
  <si>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</si>
  <si>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AutoCAD,MS Office,MS Project,Primavera,Civil 3D,SketchUp,Lumion,revit</t>
  </si>
  <si>
    <t>M R Constructions &amp; Consultancy | Junior Civil Engineer | Gangavathi, Karnataka | Nov 2023 | Oct 2024 | 0Y 11M | 1.44
Atkins | Graduate Engineer | Bengaluru | Aug 2022 | Aug 2023 | 1Y 0M | 4.24</t>
  </si>
  <si>
    <t>Prestige Estates Projects Ltd | Site Execution + Control | Bengaluru | May 2026 | Jul 2026 | 8.5714285714286 Weeks | Campus Internship</t>
  </si>
  <si>
    <t>P25700413</t>
  </si>
  <si>
    <t>VACHAN</t>
  </si>
  <si>
    <t>GAIKWAD</t>
  </si>
  <si>
    <t>Vivek Vachan Gaikwad</t>
  </si>
  <si>
    <t>vivekgaikwad910@gmail.com</t>
  </si>
  <si>
    <t>p25700413@student.nicmar.ac.in</t>
  </si>
  <si>
    <t>10-Aug-2004</t>
  </si>
  <si>
    <t>8502 3448 4866</t>
  </si>
  <si>
    <t>VACHAN GAIKWAD</t>
  </si>
  <si>
    <t>PINKI GAIKWAD</t>
  </si>
  <si>
    <t>Baliram Niwas, Tisgoan, Kalyan, East, 421306</t>
  </si>
  <si>
    <t>SAMRAT ASHOK HIGHSCHOOL</t>
  </si>
  <si>
    <t>AutoCAD,MS Office,MS Project,Primavera,Revit,Navisworks,CostX</t>
  </si>
  <si>
    <t>PSP Projects Limited  | Civil-Intern | Dharavi, Mumbai | May 2026 | Jul 2026 | 8.7142857142857 Weeks | Campus Internship
B.G.SHIRKE CONSTRUCTION TECHNOLOGY PVT.LTD. | INTERN  | DOMBIVLI | Jun 2024 | Jul 2024 | 4.2857142857143 Weeks</t>
  </si>
  <si>
    <t>P25700414</t>
  </si>
  <si>
    <t>HARSHAVARDHAN</t>
  </si>
  <si>
    <t>Harshavardhan B</t>
  </si>
  <si>
    <t>hvb10082212@gmail.com</t>
  </si>
  <si>
    <t>p25700414@student.nicmar.ac.in</t>
  </si>
  <si>
    <t>22-Sep-2000</t>
  </si>
  <si>
    <t>English, Kannada, Hindi, Telugu, Tamil</t>
  </si>
  <si>
    <t>6234 2752 1509</t>
  </si>
  <si>
    <t>BALAJI BHASKAR</t>
  </si>
  <si>
    <t>CHANDRAKALA</t>
  </si>
  <si>
    <t>789, 6th Cross Road, BHCS Layout, Lakkegowdanagar, Uttarahalli, Bangalore 560061</t>
  </si>
  <si>
    <t>CARMEL ENGLISH HIGH SCHOOL, BANGALORE</t>
  </si>
  <si>
    <t>RASHTREEYA VIDYALAYA PRE UNIVERSITY COLLEGE (RVPU), BANGALORE</t>
  </si>
  <si>
    <t>DEPARTMENT OF PRE UNIVERSITY EDUCATION, KARNATAKA</t>
  </si>
  <si>
    <t>VISVESVARAYA TECHNOLOGICAL UNIVERSITY, BELAGAVI, KARNATAKA</t>
  </si>
  <si>
    <t>B.M.S COLLEGE OF ARCHITECTURE, BANGALORE</t>
  </si>
  <si>
    <t>Autodesk ACC - AutoCAD, Revit, Navisworks ; Bexel Manager, Sketchup, MS Office, MS Project, Primavera, CostX, Adobe Photoshop, Enscape, V-ray, Twinmotion, Lumion</t>
  </si>
  <si>
    <t>Int-Hab Architecture + Design Studio | Junior Architect | J P nagar, Bengaluru | Jul 2024 | Jul 2025 | 1Y 0M | 2.64</t>
  </si>
  <si>
    <t>ASBL  | Design Coordination + Research Intern | Hyderabad | May 2026 | Jul 2026 | 8.7142857142857 Weeks | Campus Internship
369 OCHRE STUDIO | DESIGN AND DOCUMENTATION CONSULTANT | BENGALURU | Jun 2023 | Jun 2024 | 52.285714285714 Weeks
Urban Frame PVT.LTD | Architecture Intern | Bengaluru | Aug 2022 | Dec 2022 | 17.428571428571 Weeks</t>
  </si>
  <si>
    <t>NPTEL - Ethics in Engineering Practice
Coursera - Finance for Non-Financial Managers
Coursera - TBMs, Pile Rigs, Cranes &amp; Hauling Vehicles
Indian Town Planning and Architecture in Indian Knowlwdge system (IKS)
Coursera - Construction Equipment Maintainence and Safety
Coursera - Data Analysis</t>
  </si>
  <si>
    <t>P25700415</t>
  </si>
  <si>
    <t>SURESHCHANDRA</t>
  </si>
  <si>
    <t>GOSAVI</t>
  </si>
  <si>
    <t>Sai Sureshchandra Gosavi</t>
  </si>
  <si>
    <t>gosavisaisureshchandra24@gmail.com</t>
  </si>
  <si>
    <t>p25700415@student.nicmar.ac.in</t>
  </si>
  <si>
    <t>24-Sep-2002</t>
  </si>
  <si>
    <t>2326 0232 5110</t>
  </si>
  <si>
    <t>PROFESSOR HOD, POLYTECHNIC COLLEGE</t>
  </si>
  <si>
    <t>A/103, Ruhsbah Tower, Suncity, Vasai West, Mumbai, Pin-401202</t>
  </si>
  <si>
    <t>CARMELITE CONVENT ENGLISH HIGH SCHOOL</t>
  </si>
  <si>
    <t>M.G.M ACADEMY HIGH SCHOOL &amp; JUNIOR COLLEGE OF ARTS, COMMERCE &amp; SCIENCE</t>
  </si>
  <si>
    <t>VIDYAVARDHINI'S BHAUSAHEB VARTAK POLYTECHNIC</t>
  </si>
  <si>
    <t>VIDYAVARDHINI'S COLLEGE OF ENGINEERING AND TECHNOLOGY, MUMBAI, MAHARASHTRA</t>
  </si>
  <si>
    <t>AutoCAD, MS Office, MS Project, Primavera, Revit, Navisworks, CostX</t>
  </si>
  <si>
    <t>EN CON PROJECT CONSULTANTS FOR ARCHITECTURAL &amp; STRUCTURAL WORKS | TRAINEE ENGINEER | MUMBAI, VASAI | Jun 2023 | Jul 2023 | 2.7142857142857 Weeks
Gleeds Consultancy | Intern Cost Management | Mumbai, Andheri- Marol | May 2026 | Jul 2026 | 8.7142857142857 Weeks</t>
  </si>
  <si>
    <t>Certificate of Excellence
VNPS-25
OSCILLATIONS'25
VNPS-24
OSCILLATIONS'24
OSCILLATIONS'23</t>
  </si>
  <si>
    <t>P25700416</t>
  </si>
  <si>
    <t>MANAV</t>
  </si>
  <si>
    <t>MUKESH</t>
  </si>
  <si>
    <t>Manav Mukesh Parmar</t>
  </si>
  <si>
    <t>manav.p.3622@gmail.com</t>
  </si>
  <si>
    <t>p25700416@student.nicmar.ac.in</t>
  </si>
  <si>
    <t>22-Oct-2003</t>
  </si>
  <si>
    <t>6812 9344 3411</t>
  </si>
  <si>
    <t>MUKESH A. PARMAR</t>
  </si>
  <si>
    <t>BHAVNA M. PARMAR</t>
  </si>
  <si>
    <t>A/201-SF, Shivalik Avenue, Near Nirma Vidhyavihar, Bodakdev, Ahmedabad, Gujrat-380054</t>
  </si>
  <si>
    <t>Ahmedabad</t>
  </si>
  <si>
    <t>SADHANA VIDHYALAYA</t>
  </si>
  <si>
    <t>GUJRAT SECONDARY &amp; HIGHER SECONDARY EDUCATION BOARD, GANDHINAGAR</t>
  </si>
  <si>
    <t>NIRMA UNIVERSITY</t>
  </si>
  <si>
    <t>NIRMA UNIVERSITY / AHMEDDABAD / GUJRAT</t>
  </si>
  <si>
    <t>AutoCAD,MS Office,MS Project,Primavera,Revit,Staad pro,Navisworks,Power BI</t>
  </si>
  <si>
    <t>Aashir Engineering Pvt.Ltd | Intern (BIM Planning &amp; Estimation) | Ahmedabad, Gujrat | Dec 2024 | Apr 2025 | 16.571428571429 Weeks
Rigid Construction Corporation | Trainee Engineer | Ahmedabad, Gujrat | Jun 2024 | Jul 2024 | 5.5714285714286 Weeks</t>
  </si>
  <si>
    <t>Nirma Volunteer
BIM Work shop
Best Out of Waste</t>
  </si>
  <si>
    <t>P25700417</t>
  </si>
  <si>
    <t>MEENA</t>
  </si>
  <si>
    <t>Rishabh Meena</t>
  </si>
  <si>
    <t>rishabh.meena5@gmail.com</t>
  </si>
  <si>
    <t>p25700417@student.nicmar.ac.in</t>
  </si>
  <si>
    <t>01-May-1997</t>
  </si>
  <si>
    <t>7660 6692 3118</t>
  </si>
  <si>
    <t>SHIV DAYAL MEENA</t>
  </si>
  <si>
    <t>KAMLESH MEENA</t>
  </si>
  <si>
    <t>B-61, MANGALAM ANANTARA THE VILLA'S, OPPOSITE PINK PEARL WATER PARK, AJMER ROAD, GRAND CITY EXT PRIME</t>
  </si>
  <si>
    <t>MAHESHWARI PUBLIC SCHOOL</t>
  </si>
  <si>
    <t>CENTRAL BOARD OF SECONDARY EDUCATION RAJASTHAN</t>
  </si>
  <si>
    <t>JAIPUR ENGINEERING COLLEGE AND RESEARCH CENTRE UNIVERSITY</t>
  </si>
  <si>
    <t>JAIPUR ENGINEERING COLLEGE AND RESEARCH CENTRE UNIVERSITY JAIPUR/RAJASTHAN</t>
  </si>
  <si>
    <t>NATIONAL INSTITUTE OF TECHNOLOGY HAMIRPUR</t>
  </si>
  <si>
    <t>MS Office,MS Project,MS Excel,ANSYS Fluent</t>
  </si>
  <si>
    <t>P25700418</t>
  </si>
  <si>
    <t>VIBUDH</t>
  </si>
  <si>
    <t>TIWARI</t>
  </si>
  <si>
    <t>Vibudh Tiwari</t>
  </si>
  <si>
    <t>vibstark3000@gmail.com</t>
  </si>
  <si>
    <t>p25700418@student.nicmar.ac.in</t>
  </si>
  <si>
    <t>29-Oct-1998</t>
  </si>
  <si>
    <t>9237 7117 7675</t>
  </si>
  <si>
    <t>RAJESH KUMAR TIWARI</t>
  </si>
  <si>
    <t>NIDHI TIWARI</t>
  </si>
  <si>
    <t>91, Coral Cottage, Misrod,Huzur, Bhopal</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</si>
  <si>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</si>
  <si>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</si>
  <si>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</si>
  <si>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</si>
  <si>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</si>
  <si>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Shalini Assosciates | Site Engineer | MAHSR C4 (Section-5) Project  Karjan, Gujarat-39124 | Sep 2022 | May 2024 | 1Y 7M | 2.97
Ultratech Cement Limited RMC Division | Chemist Junior Officer |  Chainage 154 (Upalat, Palghar,  Dahanu) | Mar 2025 | Jun 2025 | 0Y 3M | 5</t>
  </si>
  <si>
    <t>Hilti India | Summer Sale Intern | Mumbai | May 2026 | Jul 2026 | 8.5714285714286 Weeks | Campus Internship
Oil and Natural Gas Corporation Limited | Summer Intern | Ahmedabad | May 2019 | Jun 2019 | 6.5714285714286 Weeks</t>
  </si>
  <si>
    <t>Lean Six Sigma Green Belt  KPMG India</t>
  </si>
  <si>
    <t>P25700419</t>
  </si>
  <si>
    <t>Bhushan Arun Pawar</t>
  </si>
  <si>
    <t>bhushan210056@gmail.com</t>
  </si>
  <si>
    <t>p25700419@student.nicmar.ac.in</t>
  </si>
  <si>
    <t>11-Aug-2000</t>
  </si>
  <si>
    <t>2440 3515 3312</t>
  </si>
  <si>
    <t>ARUN PANDINATH PAWAR</t>
  </si>
  <si>
    <t>PUBLIC SERVANT</t>
  </si>
  <si>
    <t>MANISHA ARUN PAWAR</t>
  </si>
  <si>
    <t>Plot No.37, Sharda Nagar, Near Wageshwari Mandir, Nandurbar</t>
  </si>
  <si>
    <t>SHROFF HIGH SCHOOL</t>
  </si>
  <si>
    <t>SECONDARY AND HIGHER SECONDARY EDUCATION PUNE, MAHARASHTRA</t>
  </si>
  <si>
    <t>GT PATIL JUNIOR COLLEGE</t>
  </si>
  <si>
    <t>KAVAYITRI BAHINABAI CHAUDHARI NORTH MAHARASHTRA UNIVERSITY JALGAON</t>
  </si>
  <si>
    <t>SHRAM SADHNA BOMBAY TRUST BAMBHORI, JALGAON</t>
  </si>
  <si>
    <t>AutoCAD,MS Office,MS Project,Primavera,Tekla,SDS2,Blue Beam,BIM,Cost_X,Naviswork</t>
  </si>
  <si>
    <t>Tech flow Engineers India PVT. LTD. | Jr. QC Engineer | Jalgaon | Jul 2022 | Jul 2025 | 2Y 11M | 4.18</t>
  </si>
  <si>
    <t>Tech flow Engineers Pvt. Ltd. | Trainee Engineer â€“ Summer Intern | Jalgaon | Jan 2022 | Feb 2022 | 4.5714285714286 Weeks</t>
  </si>
  <si>
    <t>Project Admin (Scholar) course from digiQC Academy.
MKCL Certified AutoCAD</t>
  </si>
  <si>
    <t>P25700420</t>
  </si>
  <si>
    <t>MYTHILI</t>
  </si>
  <si>
    <t>Mythili R</t>
  </si>
  <si>
    <t>mythiliramachandra2000@gmail.com</t>
  </si>
  <si>
    <t>p25700420@student.nicmar.ac.in</t>
  </si>
  <si>
    <t>17-Sep-1998</t>
  </si>
  <si>
    <t>English,Tamil,Kannada and Telugu</t>
  </si>
  <si>
    <t>7121 2623 3499</t>
  </si>
  <si>
    <t>RAMACHANDRA R</t>
  </si>
  <si>
    <t>GOVINDAMMA</t>
  </si>
  <si>
    <t># 34,6th Cross Balaji Layout Kodigehalli Bangalore 560094</t>
  </si>
  <si>
    <t>CLUNY CONVENT HIGH SCHOOL</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</si>
  <si>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</si>
  <si>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</si>
  <si>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</si>
  <si>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</si>
  <si>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</si>
  <si>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Earthricks Architecture,Planning and Sustainability | Junior Architect | Yelahanka satellite town,Bangalore,Karnataka | Jul 2024 | Jul 2025 | 1Y 0M | 3.9</t>
  </si>
  <si>
    <t>Co-Ordinates Architecture + Interior Design | Intern | #9,vivyd,4th cross, central excise layout, Vijayanagar, Bangalore- 560040 | Sep 2022 | Dec 2022 | 15.714285714286 Weeks</t>
  </si>
  <si>
    <t>P25700421</t>
  </si>
  <si>
    <t>Rahul R Shetty</t>
  </si>
  <si>
    <t>rahulshetty2501@gmail.com</t>
  </si>
  <si>
    <t>p25700421@student.nicmar.ac.in</t>
  </si>
  <si>
    <t>25-Feb-2001</t>
  </si>
  <si>
    <t>English, Hindi, Kannada, Marathi</t>
  </si>
  <si>
    <t>6042 2302 7283</t>
  </si>
  <si>
    <t>RAJESH J SHETTY</t>
  </si>
  <si>
    <t>RAVEENA R SHETTY</t>
  </si>
  <si>
    <t>Penta Orchid, Flat No. 104, First Floor, Opp To Railway Health Unit, Indrali, Udupi Taluk, Udupi Karnataka</t>
  </si>
  <si>
    <t>Udupi</t>
  </si>
  <si>
    <t>T A PAI ENGLISH MEDIUM HIGH SCHOOL</t>
  </si>
  <si>
    <t>POORNAPRAJNA PRE UNIVERSITY COLLEGE</t>
  </si>
  <si>
    <t>MANIPAL UNIVERSITY</t>
  </si>
  <si>
    <t>MANIPAL INSTITUTE OF TECHNOLOGY, MANIPAL</t>
  </si>
  <si>
    <t>AutoCAD,MS Office,MS Project,Primavera,Staad Pro,Etabs</t>
  </si>
  <si>
    <t>KPMG India | Analyst | Mumbai | Jul 2023 | May 2025 | 1Y 9M | 6.54</t>
  </si>
  <si>
    <t>Masin Projects | Quantum Intern | Gurugram, Haryana, India | May 2026 | Jul 2026 | 8.7142857142857 Weeks | Campus Internship
KPMG INDIA | TRAINEE | MUMBAI | Jan 2023 | Jul 2023 | 25.571428571429 Weeks</t>
  </si>
  <si>
    <t>P25700422</t>
  </si>
  <si>
    <t>MAYANK</t>
  </si>
  <si>
    <t>Mayank Sharma</t>
  </si>
  <si>
    <t>mayanksharma221b@gmail.com</t>
  </si>
  <si>
    <t>p25700422@student.nicmar.ac.in</t>
  </si>
  <si>
    <t>03-Aug-2002</t>
  </si>
  <si>
    <t>English, Hindi.</t>
  </si>
  <si>
    <t>9460 2627 7862</t>
  </si>
  <si>
    <t>VED PRAKASH SHARMA</t>
  </si>
  <si>
    <t>LATE SANGEETA SHARMA</t>
  </si>
  <si>
    <t>Gautam Nagar_x000D_
House No. 336</t>
  </si>
  <si>
    <t>CAMPION SCHOOL</t>
  </si>
  <si>
    <t>RAJEEV GANDHI HIGHER SEC. SCHOOL</t>
  </si>
  <si>
    <t>MANIPAL UNIVERSITY JAIPUR, JAIPUR, RAJASTHAN.</t>
  </si>
  <si>
    <t>AutoCAD,MS Office,MS Project,Primavera,Sketch up,revit</t>
  </si>
  <si>
    <t>Acotech Consultants Pvt. Ltd. | Intern | Badlapur, Thane, Maharastra | May 2023 | Jul 2023 | 6.4285714285714 Weeks
Ghanaram Infra Engineer Pvt. Ltd. | Site intern | Jhalawar, Rajashthan | Jan 2024 | Apr 2024 | 17.142857142857 Weeks</t>
  </si>
  <si>
    <t>P25700424</t>
  </si>
  <si>
    <t>Shubham Singh</t>
  </si>
  <si>
    <t>shubham9891@yahoo.com</t>
  </si>
  <si>
    <t>p25700424@student.nicmar.ac.in</t>
  </si>
  <si>
    <t>19-Feb-2001</t>
  </si>
  <si>
    <t>2912 1564 0477</t>
  </si>
  <si>
    <t>SATISH KUMAR</t>
  </si>
  <si>
    <t>DHARAMSHEELA</t>
  </si>
  <si>
    <t>C206, MUNDESHWARI ORBIT MALL, DANAPUR KHAGAUL ROAD, PATNA</t>
  </si>
  <si>
    <t>Narayan Niwas, Surya Vihar Colony, Opposite CMRI Gate, Dhaiya, Dhanbad</t>
  </si>
  <si>
    <t>Dhanbad</t>
  </si>
  <si>
    <t>BIRLA PUBLIC SCHOOL, VIDYA NIKETAN</t>
  </si>
  <si>
    <t>CENTRAL BOARD OF SECONDARY EDUCATION (CBSE), PILANI, RAJASTHAN</t>
  </si>
  <si>
    <t>CENTRAL BOARD OF SECONDARY EDUCATION(CBSE), PILANI, RAJASTHAN</t>
  </si>
  <si>
    <t>AutoCAD,MS Office,MS Project,CostX</t>
  </si>
  <si>
    <t>NATIONAL BUILDING CONSTRUCTION COPORATION LTD. | INTERN | PATNA | May 2023 | Jul 2023 | 8.7142857142857 Weeks</t>
  </si>
  <si>
    <t>P25700425</t>
  </si>
  <si>
    <t>Vaibhav Sanjay Kadam</t>
  </si>
  <si>
    <t>vaibhavskadam25@gmail.com</t>
  </si>
  <si>
    <t>p25700425@student.nicmar.ac.in</t>
  </si>
  <si>
    <t>19-Nov-2001</t>
  </si>
  <si>
    <t>4883 4589 7440</t>
  </si>
  <si>
    <t>SANJAY KADAM</t>
  </si>
  <si>
    <t>SANGEETA KADAM</t>
  </si>
  <si>
    <t>HOSEWIFE</t>
  </si>
  <si>
    <t>B/S4 WAGHMODE COMPLEX NEAR VANTMURE CORNER, MIRAJ</t>
  </si>
  <si>
    <t>Above Patil Kidney Care, Near HDFC Bank, Osmanabad</t>
  </si>
  <si>
    <t>CAMBRIDGE SCHOOL, MIRAJ</t>
  </si>
  <si>
    <t>SHIKSHANMAHARSHI DR. BAPUJI SALUNKHE COLLEGE, MIRAJ</t>
  </si>
  <si>
    <t>DR. BABASAHEB AMBEDKAR TECHNOLOGICAL UNIVERSITY, LONERE</t>
  </si>
  <si>
    <t>PADMABHOOSHAN VASANTRAODADA PATIL INSTITUTE OF TECHNOLOGY, BUDHGAON</t>
  </si>
  <si>
    <t>AutoCAD,MS Office,MS Project,STAADPRO,EXCEL</t>
  </si>
  <si>
    <t>P25700426</t>
  </si>
  <si>
    <t>JUILEE</t>
  </si>
  <si>
    <t>DESHPANDE</t>
  </si>
  <si>
    <t>Juilee Kiran Deshpande</t>
  </si>
  <si>
    <t>juileedeshpande427@gmail.com</t>
  </si>
  <si>
    <t>p25700426@student.nicmar.ac.in</t>
  </si>
  <si>
    <t>16-Jul-2003</t>
  </si>
  <si>
    <t>8847 9843 9432</t>
  </si>
  <si>
    <t>BANK MANAGER</t>
  </si>
  <si>
    <t>Vijayshree Nivas, Keshvshrusti, Devrukh, Sangmeshwar</t>
  </si>
  <si>
    <t>R B SHIRKE HIGHSCHOOL, RATNAGIRI</t>
  </si>
  <si>
    <t>TATYASAHEB MUSALE VIDYALAYA AND JUNIOR COLLEGE ICHALKARANJI, MAHARASHTRA</t>
  </si>
  <si>
    <t>PUNE IT CITY METRO RAIL LIMITED | INTERN | SHIVAJI NAGAR, PUNE | May 2025 | Jun 2025 | 4.4285714285714 Weeks
DRDO High Energy Materials Research Laboratory (HEMRL) | intern | Sutarwadi, Pune | Sep 2023 | Oct 2023 | 4.2857142857143 Weeks</t>
  </si>
  <si>
    <t>P25700427</t>
  </si>
  <si>
    <t>SRIPATHI</t>
  </si>
  <si>
    <t>MANI</t>
  </si>
  <si>
    <t>TEJA</t>
  </si>
  <si>
    <t>Sripathi Mani Teja</t>
  </si>
  <si>
    <t>nanimt8999@gmail.com</t>
  </si>
  <si>
    <t>p25700427@student.nicmar.ac.in</t>
  </si>
  <si>
    <t>16-Apr-2002</t>
  </si>
  <si>
    <t>ENGLISH,TELUGU,HINDI</t>
  </si>
  <si>
    <t>9912 4401 7140</t>
  </si>
  <si>
    <t>SRIPATHI SADAIAH</t>
  </si>
  <si>
    <t>SRIPATHI SANGEETHA</t>
  </si>
  <si>
    <t>1-1-92/5/F/1,ITI COLONY,SHANTHI NAGAR,PEDDAPALLI</t>
  </si>
  <si>
    <t>Peddapalli</t>
  </si>
  <si>
    <t>SRI CHAITANYA HIGH SCHOOL</t>
  </si>
  <si>
    <t>TELANGANA STATE SECONDARY SCHOOL CERTIFICATE (SSC) EXAMINATION,HYDERABAD,TELANGANA</t>
  </si>
  <si>
    <t>TELANGANA STATE BOARD OF INTERMEDIATE EDUCATION,HYDERABAD,TELANGANA</t>
  </si>
  <si>
    <t>GURU NANAK INSTITUTIONS TECHNICAL CAMPUS,IBRAHIMPATNAM,TELANGANA</t>
  </si>
  <si>
    <t>AutoCAD,MS Project, Primavera P6, Revit, Cost X</t>
  </si>
  <si>
    <t>SINGHANIA BUILDCON GROUP | Site Execution &amp; Control Intern | Raipur | May 2026 | Jul 2026 | 8.7142857142857 Weeks | Campus Internship</t>
  </si>
  <si>
    <t>P25700428</t>
  </si>
  <si>
    <t>AMEY</t>
  </si>
  <si>
    <t>CHOUDHARI</t>
  </si>
  <si>
    <t>Amey Diliprao Choudhari</t>
  </si>
  <si>
    <t>ameychoudhari311@gmail.com</t>
  </si>
  <si>
    <t>p25700428@student.nicmar.ac.in</t>
  </si>
  <si>
    <t>09-Oct-2002</t>
  </si>
  <si>
    <t>4172 3236 3989</t>
  </si>
  <si>
    <t>DILIP CHOUDHARI</t>
  </si>
  <si>
    <t>VAISHALI CHOUDHARI</t>
  </si>
  <si>
    <t>Ward No. 2, Main Road, Juni Gujri Chowk, Mandhal</t>
  </si>
  <si>
    <t>MISSION INDIA VIDYA NIKETAN ENGLISH MEDIUM SCHOOL, KUHI</t>
  </si>
  <si>
    <t>MAHARASHTRA STATE BOARD OF SECONDARY AND HIGHER SECONDARY EDUCATION, NAGPUR</t>
  </si>
  <si>
    <t>UJJWAL JUNIOR COLLEGE, NAGPUR</t>
  </si>
  <si>
    <t>YESHWANTRAO CHAVAN COLLEGE OF ENGINEERING , NAGPUR</t>
  </si>
  <si>
    <t>AutoCAD,MS Office,MS Project,Primavera,Advance Excel</t>
  </si>
  <si>
    <t>RAK Projects (P) Ltd | Graduate Trainee Engineer | Nagpur | Jun 2024 | Jun 2025 | 1Y 0M | 1.5</t>
  </si>
  <si>
    <t>Shree Sai Developers and Construction Co. | Site Engineer | katol | Jan 2024 | Apr 2024 | 13 Weeks
DP Jain &amp; Co. Infrastructure Pvt. Ltd. | Contracts and Claims Intern | Nagpur | May 2026 | Jul 2026 | 7.7142857142857 Weeks</t>
  </si>
  <si>
    <t>Procurement, Negotiation, and Contract Execution
Introduction to Lean Construction (NPTEL)
Building Your First AI Agent with OpenAI
Data Analysis
Budgeting and Scheduling Projects
Corporate Training Course, Civil Guruji</t>
  </si>
  <si>
    <t>P25700429</t>
  </si>
  <si>
    <t>TANMAY</t>
  </si>
  <si>
    <t>MANISHRAO</t>
  </si>
  <si>
    <t>GIRHE</t>
  </si>
  <si>
    <t>Tanmay Manishrao Girhe</t>
  </si>
  <si>
    <t>tanmaygirhe1@gmail.com</t>
  </si>
  <si>
    <t>p25700429@student.nicmar.ac.in</t>
  </si>
  <si>
    <t>08-Dec-2001</t>
  </si>
  <si>
    <t>4741 6506 3154</t>
  </si>
  <si>
    <t>MANISHRAO GIRHE</t>
  </si>
  <si>
    <t>SUSHMADEVI GIRHE</t>
  </si>
  <si>
    <t>AT POST. RAJDHANI SQUARE, HIWARKHED TQ. TELHARA DIST. AKOLA 444103</t>
  </si>
  <si>
    <t>SAHAKAR VIDYA MANDIR YELGAON BULDANA MAHARASHTRA</t>
  </si>
  <si>
    <t>GOVERNMENT POLYTECHNIC, NAGPUR, MAHARASHTRA</t>
  </si>
  <si>
    <t>SHIVAJI UNIVERSITY, KOLHAPUR, MAHARASHTRA</t>
  </si>
  <si>
    <t>DEPARTMENT OF TECHNOLOGY, SHIVAJI UNIVERSITY, KOLHAPUR, MAHARASHTRA</t>
  </si>
  <si>
    <t>AutoCAD,MS Office,MS Project, Primavera.</t>
  </si>
  <si>
    <t>Pidilite Industries | Market Research Analyst | Kolkata, West Bengal. | May 2026 | Jun 2026 | 7.5714285714286 Weeks | Campus Internship
NAVALE BUILDERS, NARHE, PUNE | INTERN | NARHE, PUNE | Nov 2020 | Nov 2020 | 2.2857142857143 Weeks</t>
  </si>
  <si>
    <t>ADVANCE DIPLOMA IN STRUCTURAL DESIGN AND ANALYSIS
MS CIT
Sustainable Construction Management Certificate
Foundations of Project Management
Lean Management Fundamentals
Data Analysis
Construction Equipment And Safety
Organisational Design
Green Building Assessment and Certifications
Comfort in Building</t>
  </si>
  <si>
    <t>P25700430</t>
  </si>
  <si>
    <t>SHREYAS</t>
  </si>
  <si>
    <t>Shreyas Pravin Sutar</t>
  </si>
  <si>
    <t>yashsutar200001@gmail.com</t>
  </si>
  <si>
    <t>p25700430@student.nicmar.ac.in</t>
  </si>
  <si>
    <t>01-Dec-2000</t>
  </si>
  <si>
    <t>7008 4518 0465</t>
  </si>
  <si>
    <t>PRAVIN SHAMRAO SUTAR</t>
  </si>
  <si>
    <t>CARPENTER</t>
  </si>
  <si>
    <t>DEEPALI PRAVIN SUTAR</t>
  </si>
  <si>
    <t>A2 103 Anand Savali Residency, Near Sant Nirankari Chowk, Eastern Express Highway, Thane West.</t>
  </si>
  <si>
    <t>DR. BEDEKAR VIDYA MANDIR, THANE</t>
  </si>
  <si>
    <t>NANASAHEB MAHADIK POLYTECHNIC INSTITUTE, PETH, MAHARASHTRA</t>
  </si>
  <si>
    <t>MGM COLLEGE OF ENGINEERING AND TECHNOLOGY, KAMOTHE, MAHARASHTRA</t>
  </si>
  <si>
    <t>Akash Impex Inc | Project Supervisor  | Powai, Mumbai | Nov 2022 | May 2024 | 1Y 5M | 2.3
Nina Percept Pvt. Ltd. | Project Engineer. | Mahalaxmi, Mumbai | May 2024 | Apr 2025 | 0Y 11M | 3.8</t>
  </si>
  <si>
    <t>P25700431</t>
  </si>
  <si>
    <t>BISWAPREM</t>
  </si>
  <si>
    <t>Biswaprem Das</t>
  </si>
  <si>
    <t>biswapremdas.06@gmail.com</t>
  </si>
  <si>
    <t>p25700431@student.nicmar.ac.in</t>
  </si>
  <si>
    <t>06-Nov-2000</t>
  </si>
  <si>
    <t>English,Hindi,Odia,Bengali</t>
  </si>
  <si>
    <t>2527 3848 0663</t>
  </si>
  <si>
    <t>PREMJIT DAS</t>
  </si>
  <si>
    <t>BUSINESS OWNER</t>
  </si>
  <si>
    <t>DHARITRI DAS</t>
  </si>
  <si>
    <t>Near Ambika Temple, Ward No. 1 , Baripada , Pin: 757001, Mayurbhanj, Odisha</t>
  </si>
  <si>
    <t>Mayurbhanj</t>
  </si>
  <si>
    <t>CENTRAL BOARD OF SECONDARY EDUCATION, BARIPADA, ODISHA</t>
  </si>
  <si>
    <t>KALINGA INSTITUTE OF INDUSTRIAL TECHNOLOGY , BHUBANESWAR, ODISHA</t>
  </si>
  <si>
    <t>AutoCAD,MS Office,MS Project,Primavera,Twinmotion,Sketchup,Enscape,Adobe Lightroom,Revit,Adobe Photoshop,Lumion</t>
  </si>
  <si>
    <t>SWASTIK ASSOCIATES | Junior Architect | Baripada | Jul 2024 | Jul 2025 | 0Y 11M | 3.25</t>
  </si>
  <si>
    <t>Rodic Consultants Private Limited | Business Development Intern | Aga Khan Hall, 1st Floor, 6 Sarojini House, Bhagwan Das Rd, New Delhi, Delhi 110001 | May 2026 | Jul 2026 | 8.7142857142857 Weeks | Campus Internship
Gayathri and Namith Architects | Intern Trainee | 14, Temple Trees Row, S.T. Bed, 1st Block Koramangala, Koramangala, Bengaluru, Karnataka 560047 | Jun 2023 | Dec 2023 | 26.285714285714 Weeks</t>
  </si>
  <si>
    <t>P25700432</t>
  </si>
  <si>
    <t>BARADIA</t>
  </si>
  <si>
    <t>Shubham Baradia</t>
  </si>
  <si>
    <t>shubbaradia@gmail.com</t>
  </si>
  <si>
    <t>p25700432@student.nicmar.ac.in</t>
  </si>
  <si>
    <t>23-Sep-1996</t>
  </si>
  <si>
    <t>english,hindi</t>
  </si>
  <si>
    <t>8786 9063 5036</t>
  </si>
  <si>
    <t>SANJAY BARADIA</t>
  </si>
  <si>
    <t>GOVERMENT JOB</t>
  </si>
  <si>
    <t>ASHA BARADIA</t>
  </si>
  <si>
    <t>Hig-105 Shankara Charya Nagar,bagsevania</t>
  </si>
  <si>
    <t>CARMEL CONVENT SENIOR SECONDARY SCHOOL RATANPUR</t>
  </si>
  <si>
    <t>CENTRAL BOARD OF SECONDARY EDUCATION, BHOPAL</t>
  </si>
  <si>
    <t>LAKSHMI NARAIN COLLEGE OF TECHNOLOGY &amp; SCIENCE ,BHOPAL</t>
  </si>
  <si>
    <t>MS Office,MS Project,Primavera,REVIT,Navisworks</t>
  </si>
  <si>
    <t>infosys | Systems Engineer | indore and hybird | Jan 2022 | Jun 2023 | 1Y 4M | 3</t>
  </si>
  <si>
    <t>Madhya Pradesh Housing And Infrastructure Development Board | Intern | Bhopal, M.P | May 2026 | Jul 2026 | 8.7142857142857 Weeks | Campus Internship
OFFICE OF DIVISIONAL PROJECT ENGINEER P.W.D. PIU-2 BHOPAL, | trainee | bhopal | Jun 2018 | Jun 2018 | 2.1428571428571 Weeks</t>
  </si>
  <si>
    <t>P25700433</t>
  </si>
  <si>
    <t>KHANDARE</t>
  </si>
  <si>
    <t>Shubham Gulabrao Khandare</t>
  </si>
  <si>
    <t>shubhamkhandare1717@gmail.com</t>
  </si>
  <si>
    <t>p25700433@student.nicmar.ac.in</t>
  </si>
  <si>
    <t>01-Jun-1997</t>
  </si>
  <si>
    <t>English,marathi,Hindi</t>
  </si>
  <si>
    <t>7351 2100 7914</t>
  </si>
  <si>
    <t>GULABARAO</t>
  </si>
  <si>
    <t>RETIRED GOVERMENT OFFICER</t>
  </si>
  <si>
    <t>At Bhadgaon Usarewadi Oppositeto Grampanchayat Office Bhadgaon Khonde Tal Khed Dist Ratnagiri</t>
  </si>
  <si>
    <t>SCS HIGHSCHOOL KHED RATNAGIRI</t>
  </si>
  <si>
    <t>SVCP,SINHGAD PUNE</t>
  </si>
  <si>
    <t>SITS SINHGAD NARHE PUNE</t>
  </si>
  <si>
    <t>Matoshree metal works and construction | Senior civil engineer  | Khed ratnagiri  | Jul 2022 | Jun 2025 | 2Y 11M | 2.96</t>
  </si>
  <si>
    <t>P25700434</t>
  </si>
  <si>
    <t>Devansh Manoj Gupta</t>
  </si>
  <si>
    <t>devanshgupta060303@gmail.com</t>
  </si>
  <si>
    <t>p25700434@student.nicmar.ac.in</t>
  </si>
  <si>
    <t>06-Mar-2003</t>
  </si>
  <si>
    <t>Hindi , English , Marathi</t>
  </si>
  <si>
    <t>9406 2920 5108</t>
  </si>
  <si>
    <t>Sneh Bunglow,plot 530 Sector 28, Pradhikaran, Nigdi</t>
  </si>
  <si>
    <t>CITY PRIDE SCHOOL</t>
  </si>
  <si>
    <t>CENTRAL BOARD OF SECONDARY EDUCATION - PUNE</t>
  </si>
  <si>
    <t>MAHARASHTRA STATE BOARD OF SECONDARY AND HIGHER SECONDARY EDUCATION - PUNE</t>
  </si>
  <si>
    <t>AutoCAD,MS Office,MS Project,Primavera,Staad Pro,Revit</t>
  </si>
  <si>
    <t>Kritija Enterprises | Execution Intern | Pune | May 2026 | Jun 2026 | 8.1428571428571 Weeks | Campus Internship
BG shirke | Intern | Pune | May 2024 | Jul 2024 | 8.7142857142857 Weeks</t>
  </si>
  <si>
    <t>P25700435</t>
  </si>
  <si>
    <t>SRI</t>
  </si>
  <si>
    <t>VETAGIRI</t>
  </si>
  <si>
    <t>Teja Sri Vetagiri</t>
  </si>
  <si>
    <t>tejasrivetagiri27@gmail.com</t>
  </si>
  <si>
    <t>p25700435@student.nicmar.ac.in</t>
  </si>
  <si>
    <t>27-Apr-2002</t>
  </si>
  <si>
    <t>Telugu,English,Hindi</t>
  </si>
  <si>
    <t>2623 8465 6889</t>
  </si>
  <si>
    <t>SRINIVASA RAO VETAGIRI</t>
  </si>
  <si>
    <t>MECHANIC</t>
  </si>
  <si>
    <t>RAMA DEVI VETAGIRI</t>
  </si>
  <si>
    <t>5-49, Ramalayam Street, Peda Kancherla, Vinukonda, Guntur, 522649</t>
  </si>
  <si>
    <t>AP MODEL SCHOOL</t>
  </si>
  <si>
    <t>RAJIV GANDHI UNIVERSITY OF KNOWLEDGE TECHNOLOGIES, NUZVID</t>
  </si>
  <si>
    <t>AutoCAD,MS Office,MS Project,Sketchup</t>
  </si>
  <si>
    <t>Shreeji Infrastructure India Pvt. Ltd. | Management Trainee Engineer - Billing &amp; Planning  | Head Office Bhopal | May 2026 | Jun 2026 | 8 Weeks | Campus Internship</t>
  </si>
  <si>
    <t>Short term course on SketchUp and V-Ray
Short term course on AutoCAD Architectural</t>
  </si>
  <si>
    <t>P25700436</t>
  </si>
  <si>
    <t>ADNAN</t>
  </si>
  <si>
    <t>AHMAD</t>
  </si>
  <si>
    <t>Adnan Ahmad Khan</t>
  </si>
  <si>
    <t>adnanah139@gmail.com</t>
  </si>
  <si>
    <t>p25700436@student.nicmar.ac.in</t>
  </si>
  <si>
    <t>28-May-2001</t>
  </si>
  <si>
    <t>4422 5966 0491</t>
  </si>
  <si>
    <t>ILYAS KHAN</t>
  </si>
  <si>
    <t>ZAMZAM ILYAS KHAN</t>
  </si>
  <si>
    <t>Near Kali Masjid, Humayun Road Baidpura, Akola</t>
  </si>
  <si>
    <t>QUBA URDU HIGH SCHOOL AKOLA</t>
  </si>
  <si>
    <t>MANAV SCHOOL OF POLYTECHNIC</t>
  </si>
  <si>
    <t>Ethics in Engineering Practice
Finance for Non-Financial Managers
Planning of Metro Rail Systems</t>
  </si>
  <si>
    <t>P25700437</t>
  </si>
  <si>
    <t>BHAVIT</t>
  </si>
  <si>
    <t>RAMCHANDRA</t>
  </si>
  <si>
    <t>SASE</t>
  </si>
  <si>
    <t>Bhavit Ramchandra Sase</t>
  </si>
  <si>
    <t>bhavitsase12@gmail.com</t>
  </si>
  <si>
    <t>p25700437@student.nicmar.ac.in</t>
  </si>
  <si>
    <t>12-Mar-1999</t>
  </si>
  <si>
    <t>English,Marathi,Hindi</t>
  </si>
  <si>
    <t>2073 4023 1874</t>
  </si>
  <si>
    <t>MANGAL</t>
  </si>
  <si>
    <t>Sai Shraddha Niwas, Near ZP School, At Kudavali, Post Tal Murbad, Dist Thane</t>
  </si>
  <si>
    <t>WISDOM ENGLISH HIGH SCHOOL</t>
  </si>
  <si>
    <t>S.H JONDHALE POLYTECHNIC DOMBIVLI</t>
  </si>
  <si>
    <t>B.R HARNE COLLEGE OF ENGINEERING AND TECHNOLOGY</t>
  </si>
  <si>
    <t>RUNWAL RESIDENCY PRIVATE LTD | JUNIOR ENGINEER | DOMBIVLI | Jun 2023 | Jun 2025 | 1Y 11M | 3.5</t>
  </si>
  <si>
    <t>Suryapriya Constructions Pvt. Ltd. | Intern-Planning Department | Bangalore | May 2026 | Jul 2026 | 8.7142857142857 Weeks | Campus Internship
R.A. GHULE | Site Engineer | Saphale (Palghar) | Feb 2023 | May 2023 | 14.714285714286 Weeks
Sumitra Buildcons Pvt Ltd | Site Civil Engineer | Murbad | Dec 2019 | Jan 2020 | 4.4285714285714 Weeks</t>
  </si>
  <si>
    <t>Runwal Gardens - Certificate of achievement as Quality Conscious GET
Runwal Group -Efficient Project Engineer of the Year (2024-2025)</t>
  </si>
  <si>
    <t>P25700438</t>
  </si>
  <si>
    <t>Disha Sonawane</t>
  </si>
  <si>
    <t>dishasonawane953@gmail.com</t>
  </si>
  <si>
    <t>p25700438@student.nicmar.ac.in</t>
  </si>
  <si>
    <t>09-May-2003</t>
  </si>
  <si>
    <t>3563 1031 4035</t>
  </si>
  <si>
    <t>RAMRAO</t>
  </si>
  <si>
    <t>CHHAYA</t>
  </si>
  <si>
    <t>FLAT NO 1002, A3, AVON VISTA, PATIL NAGAR, BALEWADI.</t>
  </si>
  <si>
    <t>Flat No 03, Tirupati Residency_x000D_
Ramchandra Nagar, Dargah Road, Chhatrapati Sambhajinagar.</t>
  </si>
  <si>
    <t>COUNCIL FOR THE INDIAN SCHOOL CERTIFICATE EXAMINATIONS (CISCE), NEW DELHI</t>
  </si>
  <si>
    <t>SAINT LAWRENCE SUPER THIRTY JUNIOR COLLEGE, AURANGABAD</t>
  </si>
  <si>
    <t>Gunjal &amp; Associates | Intern | Chhatrapati Sambhajinagar | Jul 2024 | Jul 2024 | 4.2857142857143 Weeks
PRECAST INDIA INFRASTRUCTURES PRIVATE LIMITED | INTERN | PUNE | Mar 2025 | Mar 2025 | 1.2857142857143 Weeks</t>
  </si>
  <si>
    <t>P25700439</t>
  </si>
  <si>
    <t>SAYEE</t>
  </si>
  <si>
    <t>Sayee Sanjay Mane</t>
  </si>
  <si>
    <t>manesayee28@gmail.com</t>
  </si>
  <si>
    <t>p25700439@student.nicmar.ac.in</t>
  </si>
  <si>
    <t>28-Jun-2003</t>
  </si>
  <si>
    <t>8891 4912 4187</t>
  </si>
  <si>
    <t>Plot No.22 , "Manomay" Bunglow, K.K.Nagar , Chinchani Road, Tasgaon, Dist. - Sangli. Pincode - 416312</t>
  </si>
  <si>
    <t>CHAMPABEN WADILAL DYANMANDIR , TASGAON.</t>
  </si>
  <si>
    <t>MAHARASHTRA STATE BOARD OF SECONDARY &amp; HIGHER SECONDARY EDUCATION , PUNE ( KOLHAPUR DIVISIONAL BOARD)</t>
  </si>
  <si>
    <t>VYANKATRAO HIGHSCHOOL &amp; JUNIOR COLLEGE, ICHALKARANJI.</t>
  </si>
  <si>
    <t>WALCHAND COLLEGE OF ENGINEERING , SANGLI.</t>
  </si>
  <si>
    <t>AutoCAD,MS Office,MS Project,Primavera,Revit,Cost X</t>
  </si>
  <si>
    <t>New Consolidated Construction Limited (NCCCL), Mumbai | Quality Assurance &amp; Control | Seawoods Darave , Navi Mumbai  | May 2026 | Jul 2026 | 8.7142857142857 Weeks | Campus Internship
AGRAWAL DEVELOPERS | QUANTITY SURVEYOR &amp; SITE EXECUTION | MIRAJ | Jun 2024 | Jun 2024 | 4.1428571428571 Weeks
PRIVATE FIRM OF ER. VIVEK R. PATIL | AUTOCAD DESIGNER | MIRAJ | Jun 2023 | Jul 2023 | 2.8571428571429 Weeks</t>
  </si>
  <si>
    <t>P25700440</t>
  </si>
  <si>
    <t>URVI</t>
  </si>
  <si>
    <t>TAMORE</t>
  </si>
  <si>
    <t>Urvi Dipak Tamore</t>
  </si>
  <si>
    <t>tamoreurvi@gmail.com</t>
  </si>
  <si>
    <t>p25700440@student.nicmar.ac.in</t>
  </si>
  <si>
    <t>29-Mar-2001</t>
  </si>
  <si>
    <t>7797 7717 3582</t>
  </si>
  <si>
    <t>DIPAK JANARDAN TAMORE</t>
  </si>
  <si>
    <t>SWATI DIPAK TAMORE</t>
  </si>
  <si>
    <t>TYPE -C,59/8 BARC COLONY, BOISAR</t>
  </si>
  <si>
    <t>Pacchim Mangel Aali, At &amp; Post - Ghivali,Tal &amp; Dist _x000D_
Palghar</t>
  </si>
  <si>
    <t>ATOMIC ENERGY CENTRAL SCHOOL -2, TARAPUR</t>
  </si>
  <si>
    <t>CBSE / BOISAR / MAHARASTRA</t>
  </si>
  <si>
    <t>ST JOHN COLLEGE OF ENGINEERING AND MANAGEMENT, PALGHAR, MAHARASHTRA</t>
  </si>
  <si>
    <t>AutoCAD,MS Office,MS Project,Primavera,1. QGIS SOFTWARE (BASIC),2. MS EXCEL,Revit,Costx</t>
  </si>
  <si>
    <t>Asian Paints Limited | Sales Engineer Intern | Mumbai  | May 2026 | Jul 2026 | 8.7142857142857 Weeks | Campus Internship</t>
  </si>
  <si>
    <t>Data Science &amp; Machine Learning â€“ Industry Certification (TesTriq)</t>
  </si>
  <si>
    <t>P25700441</t>
  </si>
  <si>
    <t>GNANESHWAR</t>
  </si>
  <si>
    <t>K Gnaneshwar</t>
  </si>
  <si>
    <t>gnaneshwar9123@gmail.com</t>
  </si>
  <si>
    <t>p25700441@student.nicmar.ac.in</t>
  </si>
  <si>
    <t>14-Aug-2002</t>
  </si>
  <si>
    <t>English,Hindi,telugu,kannada</t>
  </si>
  <si>
    <t>5154 4128 0209</t>
  </si>
  <si>
    <t>K NARAIAH</t>
  </si>
  <si>
    <t>K NEERAJA</t>
  </si>
  <si>
    <t>39/480-16, OM SHANTI NAGAR, ROAD NO 17, VIVEKANANDA STRRET</t>
  </si>
  <si>
    <t>NO 6/177-1, B C HOSTEL VIDI, KOTHA MADHAVARAM, VONTIMITTA</t>
  </si>
  <si>
    <t>CBSE,KADAPA,ANDHRAPRADESH</t>
  </si>
  <si>
    <t>PU,BANGALORE,KARNATAKA</t>
  </si>
  <si>
    <t>RV COLLEGE OF ENGINEERING, BANGALORE,KARNATAKA</t>
  </si>
  <si>
    <t>AutoCAD,MS Office,MS Project,EXCEL,PYTHON</t>
  </si>
  <si>
    <t>BEML LIMITED | JUNIOR EXECUTIVE  | KARNATAKA  | Aug 2024 | Feb 2025 | 0Y 5M | 3.36</t>
  </si>
  <si>
    <t>SOBHA LIMITED | Site Execution  | Hyderabad  | May 2026 | Jul 2026 | 9 Weeks | Campus Internship</t>
  </si>
  <si>
    <t>P25700442</t>
  </si>
  <si>
    <t>HARUGADE</t>
  </si>
  <si>
    <t>Dhanashri Jitendra Harugade</t>
  </si>
  <si>
    <t>dhanashriharugade@gmail.com</t>
  </si>
  <si>
    <t>p25700442@student.nicmar.ac.in</t>
  </si>
  <si>
    <t>7838 7372 2025</t>
  </si>
  <si>
    <t>JITENDRA BALKRISHNA HARUGADE</t>
  </si>
  <si>
    <t>MINAKSHI JITENDRA HARUGADE</t>
  </si>
  <si>
    <t>36 Vaibhav, Appasaheb Patil Nagar, Near Sona Clinic Hospital, Near New Pride Hotel, Sangli, Maharashtra</t>
  </si>
  <si>
    <t>CENTRAL BOARD OF SECONDARY EDUCATION, SANGLI, MAHARASHTRA</t>
  </si>
  <si>
    <t>MAEER'S MIT VISHWASHANTI GURKUL SCHOOL</t>
  </si>
  <si>
    <t>SIKKIM MANIPAL UNIVERSITY</t>
  </si>
  <si>
    <t>SIKKIM MANIPAL INSTITUTE OF TECHNOLOGY, SIKKIM</t>
  </si>
  <si>
    <t>AutoCAD,MS Office,MS Project,Revit,Canva</t>
  </si>
  <si>
    <t>Pidilite Industries Ltd. | Summer Intern  | Kolkata | May 2026 | Jun 2026 | 7.5714285714286 Weeks | Campus Internship
Prime Constructions | Site Engineer | Sangli | Mar 2025 | May 2025 | 8.7142857142857 Weeks
G. B. Bagade, Pune Municipal Corporation | Site Engineer | Pune | Jan 2025 | Mar 2025 | 10.857142857143 Weeks</t>
  </si>
  <si>
    <t>Autodesk Revit - Beginner to Advanced level</t>
  </si>
  <si>
    <t>P25700443</t>
  </si>
  <si>
    <t>SOPAN</t>
  </si>
  <si>
    <t>Rushikesh Sopan Patil</t>
  </si>
  <si>
    <t>rushipatil0137@gmail.com</t>
  </si>
  <si>
    <t>p25700443@student.nicmar.ac.in</t>
  </si>
  <si>
    <t>13-Feb-2001</t>
  </si>
  <si>
    <t>3817 8625 3144</t>
  </si>
  <si>
    <t>SOPAN PATIL</t>
  </si>
  <si>
    <t>705 Dhake Wada Nimbhora Bk Tal Raver</t>
  </si>
  <si>
    <t>MACRO VISION ACADEMY SCHOOL RAVER</t>
  </si>
  <si>
    <t>SANDIP POLYTECHNIC NASHIK</t>
  </si>
  <si>
    <t>G.E.SOC'S COLLEGE OF ENGINEERING, NASHIK</t>
  </si>
  <si>
    <t>AutoCAD,MS Office,MS Project,Primavera,REVIT,RIB costX</t>
  </si>
  <si>
    <t>Vijay Buildcon | Site Engineer | Savda | Jun 2024 | Jun 2025 | 51.571428571429 Weeks</t>
  </si>
  <si>
    <t>P25700444</t>
  </si>
  <si>
    <t>NANDHAGOPAL</t>
  </si>
  <si>
    <t>Nandhagopal P</t>
  </si>
  <si>
    <t>pnandhagopal14@gmail.com</t>
  </si>
  <si>
    <t>p25700444@student.nicmar.ac.in</t>
  </si>
  <si>
    <t>14-Jun-2004</t>
  </si>
  <si>
    <t>9882 4973 0667</t>
  </si>
  <si>
    <t>PRSBAKARAN P</t>
  </si>
  <si>
    <t>LAKSHMI P</t>
  </si>
  <si>
    <t>STAFF NURSE</t>
  </si>
  <si>
    <t>No.18, Park Street, Naveen Satish Nagar, Guduvancheri, Chengalpattu</t>
  </si>
  <si>
    <t>ST.JHONS MATRIC HIGHER SECONDRY SCHOOL</t>
  </si>
  <si>
    <t>STATE BOARD OF SCHOOL EXAMINATIONS, TAMILNADU</t>
  </si>
  <si>
    <t>SRI SAIRAM POLYTECHNIC COLLEGE/ CHENNAI</t>
  </si>
  <si>
    <t>SRI SAIRAM ENGINEERING COLLEGE/ CHENNAI</t>
  </si>
  <si>
    <t>HR LEVELS INFRASTRUCTURE Pvt .Ltd | Site Engineer | Pallavaram, chennai | Jun 2024 | Jul 2024 | 7.2857142857143 Weeks</t>
  </si>
  <si>
    <t>P25700445</t>
  </si>
  <si>
    <t>SHIVRAJ</t>
  </si>
  <si>
    <t>Shivraj Tanaji Pawar</t>
  </si>
  <si>
    <t>shivrajpawar52@gmail.com</t>
  </si>
  <si>
    <t>p25700445@student.nicmar.ac.in</t>
  </si>
  <si>
    <t>06-Sep-1998</t>
  </si>
  <si>
    <t>English,Hindi and Marathi</t>
  </si>
  <si>
    <t>6129 5921 5308</t>
  </si>
  <si>
    <t>Gandharv Park Hsg Soc RH-93 Flat No B2/7 Shahunagar Chinchwad Pune</t>
  </si>
  <si>
    <t>SHRI SHIVCHATRAPATI SHIVAJI RAJE MADHYAMIK VIDYALAYA</t>
  </si>
  <si>
    <t>DR. D.Y. PATIL JR COLLEGE</t>
  </si>
  <si>
    <t>MAHARASHTRA STATE BOARD PUNE</t>
  </si>
  <si>
    <t>JSPM RAJARSHI SHAHU COLLEGE OF ENGINEERING TATHAWADE PUNE</t>
  </si>
  <si>
    <t>AutoCAD,MS Office,MS Project,QS billing</t>
  </si>
  <si>
    <t>Millenium Engineers &amp; Contractors PVT LTD | Jr. Engineer - Execution | Koregaon Park, Pune | May 2022 | Nov 2023 | 1Y 6M | 3.03
NB Bhondve Builders | Site Engineer | Ravet, Pune | Jan 2024 | Dec 2024 | 0Y 11M | 2.4</t>
  </si>
  <si>
    <t>P25700446</t>
  </si>
  <si>
    <t>JUIKAR</t>
  </si>
  <si>
    <t>Urvi Rajesh Juikar</t>
  </si>
  <si>
    <t>urvi.juikar17@gmail.com</t>
  </si>
  <si>
    <t>p25700446@student.nicmar.ac.in</t>
  </si>
  <si>
    <t>17-Jan-2002</t>
  </si>
  <si>
    <t>8308 4756 2316</t>
  </si>
  <si>
    <t>RAJESH NARHARI JUIKAR</t>
  </si>
  <si>
    <t>VINAYA RAJESH JUIKAR</t>
  </si>
  <si>
    <t>At-Pandvadevi, Po-Poynad, Tal-Alibag, Dist-Raigad</t>
  </si>
  <si>
    <t>K.E.S ENGLISH MEDIUM SCHOOL, PEZARI</t>
  </si>
  <si>
    <t>K.E.S N.N. PATIL JUNIOR COLLEGE, POYNAD</t>
  </si>
  <si>
    <t>SARDAR PATEL COLLEGE OF ENGINEERING, ANDHERI</t>
  </si>
  <si>
    <t>2025-Mar</t>
  </si>
  <si>
    <t>MS Office,MS Project,Primavera,CostX</t>
  </si>
  <si>
    <t>P25700447</t>
  </si>
  <si>
    <t>KANISHKA</t>
  </si>
  <si>
    <t>Kanishka Pratap Singh</t>
  </si>
  <si>
    <t>kanishka.ps55@gmail.com</t>
  </si>
  <si>
    <t>p25700447@student.nicmar.ac.in</t>
  </si>
  <si>
    <t>12-Jan-2001</t>
  </si>
  <si>
    <t>ENGLISH HINDI</t>
  </si>
  <si>
    <t>6004 3906 6011</t>
  </si>
  <si>
    <t>NARENDRA KUMAR SINGH</t>
  </si>
  <si>
    <t>MADHU SINGH</t>
  </si>
  <si>
    <t>104 Mega Dream Homes Karamchari Nagar Mini Bypass Road Bareilly</t>
  </si>
  <si>
    <t>Bareilly</t>
  </si>
  <si>
    <t>DELHI PUBLIC SCHOOL BAREILLY</t>
  </si>
  <si>
    <t>DR. APJ ABDUL KALAM TECHNICAL UNIVERSITY, LUCKNOW, UTTAR PRADESH</t>
  </si>
  <si>
    <t>G.L. BAJAJ INSTITUTE OF TECHNOLOGY AND MANAGEMENT, GREATER NOIDA, UTTAR PRADESH</t>
  </si>
  <si>
    <t>Consultadd | Management Trainee Engineer | pune | Jul 2022 | Oct 2022 | 0Y 3M | 5</t>
  </si>
  <si>
    <t>HILTI India | Summer Intern | Jaipur, Rajasthan | May 2026 | Jul 2026 | 8.5714285714286 Weeks | Campus Internship</t>
  </si>
  <si>
    <t>Coursera Spreadsheet for beginners</t>
  </si>
  <si>
    <t>P25700448</t>
  </si>
  <si>
    <t>HEMACHANDRAN</t>
  </si>
  <si>
    <t>C R</t>
  </si>
  <si>
    <t>Hemachandran C R</t>
  </si>
  <si>
    <t>crhemachandran@gmail.com</t>
  </si>
  <si>
    <t>p25700448@student.nicmar.ac.in</t>
  </si>
  <si>
    <t>17-Nov-2000</t>
  </si>
  <si>
    <t>ENGLISH, TELUGU, HINDI, TAMIL</t>
  </si>
  <si>
    <t>5375 9164 5299</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</si>
  <si>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</si>
  <si>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</si>
  <si>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</si>
  <si>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</si>
  <si>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</si>
  <si>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</si>
  <si>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S B O A SCHOOL &amp; JR COLLEGE</t>
  </si>
  <si>
    <t>D A V MATRIC HR SEC SCHOOL</t>
  </si>
  <si>
    <t>COLLEGE OF ENGINEERING GUINDY, CHENNAI</t>
  </si>
  <si>
    <t>Total Environment Building System Private Limited | Senior Executive as a Project Operation Coordinator | Bangalore | Jun 2024 | Jun 2025 | 1Y 0M | 6.5</t>
  </si>
  <si>
    <t>DELOITTE TOUCHE TOHMATSU INDIA LLP | Intern - Project Monitoring | Chennai | May 2026 | Jul 2026 | 8.5714285714286 Weeks | Campus Internship
EVERSENDAI CONSTRUCTIONS PRIVATE LIMITED | Intern | Chennai | Jul 2023 | Jul 2023 | 4.2857142857143 Weeks</t>
  </si>
  <si>
    <t>AutoCAD, Revit
Project Management Training using MS Project</t>
  </si>
  <si>
    <t>P25700449</t>
  </si>
  <si>
    <t>SHANTANU</t>
  </si>
  <si>
    <t>SARULE</t>
  </si>
  <si>
    <t>Shantanu Shivaji Sarule</t>
  </si>
  <si>
    <t>shantanu1187@gmail.com</t>
  </si>
  <si>
    <t>p25700449@student.nicmar.ac.in</t>
  </si>
  <si>
    <t>20-Mar-2003</t>
  </si>
  <si>
    <t>ENGLISH MARATHI HINDI</t>
  </si>
  <si>
    <t>7062 2310 0943</t>
  </si>
  <si>
    <t>SHIVAJI SARULE</t>
  </si>
  <si>
    <t>JYOTI SARULE</t>
  </si>
  <si>
    <t>Vikram Nagar Latur Maharashtra</t>
  </si>
  <si>
    <t>KESHAVRAJ VIDHYALAY LATUE</t>
  </si>
  <si>
    <t>SSC BOARD MAHARASHTRA LATUR MAHARASHTRA</t>
  </si>
  <si>
    <t>RAJARSHI SHAHU MAHAVIDHYALAY</t>
  </si>
  <si>
    <t>HSC BOARD LATUR MAHARASHTRA</t>
  </si>
  <si>
    <t>MIT WPU</t>
  </si>
  <si>
    <t>MIT WPU PUNE</t>
  </si>
  <si>
    <t>SHRI SWAMI DEVELOPERS | Jr Engineer | Akola | Jan 2025 | May 2025 | 20.285714285714 Weeks</t>
  </si>
  <si>
    <t>P25700450</t>
  </si>
  <si>
    <t>VASAIKAR</t>
  </si>
  <si>
    <t>RAMESHBHAI</t>
  </si>
  <si>
    <t>Vasaikar Ritesh Rameshbhai</t>
  </si>
  <si>
    <t>riteshvasaikar64@gmail.com</t>
  </si>
  <si>
    <t>p25700450@student.nicmar.ac.in</t>
  </si>
  <si>
    <t>21-Feb-2000</t>
  </si>
  <si>
    <t>Marathi, Gujarati, Hindi, English</t>
  </si>
  <si>
    <t>8817 8900 0288</t>
  </si>
  <si>
    <t>RAMESHBHAI VASAIKAR</t>
  </si>
  <si>
    <t>RAHSHREEBEN VASAIKAR</t>
  </si>
  <si>
    <t>A-25, MANGALTIRTH SOCIETY,_x000D_
OPP. AMITY SCHOOL,_x000D_
DAHEJ BYPASS ROAD,_x000D_
BHARUCH.</t>
  </si>
  <si>
    <t>Bharuch</t>
  </si>
  <si>
    <t>AMITY SCHOOL</t>
  </si>
  <si>
    <t>GUJARAT SECONDARY AND HIGHER SECONDARY EDUCATION BOARD</t>
  </si>
  <si>
    <t>PRATHNA VIDHYALAY</t>
  </si>
  <si>
    <t>SHRI S'AD VIDYA MANDAL INSTITUTE OF TECHNOLOGY, BHARUCH</t>
  </si>
  <si>
    <t>AutoCAD,MS Office,MS Project,Primavera,QUANTITY ESTIMATION,BBS,MS EXCEL,MS WORD,MS POWERPOINT</t>
  </si>
  <si>
    <t>GROWSTONE VENTURES LLP. | JUNIOR ENGINEER | JM Road, Shivajinagar, Pune. | Jun 2024 | Jun 2025 | 1Y 0M | 1.8</t>
  </si>
  <si>
    <t>Sobha India Limited | Intern - Project Management  | GIFT City, Gandhinagar | May 2026 | Jul 2026 | 9 Weeks | Campus Internship</t>
  </si>
  <si>
    <t>PROJECT PLANNING USING MICROSOFT PROJECT
QUANTITY SURVEYING AND PROJECT BILLING USING MS-EXCEL
POST GRADUATE PROGRAM IN CONSTRUCTION PROJECT MANAGEMENT</t>
  </si>
  <si>
    <t>P25700451</t>
  </si>
  <si>
    <t>DANGE</t>
  </si>
  <si>
    <t>Mayank Kumar Dange</t>
  </si>
  <si>
    <t>dange.mayank03@gmail.com</t>
  </si>
  <si>
    <t>p25700451@student.nicmar.ac.in</t>
  </si>
  <si>
    <t>09-Jun-2000</t>
  </si>
  <si>
    <t>2976 3773 5618</t>
  </si>
  <si>
    <t>DINESH DANGE</t>
  </si>
  <si>
    <t>SHOBHA DANGE</t>
  </si>
  <si>
    <t>HN 40 Ojha Colony Street No. 4</t>
  </si>
  <si>
    <t>Nagda</t>
  </si>
  <si>
    <t>ADITYA BIRLA SENIOR SECONDARY SCHOOL</t>
  </si>
  <si>
    <t>CENTREL BOARD OF SECONDARY EDUCATION, MADHYA PRADESH</t>
  </si>
  <si>
    <t>SCHOOL OF ARCHITECTURE, IPS ACADEMY</t>
  </si>
  <si>
    <t>AutoCAD,MS Office,MS Project,LUMION,V-RAY,ENSCAPE,RHINO,GRASSHOPPER,PHOTOSHOP,3DS MAX,REVIT ARCHITECTURE,TWINMOTION,SKETCHUP</t>
  </si>
  <si>
    <t>JDA ARCHITECTS | Architectural Intern | NAGPUR | Feb 2024 | Jun 2024 | 21.428571428571 Weeks
THE DESIGN CHARRETTE | Architectural Intern | INDORE | Jul 2023 | Dec 2023 | 21.857142857143 Weeks</t>
  </si>
  <si>
    <t>INTERNATIONAL ARCHITECTURAL CONFERENCE
SKETCHUP AND VRAY
PHOTOSHOP
LUMION
AUTOCAD
3DS MAX
REVIT ARCHITECTURE</t>
  </si>
  <si>
    <t>P25700452</t>
  </si>
  <si>
    <t>REGIKUMAR</t>
  </si>
  <si>
    <t>Rohan Regikumar</t>
  </si>
  <si>
    <t>rohanregi99@gmail.com</t>
  </si>
  <si>
    <t>p25700452@student.nicmar.ac.in</t>
  </si>
  <si>
    <t>MALAYALAM, ENGLISH, HINDI, TAMIL</t>
  </si>
  <si>
    <t>2890 3514 8381</t>
  </si>
  <si>
    <t>REHIKUMAR K</t>
  </si>
  <si>
    <t>GENERAL MANAGER</t>
  </si>
  <si>
    <t>MANJULA PAVITHRAN</t>
  </si>
  <si>
    <t>CHIEF MANAGER</t>
  </si>
  <si>
    <t>ROOM 339, SILVER JUBILEE HOSTEL, NICMAR UNIVERSITY</t>
  </si>
  <si>
    <t>ARRA 53, INDRANEELAM, ROYAL GARDEN, ADHAPPILLY RD, VENNALA, KOCHI, ERNAKULAM, KERALA</t>
  </si>
  <si>
    <t>BHAVANS ADARSHA VIDHYALAYA</t>
  </si>
  <si>
    <t>KERALA</t>
  </si>
  <si>
    <t>AutoCAD,MS Office,MS Project,Primavera,Candy,Revit Arch,Revit Structure,Navisworks</t>
  </si>
  <si>
    <t>RELIANCE JIO INFOCOM LTD | SENIOR TOWER ENGINEER | KOCHI, KERALA | Sep 2023 | Jun 2025 | 1Y 9M | 3</t>
  </si>
  <si>
    <t>Embassy developments limited  | Summer intern-procurement and contracts  | Mumbai  | May 2026 | Jul 2026 | 8.2857142857143 Weeks | Campus Internship</t>
  </si>
  <si>
    <t>P25700453</t>
  </si>
  <si>
    <t>UDAY</t>
  </si>
  <si>
    <t>AINCHWAR</t>
  </si>
  <si>
    <t>Pranay Uday Ainchwar</t>
  </si>
  <si>
    <t>pranay591999@gmail.com</t>
  </si>
  <si>
    <t>p25700453@student.nicmar.ac.in</t>
  </si>
  <si>
    <t>05-Sep-1999</t>
  </si>
  <si>
    <t>9679 4909 2141</t>
  </si>
  <si>
    <t>UDAY AINCHWAR</t>
  </si>
  <si>
    <t>VANITA  AINCHWAR</t>
  </si>
  <si>
    <t>Ward No 3, Bhangaram Talodhi Ta. Gondpipari</t>
  </si>
  <si>
    <t>SHREE SWAMINARAYAN GURUKUL VIDYALAYA</t>
  </si>
  <si>
    <t>CENTRAL BOARD OF SECONDARY EDUCATION, HYDERABAD</t>
  </si>
  <si>
    <t>SHIKSHAN MAHARSHI LATE SHRIHARI JIWATODE JUNIOR COLLEGE</t>
  </si>
  <si>
    <t>MAHARASHTRA STATE BOARD OF SECONDARY AND HIGHER SECONDARY EDUCATION, CHANDRAPUR</t>
  </si>
  <si>
    <t>AutoCAD,MS Office,MS Project,Primavera,Cet Configura Software,Revit,CostX</t>
  </si>
  <si>
    <t>HNI India Pvt. Ltd. | GET, Design &amp; Proposal | Nagpur, Maharashtra | Feb 2024 | Jun 2025 | 1Y 4M | 2.5</t>
  </si>
  <si>
    <t>CONCRETE TECHNO | INTERN  | CHANDRAPUR, MAHARASHTRA  | Jul 2021 | Aug 2021 | 4.2857142857143 Weeks
SANGAM ENGINEERS | SITE EXECUTION &amp; MONITORING   | VAPI, GUJARAT | May 2026 | Jun 2026 | 7.8571428571429 Weeks</t>
  </si>
  <si>
    <t>Construction Equipment Maintenance &amp; Safety by L&amp;T
Foundations of Project Management
Data Analysis
Work Smarter with Microsoft Excel
Finance for Non-Financial Managers
Ethics in Engineering Practise</t>
  </si>
  <si>
    <t>P25700454</t>
  </si>
  <si>
    <t>KIRUTHIK</t>
  </si>
  <si>
    <t>P G</t>
  </si>
  <si>
    <t>Kiruthik P G</t>
  </si>
  <si>
    <t>kiruthikpg@gmail.com</t>
  </si>
  <si>
    <t>p25700454@student.nicmar.ac.in</t>
  </si>
  <si>
    <t>28-Jul-2003</t>
  </si>
  <si>
    <t>TAMIL,ENGLISH</t>
  </si>
  <si>
    <t>5488 4253 4199</t>
  </si>
  <si>
    <t>GUNASEKARAN R</t>
  </si>
  <si>
    <t>PROPRIETOR</t>
  </si>
  <si>
    <t>KAVITHA G</t>
  </si>
  <si>
    <t>NO-4/171-1,PON NAGAR_x000D_
ANDANKOVIL EAST_x000D_
Andankovil East</t>
  </si>
  <si>
    <t>Karur</t>
  </si>
  <si>
    <t>SHREE SARAS SWATHI VIDHYAAH MANDHEER SCHOOL</t>
  </si>
  <si>
    <t>CENTRAL BOARD OF SECONDARY EDUCATION COIMBATORE</t>
  </si>
  <si>
    <t>PSG COLLEGE OF TECHNOLOGY</t>
  </si>
  <si>
    <t>AutoCAD,MS Office,Python,C++</t>
  </si>
  <si>
    <t>ATM ASSOCIATES | Site Supervision | Karur | May 2024 | Jun 2024 | 4.4285714285714 Weeks</t>
  </si>
  <si>
    <t>P25700455</t>
  </si>
  <si>
    <t>Akshay Raghunath Nawale</t>
  </si>
  <si>
    <t>arnawale.social@gmail.com</t>
  </si>
  <si>
    <t>p25700455@student.nicmar.ac.in</t>
  </si>
  <si>
    <t>29-Jul-1996</t>
  </si>
  <si>
    <t>2884 3355 1773</t>
  </si>
  <si>
    <t>VITHALWADI, DEHUGAON, HAVELI</t>
  </si>
  <si>
    <t>Shivajinagar, Dhumalwadi</t>
  </si>
  <si>
    <t>MARUTIRAO KOTE ABHINAV PUBLIC SCHOOL, AKOLE</t>
  </si>
  <si>
    <t>DR. DEVENDRA AMRUTLAL OHARA JUNIOR COLLEGE, SANGAMNER</t>
  </si>
  <si>
    <t>IMPERIAL COLLEGE OF ENGINEERING AND RESEARCH, PUNE</t>
  </si>
  <si>
    <t>AutoCAD,MS Office,MS Project,Primavera,MS Excel,Revit Architecture</t>
  </si>
  <si>
    <t>Sunil Babanrao Datir Engineers &amp; Contractors | Civil Engineer | Akole | Jan 2021 | Sep 2023 | 2Y 8M | 3
Sudhir V. Katore Engineer &amp; Govt. Contractor | Civil Engineer (Project Engineering) | Pune | Nov 2023 | Dec 2024 | 1Y 1M | 2.1</t>
  </si>
  <si>
    <t>Construction Project Management
Generative AI for Project Managers (Specialization)
digiQC Project Admin (Scholar)
Construction Equipment Maintenance &amp; Safety
Successful Negotiation: Essential Strategies and Skills
Legal Contracts and Agreements for Entrepreneurs
Draft Commercial Contracts: Checklists
Climate Change, Sustainability, and Global Public Health
Data Analysis
Generative AI Mastermind
Finance For Non-Financial Manager (Coursera)
Real Estate Project Quantity Surveying
AutoCAD 2D Drafting
Revit Architecture
Basic Course of Disaster Management</t>
  </si>
  <si>
    <t>P25700456</t>
  </si>
  <si>
    <t>SUMEET</t>
  </si>
  <si>
    <t>RUNWAL</t>
  </si>
  <si>
    <t>Sumeet Sachin Runwal</t>
  </si>
  <si>
    <t>sumeetrunwal0269@gmail.com</t>
  </si>
  <si>
    <t>p25700456@student.nicmar.ac.in</t>
  </si>
  <si>
    <t>28-Nov-1997</t>
  </si>
  <si>
    <t>English, Hindi, Marathi.</t>
  </si>
  <si>
    <t>7295 8233 0903</t>
  </si>
  <si>
    <t>SACHIN  SHANTILAL RUNWAL</t>
  </si>
  <si>
    <t>RAKHEE SACHIN RUNWAL</t>
  </si>
  <si>
    <t>PLOT NO. 56, VIKAS COLONY, NEAR INCOME TAX OFFICE, SAKRI ROAD, DHULE</t>
  </si>
  <si>
    <t>1735, Runwal Ledij Shopping, Agra Road, Dhule.</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</si>
  <si>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</si>
  <si>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</si>
  <si>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</si>
  <si>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</si>
  <si>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</si>
  <si>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Runwal groups | Junior Engineer | Mumbai | Oct 2022 | Jul 2025 | 2Y 9M | 4.42</t>
  </si>
  <si>
    <t>2 Years 9 Months</t>
  </si>
  <si>
    <t>Runwal Group | General Trainee Engineer | Mumbai | Mar 2022 | Sep 2022 | 26.285714285714 Weeks</t>
  </si>
  <si>
    <t>AutoCADD</t>
  </si>
  <si>
    <t>P25700457</t>
  </si>
  <si>
    <t>ABI</t>
  </si>
  <si>
    <t>SHRIYA V</t>
  </si>
  <si>
    <t>Abi Shriya V</t>
  </si>
  <si>
    <t>shriyavenki22@gmail.com</t>
  </si>
  <si>
    <t>p25700457@student.nicmar.ac.in</t>
  </si>
  <si>
    <t>22-May-2004</t>
  </si>
  <si>
    <t>English and Tamil</t>
  </si>
  <si>
    <t>6296 0640 6516</t>
  </si>
  <si>
    <t>VENKATESWARAN R</t>
  </si>
  <si>
    <t>SOUTHERN RAILWAY</t>
  </si>
  <si>
    <t>SATHYA PRIYA V</t>
  </si>
  <si>
    <t>No 2, Ramalingam Illam , Reddy Nagar 4th Cross Street, Olaiyur Main, Kk Nagar, Tiruchirappalli</t>
  </si>
  <si>
    <t>Tiruchirappalli</t>
  </si>
  <si>
    <t>JEGAN MATHA MATRIC HR. SEC. SCHOOL</t>
  </si>
  <si>
    <t>STATE BOARD OF SCHOOL EXAMINATION, TAMIL NADU</t>
  </si>
  <si>
    <t>AutoCAD,MS Office,MS Project,STAAD PRO,ABAQUS</t>
  </si>
  <si>
    <t>AGAMI REALTY | SITE MANAGEMENT | MUMBAI | May 2026 | Jul 2026 | 7.8571428571429 Weeks</t>
  </si>
  <si>
    <t>P25700458</t>
  </si>
  <si>
    <t>HARSHIT</t>
  </si>
  <si>
    <t>Kumar Harshit</t>
  </si>
  <si>
    <t>koulharshit03@gmail.com</t>
  </si>
  <si>
    <t>p25700458@student.nicmar.ac.in</t>
  </si>
  <si>
    <t>11-Oct-2001</t>
  </si>
  <si>
    <t>5526 7333 7635</t>
  </si>
  <si>
    <t>DENTAL ASSISITANT IN GOVT HOSPITAL</t>
  </si>
  <si>
    <t>RAJNI</t>
  </si>
  <si>
    <t>H. No 4 Vassant Enclave Gole Gujral Camp Road Jammu</t>
  </si>
  <si>
    <t>Jammu</t>
  </si>
  <si>
    <t>Jammu Kashmir</t>
  </si>
  <si>
    <t>SOS HERMANN GMEINER SCHOOL</t>
  </si>
  <si>
    <t>JC BOSE UNIVERSITY OF SCIENCE AND TECHNOLOGY, FARIDABAD</t>
  </si>
  <si>
    <t>YMCA, HARYANA</t>
  </si>
  <si>
    <t>AutoCAD,MS Office,MS Project,Video Editing,Problem Solving</t>
  </si>
  <si>
    <t>KRC Infraprojects pvt. ltd. | Engineer Trainee | Dehradun | Jan 2024 | Jul 2024 | 26 Weeks</t>
  </si>
  <si>
    <t>Principles of Management
Wildlife Ecology
E-Business
Intellectual Property
Basic Construction Materials</t>
  </si>
  <si>
    <t>P25700459</t>
  </si>
  <si>
    <t>HARSHAL</t>
  </si>
  <si>
    <t>Harshal Dilip Patil</t>
  </si>
  <si>
    <t>hdharshalpatil@gmail.com</t>
  </si>
  <si>
    <t>p25700459@student.nicmar.ac.in</t>
  </si>
  <si>
    <t>26-May-2001</t>
  </si>
  <si>
    <t>4850 6062 5772</t>
  </si>
  <si>
    <t>JAYA</t>
  </si>
  <si>
    <t>4, Dattadurga Nagar, Dr. Hedgewar Nagar, Dharangaon</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</si>
  <si>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</si>
  <si>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</si>
  <si>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</si>
  <si>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</si>
  <si>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</si>
  <si>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AutoCAD,MS Office,MS Project,Primavera,ArcGIS,SketchUp,Revit,CostX</t>
  </si>
  <si>
    <t>Acotech Consultants Private Limited | Contract Engineer | Mumbai | Aug 2023 | Jun 2025 | 1Y 9M | 4.75</t>
  </si>
  <si>
    <t>MASIN PROJECTS PRIVATE LIMITED | Summer Intern – Delay &amp; Quantum Analysis | Navi Mumbai | May 2026 | Jul 2026 | 8.7142857142857 Weeks | Campus Internship
CSIR - National Environmental Engineering Research Institute | Intern | Nagpur | Dec 2022 | Jun 2023 | 25.857142857143 Weeks</t>
  </si>
  <si>
    <t>Databricks Fundamentals Accreditation â€“ Databricks, June 2025
Green Skilling for Sustainable Development â€“ CSIR-NEERI
Remote Sensing and Geospatial Technology â€“ IIRS, ISRO
GIS (Elite Mode) â€“ NPTEL â€“ IIT Roorkee
Contract Management â€“ The World Bank Group
Generative AI Overview for Project Managers â€“ Project Management Institute (PMI), 2025
Construction Project Management â€“ Columbia University (Coursera), June 2025
Finance for Non-Financial Managers - EMORY University (Coursera)
Construction Contract Management - Udemy</t>
  </si>
  <si>
    <t>P25700460</t>
  </si>
  <si>
    <t>KOUSHIK</t>
  </si>
  <si>
    <t>ARUNASALAM</t>
  </si>
  <si>
    <t>Koushik Arunasalam</t>
  </si>
  <si>
    <t>aksince2k4@gmail.com</t>
  </si>
  <si>
    <t>p25700460@student.nicmar.ac.in</t>
  </si>
  <si>
    <t>25-May-2004</t>
  </si>
  <si>
    <t>7651 7370 5778</t>
  </si>
  <si>
    <t>AMUTHA</t>
  </si>
  <si>
    <t>13/54, JAYAM GARDEN, RAKKIYAPLAYAM, AVINASHI, TIRUPPUR</t>
  </si>
  <si>
    <t>Tiruppur</t>
  </si>
  <si>
    <t>SRI SHAKTHI INTERNATIONAL SCHOOL</t>
  </si>
  <si>
    <t>COIMBATORE/TAMIL NADU</t>
  </si>
  <si>
    <t>VELLORE/TAMIL NADU</t>
  </si>
  <si>
    <t>ECO PROTECTION ENGINEERING PVT.LTD | TRAINEE  | FAIZABAD, LUCKNOW, UTTER PRADESH | Sep 2023 | Oct 2023 | 4.2857142857143 Weeks</t>
  </si>
  <si>
    <t>Wild Life Ecology
Forests and their Management
Conservation Economics
Python Beginner Course
Finance for Non-Financial Managers
AutoCad</t>
  </si>
  <si>
    <t>P25700461</t>
  </si>
  <si>
    <t>SHANTARAM</t>
  </si>
  <si>
    <t>Yash Shantaram Kamble</t>
  </si>
  <si>
    <t>kambleyash6241@gmail.com</t>
  </si>
  <si>
    <t>p25700461@student.nicmar.ac.in</t>
  </si>
  <si>
    <t>27-Jun-2003</t>
  </si>
  <si>
    <t>7037 2460 5343</t>
  </si>
  <si>
    <t>HOUSE- WIFE</t>
  </si>
  <si>
    <t>At/ Navingar, Post-kangoan, Tal - Daund, Dis- Pune</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</si>
  <si>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</si>
  <si>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</si>
  <si>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</si>
  <si>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</si>
  <si>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</si>
  <si>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RAJAT UDAY FADTARE CIVIL ENGINEERS AND GOVT. CONTRACTOR | SITE ENGINEER | TAL-DAUND, PUNE | Dec 2023 | Jan 2024 | 4.4285714285714 Weeks</t>
  </si>
  <si>
    <t>PROFESSIONAL DIPLOMA IN CIVIL CAD (PDCC)</t>
  </si>
  <si>
    <t>P25700462</t>
  </si>
  <si>
    <t>REETIK</t>
  </si>
  <si>
    <t>Reetik Anand</t>
  </si>
  <si>
    <t>reetikanand9@gmail.com</t>
  </si>
  <si>
    <t>p25700462@student.nicmar.ac.in</t>
  </si>
  <si>
    <t>25-Mar-1998</t>
  </si>
  <si>
    <t>8849 5497 4490</t>
  </si>
  <si>
    <t>AJAY ANAND</t>
  </si>
  <si>
    <t>KAVITA ANAND</t>
  </si>
  <si>
    <t>D-704, YASHWIN HINJEWADI, PHASE - 2</t>
  </si>
  <si>
    <t>E-92, P.C. Colony, Kankarbagh, Lohiya Nagar</t>
  </si>
  <si>
    <t>ST. DOMINIC SAVIOS HIGH SCHOOL</t>
  </si>
  <si>
    <t>CENTRAL BOARD OF SECONDARY EDUCATION, BIHAR</t>
  </si>
  <si>
    <t>SHIVAM CONVENT SCHOOL</t>
  </si>
  <si>
    <t>AutoCAD,MS Office,MS Project,Digital Marketing,Python Programming Language</t>
  </si>
  <si>
    <t>Ram Kripal Singh Construction, Pvt. Ltd | Site , Billing &amp; Estimation Enginner | Patna | Nov 2023 | Dec 2024 | 1Y 1M | 1.8</t>
  </si>
  <si>
    <t>VSL India Private Limited | Site Execution | Patna | May 2026 | Jul 2026 | 8.7142857142857 Weeks | Campus Internship
SOLYTICS PARTNER | DATA RESEARCH CONSULTANT | REMOTE | Jan 2025 | Jul 2025 | 27.857142857143 Weeks</t>
  </si>
  <si>
    <t>Basic Digital Marketing Workshop</t>
  </si>
  <si>
    <t>P25700463</t>
  </si>
  <si>
    <t>KASHISHA</t>
  </si>
  <si>
    <t>Kashisha Prabhakar Kapse</t>
  </si>
  <si>
    <t>kashishakapse04@gmail.com</t>
  </si>
  <si>
    <t>p25700463@student.nicmar.ac.in</t>
  </si>
  <si>
    <t>7459 5345 0388</t>
  </si>
  <si>
    <t>PRABHAKAR SHRIRAM KAPSE</t>
  </si>
  <si>
    <t>DEEPTI PRABHAKAR KAPSE</t>
  </si>
  <si>
    <t>KABIRA APARTMENT, PLOT NO. 97, INDRAPRASTH SOCIETY, FLAT NO. 201,OMKAR NAGAR, NAGPUR</t>
  </si>
  <si>
    <t>NO. 43, NEAR N. M. C. SCHOOL, NEW BIDPETH, Ayodhya Nagar, Nagpur, Maharashtra, 440024</t>
  </si>
  <si>
    <t>KENDRIYA VIDYALAY, AJNI, NAGPUR</t>
  </si>
  <si>
    <t>TAYWADE JUNIOR COLLEGE, KORADI, NAGPUR</t>
  </si>
  <si>
    <t>RASHTRASANT TUKADOJI MAHARAJ NAGPUR UNIVERSITY (RTMNU)</t>
  </si>
  <si>
    <t>YASHWANTRAO CHAVAN COLLEGE OF ENGINEERING, NAGPUR, MAHARASHTRA</t>
  </si>
  <si>
    <t>AutoCAD,MS Project,Revit architecture,StaadPro</t>
  </si>
  <si>
    <t>PUBLIC WORKS DEPARTMENT | INTERN | NAGPUR | Jan 2025 | Apr 2025 | 15 Weeks</t>
  </si>
  <si>
    <t>P25700464</t>
  </si>
  <si>
    <t>SHIVA KRISHNA</t>
  </si>
  <si>
    <t>ARURI</t>
  </si>
  <si>
    <t>Shiva Krishna Aruri</t>
  </si>
  <si>
    <t>shivakrishna.aruri08@gmail.com</t>
  </si>
  <si>
    <t>p25700464@student.nicmar.ac.in</t>
  </si>
  <si>
    <t>12-Aug-2001</t>
  </si>
  <si>
    <t>English, Telugu &amp; Hindi</t>
  </si>
  <si>
    <t>9706 2950 9993</t>
  </si>
  <si>
    <t>SARANGAPANI</t>
  </si>
  <si>
    <t>GOVT. JOB</t>
  </si>
  <si>
    <t>H.No:6-85/2, Tharalapalli, Kazipet, Hanamkonda, Telangana 506003</t>
  </si>
  <si>
    <t>Hanamkonda</t>
  </si>
  <si>
    <t>SACRED HEART EM HIGH SCHOOL</t>
  </si>
  <si>
    <t>SVS POLYTECHNIC, TELANGANA</t>
  </si>
  <si>
    <t>BHARATH UNIVERSITY</t>
  </si>
  <si>
    <t>BHARATH INSTITUTE OF HIGHER EDUCATION AND RESEARCH, TAMILNADU</t>
  </si>
  <si>
    <t>Karunya Constructions | Junior Engineer | Warangal | May 2024 | May 2025 | 1Y 0M | 2.04</t>
  </si>
  <si>
    <t>Kattu Construction Technology Services LLP | Project Management Intern | New BEL Road, Bangalore | May 2026 | Jul 2026 | 8.7142857142857 Weeks | Campus Internship
OFFICE OF EXECUTIVE ENGINEER (R&amp;B) NH DIVISION | INTERNSHIP | WARANGAL | Jun 2020 | Dec 2020 | 23.857142857143 Weeks</t>
  </si>
  <si>
    <t>P25700465</t>
  </si>
  <si>
    <t>Giri R</t>
  </si>
  <si>
    <t>giri752003@gmail.com</t>
  </si>
  <si>
    <t>p25700465@student.nicmar.ac.in</t>
  </si>
  <si>
    <t>07-May-2003</t>
  </si>
  <si>
    <t>English , Tamil , Malayalam</t>
  </si>
  <si>
    <t>9865 6695 4674</t>
  </si>
  <si>
    <t>RAJAGANESAN</t>
  </si>
  <si>
    <t>RETIRED DEPUTY COLLECTOR</t>
  </si>
  <si>
    <t>DEIVAYANAI</t>
  </si>
  <si>
    <t>SENIOR ELECTRICAL ENGINEER</t>
  </si>
  <si>
    <t>Plot No 30, 4th Street Indira Nagar , Medical College Road, Thanjavur</t>
  </si>
  <si>
    <t>Thanjavur</t>
  </si>
  <si>
    <t>BLOSSOM PUBLIC SCHOOL</t>
  </si>
  <si>
    <t>CENTRAL BOARD OF SECONDARY EDUCATION...THANJAVUR/TAMIL NADU</t>
  </si>
  <si>
    <t>THE VELAMMAL INTERNATIONAL SCHOOL</t>
  </si>
  <si>
    <t>CENTRAL BOARD OF SECONDARY EDUCATION, THIRUVALLUR/TAMIL NADU</t>
  </si>
  <si>
    <t>SRM UNIVERSITY</t>
  </si>
  <si>
    <t>SRM INSTITUTE OF SCIENCE AND TECHNOLOGY, KATTANKULATHUR, CHENNAI</t>
  </si>
  <si>
    <t>AutoCAD,MS Office,MS Project,Sketchup,Revit,Rhino &amp; Grasshopper,D5 Render,Adobe Photoshop,Adobe Indesign,Adobe Illustrator,Adobe After Effects,Lumion,Vray,ArcGIS</t>
  </si>
  <si>
    <t>BIOME ENVIRONMENTAL SOLUTIONS | FULL-TIME ARCHITECTURAL INTERN | BANGALORE | Jun 2024 | Dec 2024 | 26.285714285714 Weeks</t>
  </si>
  <si>
    <t>P25700466</t>
  </si>
  <si>
    <t>VIRAJ</t>
  </si>
  <si>
    <t>Sakshi Viraj Patil</t>
  </si>
  <si>
    <t>patilsakshi200230@gmail.com</t>
  </si>
  <si>
    <t>p25700466@student.nicmar.ac.in</t>
  </si>
  <si>
    <t>3644 6311 4962</t>
  </si>
  <si>
    <t>PRIMARY TEACHER</t>
  </si>
  <si>
    <t>GIRIRAJ DREAMS, BHASKAR COLONY, NAUPADA</t>
  </si>
  <si>
    <t>Sahjeevan Bungalow, Gandhare, Wada</t>
  </si>
  <si>
    <t>VIVEKANANDA PUBLIC SCHOOL, KHARIVALI</t>
  </si>
  <si>
    <t>VIVEKANANDA JR COLLEGE OF ARTS AND SCIENCE, KHARIVALI</t>
  </si>
  <si>
    <t>ANJUMAN-I-ISLAMS M.H SABOO SIDDIK COLLEGE OF ENGINEERING, BYCULLA</t>
  </si>
  <si>
    <t>Sneh Vastu Sampada | Trainee | Wada,Maharashtra | May 2026 | Jul 2026 | 8.7142857142857 Weeks</t>
  </si>
  <si>
    <t>P25700467</t>
  </si>
  <si>
    <t>SURYANSH</t>
  </si>
  <si>
    <t>SONI</t>
  </si>
  <si>
    <t>Suryansh Soni</t>
  </si>
  <si>
    <t>suryanshsoni242003@gmail.com</t>
  </si>
  <si>
    <t>p25700467@student.nicmar.ac.in</t>
  </si>
  <si>
    <t>04-Feb-2004</t>
  </si>
  <si>
    <t>7776 9930 7378</t>
  </si>
  <si>
    <t>NARENDRA KUMAR SONI</t>
  </si>
  <si>
    <t>GOVERNMENT EMPOLYEE</t>
  </si>
  <si>
    <t>PRATIBHA PALLAV</t>
  </si>
  <si>
    <t>DAV Inter College Road, Chandu Ki Masjid Ke Pichhe, Mardan Naka, Kotwali Nagar, Banda</t>
  </si>
  <si>
    <t>Banda</t>
  </si>
  <si>
    <t>VIDYAWATI NIGAM MEMORIAL PUBLIC SCHOOL</t>
  </si>
  <si>
    <t>CBSE, NEW DELHI</t>
  </si>
  <si>
    <t>AutoCAD,MS Office,MS Project,Primavera,MS Excel,MS Powerpoint,ArcGIS</t>
  </si>
  <si>
    <t>Public Works Department (Building) Division Dhar Madhya Pradesh | Site engineer Intern | Dhar, Madhya Pradesh | Aug 2023 | Sep 2023 | 4 Weeks</t>
  </si>
  <si>
    <t>P25700468</t>
  </si>
  <si>
    <t>DEVARAJ</t>
  </si>
  <si>
    <t>MALI PATIL</t>
  </si>
  <si>
    <t>Devaraj B Mali Patil</t>
  </si>
  <si>
    <t>devarajmp327@gmail.com</t>
  </si>
  <si>
    <t>p25700468@student.nicmar.ac.in</t>
  </si>
  <si>
    <t>04-Apr-2000</t>
  </si>
  <si>
    <t>English,Kannada,Telugu,Hindi</t>
  </si>
  <si>
    <t>6305 5380 9851</t>
  </si>
  <si>
    <t>BSAVARAJ S MALI PATIL</t>
  </si>
  <si>
    <t>MAHADEVI</t>
  </si>
  <si>
    <t>AMARAPUR, SINDHANUR TALUK, RAICHUR DISTRICT.</t>
  </si>
  <si>
    <t>Raichur</t>
  </si>
  <si>
    <t>DAFFODILS CONCEPT SCHOOL</t>
  </si>
  <si>
    <t>COUNCIL FOR THE INDIAN SCHOOL CERTIFICATE EXAMINATION,  SINDHANUR, KARNATAKA</t>
  </si>
  <si>
    <t>SIR MV PU COLLEGE</t>
  </si>
  <si>
    <t>MS Office,MS Project,Primavera P6</t>
  </si>
  <si>
    <t>Bangalore Metro Rail Corporation Ltd. | Summer Intern | BENGALURU | May 2026 | Jul 2026 | 8.7142857142857 Weeks | Campus Internship
SWATHI CIVIL CONSULTANCY | INTERN | BENGALURU,YELAHANKA | Mar 2022 | Apr 2022 | 5.4285714285714 Weeks</t>
  </si>
  <si>
    <t>MS Project for civil engineering
Primavera P6</t>
  </si>
  <si>
    <t>P25700470</t>
  </si>
  <si>
    <t>KULKARNI</t>
  </si>
  <si>
    <t>Amrut Prakash Kulkarni</t>
  </si>
  <si>
    <t>kulkarniamrut098@gmail.com</t>
  </si>
  <si>
    <t>p25700470@student.nicmar.ac.in</t>
  </si>
  <si>
    <t>19-May-2003</t>
  </si>
  <si>
    <t>Kannada, Marathi, Hindi, English, German</t>
  </si>
  <si>
    <t>3211 6456 7597</t>
  </si>
  <si>
    <t>C-1001, SRK K52, Near Potnis Parisar, Karvenagar, Pune 411052</t>
  </si>
  <si>
    <t>DR. KALMADI SHAMARAO HIGH SCHOOL AND JR. COLLEGE</t>
  </si>
  <si>
    <t>AutoCAD, Revit, MS Office, MS Project, Primavera, CostX</t>
  </si>
  <si>
    <t>ROHAN BUILDERS (INDIA) PVT. LTD. | INTERN | KHARADI, PUNE 411014 | Sep 2023 | Nov 2023 | 12.285714285714 Weeks</t>
  </si>
  <si>
    <t>Certificate in Concreting Techniques and Practices
Certificate in Mechanised Construction Techniques</t>
  </si>
  <si>
    <t>P25700471</t>
  </si>
  <si>
    <t>Aditya Gautam</t>
  </si>
  <si>
    <t>aadigautam25@gmail.com</t>
  </si>
  <si>
    <t>p25700471@student.nicmar.ac.in</t>
  </si>
  <si>
    <t>25-Aug-2000</t>
  </si>
  <si>
    <t>3542 4494 2704</t>
  </si>
  <si>
    <t>MR. SHIV GOVIND GAUTAM</t>
  </si>
  <si>
    <t>MRS. PUSHPLATA GAUTAM</t>
  </si>
  <si>
    <t>111, Pandey Gali , Gandhi Ganj, Mahatma Gandhi Ward Murwara Katni MP</t>
  </si>
  <si>
    <t>Katni</t>
  </si>
  <si>
    <t>SAINT PAUL HIGHER SEC SCHOOL, KATNI.</t>
  </si>
  <si>
    <t>CENTRAL BOARD OF SECONDARY EDUCATION, KATNI,MADHYA PRADESH.</t>
  </si>
  <si>
    <t>NOBLE HEART PUBLIC H. S. SCHOOL, KATNI.</t>
  </si>
  <si>
    <t>BOARD OF SECONDARY EDUCATION, MADHYA PRADESH.</t>
  </si>
  <si>
    <t>RAJIV GANDHI PROUDYOGIKI VISHWAVIDYALAYA, BHOPAL, MP</t>
  </si>
  <si>
    <t>ENGINEERING COLLEGE NOWGONG, CHHATARPUR</t>
  </si>
  <si>
    <t>Megha Engineering and Infrastructure Limited (MEIL) | Engineer Cons. Cord. | Agra UP | Oct 2023 | Jun 2025 | 1Y 8M | 3.48
CIVIL GURUJI PVT. LTD. | CORPORATE TRAINER | BHOPAL MP | Jan 2023 | Sep 2023 | 0Y 8M | 2.4
Sri SP ENGINEERING | Civil Site Engineer | BHOPAL MP | Jun 2022 | Oct 2022 | 0Y 4M | 1.44</t>
  </si>
  <si>
    <t>2 Years 10 Months</t>
  </si>
  <si>
    <t>BBS CALCULATION, BBS ADVANCE, DAILY PROGRESS REPORT, SALB RATE BILL, RECONCILIATION, PRICE ESCALATION</t>
  </si>
  <si>
    <t>P25700472</t>
  </si>
  <si>
    <t>Ganesh Ashok Shinde</t>
  </si>
  <si>
    <t>ganeshshinde7200@gmail.com</t>
  </si>
  <si>
    <t>p25700472@student.nicmar.ac.in</t>
  </si>
  <si>
    <t>09-Jun-2001</t>
  </si>
  <si>
    <t>3497 7815 4308</t>
  </si>
  <si>
    <t>ASHOK POPATRAO SHINDE</t>
  </si>
  <si>
    <t>SWATI ASHOK SHINDE</t>
  </si>
  <si>
    <t>BANKER</t>
  </si>
  <si>
    <t>SAI BUILDING FLAT NO 402, SHRIRAM NAGAR, AMBEGAON BUDRUK</t>
  </si>
  <si>
    <t>Shindemala ,Shindewadi, Shindewadi Dharmapuri Road</t>
  </si>
  <si>
    <t>BHARAT CHILDRENS ACADEMY AND JUNIOR COLLEGE</t>
  </si>
  <si>
    <t>TULJARAM CHATURCHAND COLLEGE OF ARTS, SCIENCE AND COMMERCE</t>
  </si>
  <si>
    <t>PIMPRI CHINCHWAD COLLEGE OF ENGINEERING AND RESEARCH, PIMPRI CHINCHWAD PUNE</t>
  </si>
  <si>
    <t>AutoCAD,MS Office,MS Project,Primavera,Autocad Architecture,Sketchup,Revit</t>
  </si>
  <si>
    <t>Yashada Realty | Graduate Engineer Trainee | Ravet, Pimpri Chinchwad | Aug 2023 | Dec 2023 | 0Y 4M | 1.8
Precision Precast Solutions Pvt Ltd | Designer | Baif Campus, Warje | Jul 2024 | Jul 2025 | 0Y 11M | 3.61</t>
  </si>
  <si>
    <t>New Consolidated Construction Company Limited | Planning Intern | Runwall Timeless, Pratiksha Nagar Depot Rd, Mkada Chawl, Sion East, Sion, Mumbai | May 2026 | Jul 2026 | 8.7142857142857 Weeks | Campus Internship
Rathi Developers | Intern | Tathawade | Jan 2022 | Feb 2022 | 5.4285714285714 Weeks</t>
  </si>
  <si>
    <t>Remote Sensing In Crop Monitoring And Assessment - By ISRO
Autocad 2D and 3D
Hit Office (Construction - ERP)
Geospatial technology for hydrological modelling - By ISRO
Disaster Management and Risk Reduction
Finance For Non-Financial Managers
Sustainable Construction Management
Ethics in Engineering Practice</t>
  </si>
  <si>
    <t>P25700473</t>
  </si>
  <si>
    <t>KHOSE</t>
  </si>
  <si>
    <t>DIGAMBAR</t>
  </si>
  <si>
    <t>Khose Piyush Digambar</t>
  </si>
  <si>
    <t>piyushkhose2k@gmail.com</t>
  </si>
  <si>
    <t>p25700473@student.nicmar.ac.in</t>
  </si>
  <si>
    <t>24-Oct-2000</t>
  </si>
  <si>
    <t>5669 7084 0976</t>
  </si>
  <si>
    <t>DIGAMBAR NAGURAO KHOSE</t>
  </si>
  <si>
    <t>RAMA DIGAMBAR KHOSE</t>
  </si>
  <si>
    <t>C1504, Ashar16, Wagle Estate, Nr. Brodma Company</t>
  </si>
  <si>
    <t>WEES ENGLISH HIGH SCHOOL</t>
  </si>
  <si>
    <t>AGNEL POLYTECHNIC, NAVI MUMBAI, MAHARASHTRA</t>
  </si>
  <si>
    <t>NEW HORIZON INSTITUTE OF TECHNOLOGY AND MANAGEMENT, THANE, MAHARASHTRA</t>
  </si>
  <si>
    <t>NB ASSOCIATES PVT.LTD. | Graduate Engineer Trainee | Bhiwandi (Lodha Upper Thane) | Jul 2022 | Nov 2022 | 0Y 4M | 1.44
STRANQUIL CONSTRUCTION PVT. LTD. | Site Engineer | Bhiwandi (Lodha Upper Thane) | Nov 2022 | May 2024 | 1Y 6M | 2.16
CAPACITE INFRAPROJECTS LIMITED | Planning Engineer | Bhandup | Dec 2024 | Jul 2025 | 0Y 6M | 3.24</t>
  </si>
  <si>
    <t>P25700474</t>
  </si>
  <si>
    <t>ANIRUDDHA</t>
  </si>
  <si>
    <t>DEVENDRA</t>
  </si>
  <si>
    <t>Kulkarni Aniruddha Devendra</t>
  </si>
  <si>
    <t>kulkarnianiruddhad@gmail.com</t>
  </si>
  <si>
    <t>p25700474@student.nicmar.ac.in</t>
  </si>
  <si>
    <t>11-Jun-2003</t>
  </si>
  <si>
    <t>7116 9188 8823</t>
  </si>
  <si>
    <t>GIRIJA</t>
  </si>
  <si>
    <t>EMPLOYED</t>
  </si>
  <si>
    <t>B/8, Bank Of India Colony, Aranyeshwar, Pune</t>
  </si>
  <si>
    <t>MUKTANGAN ENGLISH SCHOOL &amp; JR COLLEGE</t>
  </si>
  <si>
    <t>ALL INDIA SHRI SHIVAJI MEMORIAL SOCIETY'S COLLEGE OF ENGINEERING, PUNE</t>
  </si>
  <si>
    <t>AutoCAD,MS Project,Primavera,MS Word,MS Excel</t>
  </si>
  <si>
    <t>Haardhik Impulse Developers LLP | Trainee | Moshi, Pune - 412105 | Dec 2023 | Jan 2024 | 4.4285714285714 Weeks</t>
  </si>
  <si>
    <t>P25700475</t>
  </si>
  <si>
    <t>G</t>
  </si>
  <si>
    <t>Avinash G</t>
  </si>
  <si>
    <t>avinash13157@gmail.com</t>
  </si>
  <si>
    <t>p25700475@student.nicmar.ac.in</t>
  </si>
  <si>
    <t>13-Oct-2003</t>
  </si>
  <si>
    <t>6249 6613 8986</t>
  </si>
  <si>
    <t>GUNASHEKAREN S</t>
  </si>
  <si>
    <t>PUSHPA G</t>
  </si>
  <si>
    <t>6/802E, E.B.COLONY, PARAMATHI ROAD_x000D_
NAMAKKAL.</t>
  </si>
  <si>
    <t>Namakkal</t>
  </si>
  <si>
    <t>CENTRAL BOARD OF SECONDARY EDUCATION, TAMILNADU</t>
  </si>
  <si>
    <t>VELLORE INSTITUTE OF TECHNOLOGY, VELLORE, TAMILNADU</t>
  </si>
  <si>
    <t>NBCC (India) Limited | Intern - Projects | Greater Noida | May 2026 | Jul 2026 | 9.5714285714286 Weeks | Campus Internship
DESIGN TREE SERVICE CONSULTANTS Pvt Ltd | INTERN | BANGALORE | Aug 2023 | Sep 2023 | 3.5714285714286 Weeks
LARSEN &amp; TOUBRO CONSTRUCTION | INTERN | CHENNAI | Jan 2025 | May 2025 | 20.571428571429 Weeks</t>
  </si>
  <si>
    <t>BIM Fundamentals for Engineers
Entrepreneurship (NPTEL)</t>
  </si>
  <si>
    <t>P25700476</t>
  </si>
  <si>
    <t>BIKI</t>
  </si>
  <si>
    <t>KHARKA</t>
  </si>
  <si>
    <t>Biki Kharka</t>
  </si>
  <si>
    <t>bikki.kharka@gmail.com</t>
  </si>
  <si>
    <t>p25700476@student.nicmar.ac.in</t>
  </si>
  <si>
    <t>27-Jan-1999</t>
  </si>
  <si>
    <t>English , Hindi , Assamese and Nepali</t>
  </si>
  <si>
    <t>6053 6816 7942</t>
  </si>
  <si>
    <t>TANKA BAHADUR KHARKA CHETRY</t>
  </si>
  <si>
    <t>SUNITA CHETRY</t>
  </si>
  <si>
    <t>Village :- Natun Hawly _x000D_
Post Office :- Natun Hawly_x000D_
District :- Tamulpur _x000D_
Police Station :- Tamulpur_x000D_
B.T.R , Assam</t>
  </si>
  <si>
    <t>Baksa</t>
  </si>
  <si>
    <t>SAINIK SCHOOL GOALPARA</t>
  </si>
  <si>
    <t>CENTRAL BOARD OF SECONDARY EDUCATION , GOALPARA / ASSAM</t>
  </si>
  <si>
    <t>RD JUNIOR COLLEGE DIGBOI</t>
  </si>
  <si>
    <t>ASSAM HIGHER SECONDARY EDUCATION COUNCIL , DIGBOI/ASSAM</t>
  </si>
  <si>
    <t>GAUHATI UNIVERSITY</t>
  </si>
  <si>
    <t>ASSAM ENGINEERING COLLEGE , GUWAHATI / ASSAM</t>
  </si>
  <si>
    <t>AutoCAD,MS Office,MS Project,Primavera,CostX , Revit</t>
  </si>
  <si>
    <t>Centre for Microfinance &amp; Livelihood (CML) An Initiative of TATA TRUSTS | Consultant - Programme Associate (Cluster Coordinator) | Assam | Aug 2021 | Apr 2023 | 1Y 8M | 3.6</t>
  </si>
  <si>
    <t>P25700477</t>
  </si>
  <si>
    <t>GUNJAL</t>
  </si>
  <si>
    <t>Yash Prashant Gunjal</t>
  </si>
  <si>
    <t>yashgunjal694@gmail.com</t>
  </si>
  <si>
    <t>p25700477@student.nicmar.ac.in</t>
  </si>
  <si>
    <t>10-May-2001</t>
  </si>
  <si>
    <t>2387 9106 4731</t>
  </si>
  <si>
    <t>GAYATRI</t>
  </si>
  <si>
    <t>Panhale Road, Nhanave, Tal.Chandwad,Dist.Nashik</t>
  </si>
  <si>
    <t>SHREE NEMINATH JAIN HIGH SCHOOL</t>
  </si>
  <si>
    <t>GOVERMENT POLYTECHNIC AWASARI(KH),MAHARASTRA</t>
  </si>
  <si>
    <t>GH RAISONI COLLEGE OF ENGINEERING AND MANAGEMENT,PUNE,MAHARASTRA</t>
  </si>
  <si>
    <t>AutoCAD,MS Office,MS Project,Primavera,Revit Archetecture,ERP(Highrise),CQRA Quality Analysis Software,CostX</t>
  </si>
  <si>
    <t>Aishwaryam Group | Site engineer | Pune | Dec 2024 | Jun 2025 | 0Y 6M | 4.16</t>
  </si>
  <si>
    <t>TruBoard Partners | Asset management Intern | Mumbai | May 2026 | Jun 2026 | 8.1428571428571 Weeks | Campus Internship
COGNIZANT TECHNOLOGY SOLUTIONS INDIA PRIVATE LIMITED. | PROGRAMMER ANALYST TRAINEE | PUNE | May 2023 | Aug 2023 | 16.857142857143 Weeks</t>
  </si>
  <si>
    <t>Minor degree in Computer Engineering
National Cadet Corps (NCC)
Certificate Of Publication For Article
Revit Architecture</t>
  </si>
  <si>
    <t>P25700478</t>
  </si>
  <si>
    <t>SHRESHTH</t>
  </si>
  <si>
    <t>Shreshth Gupta</t>
  </si>
  <si>
    <t>shreshthgupta1608@gmail.com</t>
  </si>
  <si>
    <t>p25700478@student.nicmar.ac.in</t>
  </si>
  <si>
    <t>8939 2348 2045</t>
  </si>
  <si>
    <t>RITESH GUPTA</t>
  </si>
  <si>
    <t>PREETI GUPTA</t>
  </si>
  <si>
    <t>F-6c, Harinagar, Opp Desu Office,Mayapuri, New Delhi, 110064</t>
  </si>
  <si>
    <t>TAGORE SENIOR SECONDARY SCHOOL</t>
  </si>
  <si>
    <t>SHRI MATA VAISHNO DEVI UNIVERSITY, KATRA</t>
  </si>
  <si>
    <t>AutoCAD,MS Office,Primavera,Revit,Staad Pro</t>
  </si>
  <si>
    <t>Geoquest India | Operations (Project Management/Planning) | New Delhi | May 2026 | Jun 2026 | 8 Weeks | Campus Internship
GIRDHARI LAL CONSTRUCTIONS PRIV LIMITED | SUMMER INTERN | Gurgaon | Jun 2024 | Jul 2024 | 5.5714285714286 Weeks
GIRDHARI LAL CONSTRUCTIONS PRIV LIMITED | SUMMER INTERN | Delhi | Jun 2023 | Jul 2023 | 4.5714285714286 Weeks
KAMLADITYYA CONSTRUCTION PRIVATE LIMITED | Summer Intern | Delhi | Jul 2022 | Aug 2022 | 3.1428571428571 Weeks</t>
  </si>
  <si>
    <t>Primavera P6 Unveiled: Step-by-Step Beginner's Training
AutoCAD2020 2D Basics &amp; Advanced(Full Projects Civil + Arch)
Revit- Mass Modelling- From Basic to Advanced level
SketchUp 2023: The A-Z Course to Mastering 3D Modeling
Adobe Photoshop CC: Essentials Photoshop Course Zero to Hero
Diversity and Inclusion in the Workplace
Finance for Non-Financial Managers</t>
  </si>
  <si>
    <t>P25700479</t>
  </si>
  <si>
    <t>ALDAR</t>
  </si>
  <si>
    <t>SOHAN</t>
  </si>
  <si>
    <t>PANDHARINATH</t>
  </si>
  <si>
    <t>Aldar Sohan Pandharinath</t>
  </si>
  <si>
    <t>sohanaldar99@gmail.com</t>
  </si>
  <si>
    <t>p25700479@student.nicmar.ac.in</t>
  </si>
  <si>
    <t>22-May-2001</t>
  </si>
  <si>
    <t>9137 1254 4108</t>
  </si>
  <si>
    <t>Udanwadi</t>
  </si>
  <si>
    <t>SHREE BHAVANI VIDYALAYA ,ATAPADI</t>
  </si>
  <si>
    <t>MAHARASHTRA STATE BOARD OF SECONDARY EDUCATION ,PUNE[KOLHAPUR DIVISION]</t>
  </si>
  <si>
    <t>JSPN NARHE TECHNICAL CAMPUS,PUNE-411041</t>
  </si>
  <si>
    <t>AutoCAD,MS Project,Primavera,Cost X,Revit,Naviswork</t>
  </si>
  <si>
    <t>NIVARA ARCHITECTURE AND DEVELOPER | JUNIOR ENGINEER | solapur | Jun 2024 | Nov 2024 | 0Y 5M | 2.76
Sai Associates | Site Engineer | Pune | Aug 2020 | Aug 2021 | 0Y 11M | 1.2</t>
  </si>
  <si>
    <t>BHOSALE BUIDCON | TRAINEE | NEW MUMBAI | Dec 2019 | Apr 2020 | 20 Weeks</t>
  </si>
  <si>
    <t>CERTIFICATE OF PRESENTATION</t>
  </si>
  <si>
    <t>P25700480</t>
  </si>
  <si>
    <t>KALLAPPA</t>
  </si>
  <si>
    <t>PUJARI</t>
  </si>
  <si>
    <t>Yash Kallappa Pujari</t>
  </si>
  <si>
    <t>yashupujari11@gmail.com</t>
  </si>
  <si>
    <t>p25700480@student.nicmar.ac.in</t>
  </si>
  <si>
    <t>19-Feb-2002</t>
  </si>
  <si>
    <t>6738 9615 8611</t>
  </si>
  <si>
    <t>RETIRED GOVERNMENT OFFICER</t>
  </si>
  <si>
    <t>Plot No.19 , "Pancharatna" Bunglow , Suryawanshi Colony, Daulatnagar ,Satara. Pincode- 415001</t>
  </si>
  <si>
    <t>NIRMALA CONVENT HIGHSCHOOL, SATARA</t>
  </si>
  <si>
    <t>CHHATRAPATI SHAHU ACADEMY &amp; SCIENCE JUNIOR COLLEGE, SATARA</t>
  </si>
  <si>
    <t>New Consolidated Construction Company limited (NCCCL) | Estimation and Costing Engineer | Navi Mumbai, Ghansoli | May 2026 | Jul 2026 | 8.7142857142857 Weeks | Campus Internship
SHREE DEVELOPERS | Site Execution | Satara | Jun 2024 | Jun 2024 | 3.4285714285714 Weeks
M/S SHREE KEDARBAJI CONSTRUCTION | Site Execution | Satara | Jun 2023 | Jul 2023 | 3.2857142857143 Weeks</t>
  </si>
  <si>
    <t>P25700481</t>
  </si>
  <si>
    <t>MATE</t>
  </si>
  <si>
    <t>Vivek Ulhas Mate</t>
  </si>
  <si>
    <t>vivekmate27@gmail.com</t>
  </si>
  <si>
    <t>p25700481@student.nicmar.ac.in</t>
  </si>
  <si>
    <t>17-Jan-2000</t>
  </si>
  <si>
    <t>English,hindi,marathi</t>
  </si>
  <si>
    <t>6321 3662 4892</t>
  </si>
  <si>
    <t>402,DATTA KRUPA NWAS APT.GOLEWADI BADLAPUR EAST.</t>
  </si>
  <si>
    <t>ADARSH VIDYA MANDIR</t>
  </si>
  <si>
    <t>R.K.TALREJA COLLEGE OF SCIENCE ,ARTS &amp; COMMERCE</t>
  </si>
  <si>
    <t>NAVSAHYADRI INSTITUTE OF TECHNOLOGY, PUNE</t>
  </si>
  <si>
    <t>PILLAI HOC COLLEGE OF ENGINEERING AND TECHNOLOGY, RASAYANI</t>
  </si>
  <si>
    <t>Bharat Petroleum Corporation Limited | Apprentice | MAHUL ,BPCL MUMBAI REFINERY | Nov 2023 | Nov 2024 | 0Y 11M | 2.16
CLR Facility Services Pvt. Ltd | supervisor | Mahul , BPCL Mumbai refinery | Feb 2025 | Apr 2025 | 0Y 2M | 3.2</t>
  </si>
  <si>
    <t>Embasssy Development Limited | Intern-Budgeting and Quantity surveying | Mumbai | May 2026 | Jul 2026 | 8.7142857142857 Weeks | Campus Internship
Mahindra Sustenâ€™s Centre of Excellence | Trainee | Karjat | Jun 2022 | Jul 2022 | 7.5714285714286 Weeks</t>
  </si>
  <si>
    <t>AUTO CAD CIVIL
Construction Equipment Maintenance &amp; Safety
Data Analysis
Finance for Non-Financial Managers
Ethics in Engineering Practice</t>
  </si>
  <si>
    <t>P25700482</t>
  </si>
  <si>
    <t>M P</t>
  </si>
  <si>
    <t>Arun M P</t>
  </si>
  <si>
    <t>arunmanivasakan@gmail.com</t>
  </si>
  <si>
    <t>p25700482@student.nicmar.ac.in</t>
  </si>
  <si>
    <t>10-Apr-2004</t>
  </si>
  <si>
    <t>4935 1488 7366</t>
  </si>
  <si>
    <t>MANIVASAKAN M</t>
  </si>
  <si>
    <t>PERIANAYAGHI M</t>
  </si>
  <si>
    <t>Plot No 80, Karups Nagar Extension, 3rd Street, New Bus Stand, Thanjavur. 613005</t>
  </si>
  <si>
    <t>CENTRAL BOARD OF SECONDARY EDUCATION, THANJAVUR</t>
  </si>
  <si>
    <t>DR. MAHALINGAM COLLEGE OF ENGINEERING AND TECHNOLOGY</t>
  </si>
  <si>
    <t>AutoCAD,MS Office,MS Project,Sketch UP,Staad Pro</t>
  </si>
  <si>
    <t>Sobha Limited | Site Execution | Bengaluru | May 2026 | Jul 2026 | 9 Weeks | Campus Internship
Cube Engineers | Technical Feild Engineer | Chennai | Dec 2024 | Mar 2025 | 14 Weeks
SURA Builders | Junior Engineer | Thanjavur  | Jun 2023 | Jul 2023 | 1.7142857142857 Weeks</t>
  </si>
  <si>
    <t>MS Project, Staad Pro and Technical skills</t>
  </si>
  <si>
    <t>P25700483</t>
  </si>
  <si>
    <t>SUDNESH</t>
  </si>
  <si>
    <t>PRAFULLA</t>
  </si>
  <si>
    <t>BORSE</t>
  </si>
  <si>
    <t>Sudnesh Prafulla Borse</t>
  </si>
  <si>
    <t>sudneshborse123@gmail.com</t>
  </si>
  <si>
    <t>p25700483@student.nicmar.ac.in</t>
  </si>
  <si>
    <t>03-Dec-2001</t>
  </si>
  <si>
    <t>7416 3942 9309</t>
  </si>
  <si>
    <t>PRAFULLA BHAGWAN BORSE</t>
  </si>
  <si>
    <t>DHANASHREE PRAFULLA BORSE</t>
  </si>
  <si>
    <t>Bunglow No. 232 Sarthak, Audumbar Nagar, Amrutdham, Panchavati</t>
  </si>
  <si>
    <t>ST FRANCIS HIGH SCHOOL</t>
  </si>
  <si>
    <t>BOYS TOWN JUNIOR COLLEGE</t>
  </si>
  <si>
    <t>K.K WAGH INSTITUTE OF ENGINEERING EDUCATION AND RESEARCH NASHIK MAHARASTRA</t>
  </si>
  <si>
    <t>AutoCAD,MS Office,RSGIS</t>
  </si>
  <si>
    <t>JP Structural Engineers | Junior Structural Engineer | Nashik | Jun 2024 | Jun 2025 | 1Y 0M | 3.75</t>
  </si>
  <si>
    <t>Jyoti Structures Limited | Project Control | Pune | May 2026 | Jul 2026 | 8.7142857142857 Weeks | Campus Internship
Suvik Buildcon | SITE EXECUTION AND CONTROL | Nashik  | Jan 2023 | Feb 2023 | 4.4285714285714 Weeks</t>
  </si>
  <si>
    <t>Sustainable Structures Club
workshop on concrete mix design
Training Programme on Remote Sensing &amp; GIS</t>
  </si>
  <si>
    <t>P25700484</t>
  </si>
  <si>
    <t>PRITESH</t>
  </si>
  <si>
    <t>GHITRE</t>
  </si>
  <si>
    <t>Pritesh Prakash Ghitre</t>
  </si>
  <si>
    <t>priteshghitre07@gmail.com</t>
  </si>
  <si>
    <t>p25700484@student.nicmar.ac.in</t>
  </si>
  <si>
    <t>03-Aug-1999</t>
  </si>
  <si>
    <t>9102 4454 9577</t>
  </si>
  <si>
    <t>NEAR DONGAON ROAD, SHIKSHAK COLONY, LASUR STATION, CHH. SAMBHAJINAGAR</t>
  </si>
  <si>
    <t>At. Agathan, Post. Mehaboobkheda,Tq. Gangapur, Dist. Chh. Sambhajinagar</t>
  </si>
  <si>
    <t>MAHARASHTRA PUBLIC SCHOOL</t>
  </si>
  <si>
    <t>VIVEKANAND ARTS, SARDAR DALIPSINGH COMMERCE AND SCIENCE COLLEGE</t>
  </si>
  <si>
    <t>CSMSS COLLEGE OF POLYTECHNIC</t>
  </si>
  <si>
    <t>CSMSS, CHHATRAPATI SHAHU COLLEGE OF ENGINEERING, CHHATRAPATI SAMBHAJINAGAR</t>
  </si>
  <si>
    <t>RAMA CONSTRUCTION | Planning and Site Co-ordination | AURANGABAD, | Feb 2023 | May 2023 | 13.571428571429 Weeks
YASHRAJ INFRASTRUCTURE | Site Engineer | AURANGABAD | May 2019 | Jun 2019 | 6 Weeks</t>
  </si>
  <si>
    <t>Ethics in Engineering Practice,NPTEL
Finance for Non-Financial Managers,Coursera</t>
  </si>
  <si>
    <t>P25700485</t>
  </si>
  <si>
    <t>PRATHAM</t>
  </si>
  <si>
    <t>DHANAJKAR</t>
  </si>
  <si>
    <t>Pratham Sanjay Dhanajkar</t>
  </si>
  <si>
    <t>dhanajkarpratham@gmail.com</t>
  </si>
  <si>
    <t>p25700485@student.nicmar.ac.in</t>
  </si>
  <si>
    <t>29-Oct-2001</t>
  </si>
  <si>
    <t>7136 5876 7526</t>
  </si>
  <si>
    <t>NANDA</t>
  </si>
  <si>
    <t>At Dhanaj Post Chondi, TQ Mukhed, Dist Nanded</t>
  </si>
  <si>
    <t>SHAHIR ANNABHAU SATHE VIDYALAYA,MUKHED</t>
  </si>
  <si>
    <t>SSC/NANDED/MAHARASHTRA</t>
  </si>
  <si>
    <t>SAHIR ANNABHAU SATHE JUNIOR COLLEGE, MUKHED</t>
  </si>
  <si>
    <t>HSC/NANDED/MAHARASHTRA</t>
  </si>
  <si>
    <t>2019-june</t>
  </si>
  <si>
    <t>SINHGAD COLLEGE OF ENGINEERING VADGAO BK,PUNE MAHARASHTRA</t>
  </si>
  <si>
    <t>AutoCAD,MS Office,MS Project,Primavera,Cost X,Autodesk Revit</t>
  </si>
  <si>
    <t>Pundlik Builders And Developers | Project Engineer  | Nanded | Jun 2024 | Jun 2025 | 1Y 0M | 2.04</t>
  </si>
  <si>
    <t>T and T Infra Pvt Ltd. | Site Execution &amp; Coordination Intern | Pune | May 2026 | Jul 2026 | 9.1428571428571 Weeks | Campus Internship
Electrocivil Corporation | Intern  | Pune | Feb 2023 | Mar 2023 | 6.4285714285714 Weeks</t>
  </si>
  <si>
    <t>P25700486</t>
  </si>
  <si>
    <t>TAHIRHUSEN</t>
  </si>
  <si>
    <t>ZAKIRHUSEN</t>
  </si>
  <si>
    <t>BAGWAN</t>
  </si>
  <si>
    <t>Tahirhusen Zakirhusen Bagwan</t>
  </si>
  <si>
    <t>bagwantahirhusen@gmail.com</t>
  </si>
  <si>
    <t>p25700486@student.nicmar.ac.in</t>
  </si>
  <si>
    <t>04-Apr-2002</t>
  </si>
  <si>
    <t>9683 5930 1206</t>
  </si>
  <si>
    <t>VEGETABLE MERCHANT</t>
  </si>
  <si>
    <t>HAFIJA</t>
  </si>
  <si>
    <t>Near Malti Cloth Shop, Nandani Road, Shahunagar, Jaysingpur - 416101</t>
  </si>
  <si>
    <t>JAYPRABHA ENGLISH MEDIUM HIGHSCHOOL, JAYSINGPUR</t>
  </si>
  <si>
    <t>MAHARASHTRA STATE BOARD OF  SECONDARY AND HIGHER SECONDARY EDUCATION, PUNE</t>
  </si>
  <si>
    <t>VYANKATRAO HIGH SCHOOL AND JUNIOR COLLEGE, ICHALKARANJI</t>
  </si>
  <si>
    <t>SAVITRIBAI PHULE PUNE UNIVERSITY  PUNE.</t>
  </si>
  <si>
    <t>COEP TECHNOLOGICAL UNIVERSITY, PUNE</t>
  </si>
  <si>
    <t>AutoCAD,MS Office,MS Project,Primavera,Revit Architecture,Revit Structure,Revit MEP,Staad Pro</t>
  </si>
  <si>
    <t xml:space="preserve"> National Buildings Construction Corporation Limited (NBCC) | Project Management Intern | Greater Noida (NCR) | May 2026 | Jul 2026 | 9.7142857142857 Weeks | Campus Internship
PATEL BUILDERS AND DEVELOPERS | Intern | Jaysingpur, Kolhapur | Jan 2025 | Jun 2025 | 25.714285714286 Weeks</t>
  </si>
  <si>
    <t>Project Planning and Execution Management
REVIT STRUCTURE Associated with Project Management Institution
STADD PRO Associated with Project Management Institution
REVIT MEP Associated with Project Management Institution
REVIT ARCHITECTURE Associated with Project Management Institution
AUTOCAD 2D AND 3D Associated with Project Management Institution</t>
  </si>
  <si>
    <t>P25700487</t>
  </si>
  <si>
    <t>SHIVKUMAR</t>
  </si>
  <si>
    <t>VITTHALRAO</t>
  </si>
  <si>
    <t>ARMAL</t>
  </si>
  <si>
    <t>Shivkumar Vitthalrao Armal</t>
  </si>
  <si>
    <t>shivkumararmal@gmail.com</t>
  </si>
  <si>
    <t>p25700487@student.nicmar.ac.in</t>
  </si>
  <si>
    <t>English,Marathi, Hindi</t>
  </si>
  <si>
    <t>6483 0436 9820</t>
  </si>
  <si>
    <t>SHILPA</t>
  </si>
  <si>
    <t>E-182/6 CSTPS COLONY, URJANAGAR</t>
  </si>
  <si>
    <t>VIDYA MANDIR HIGH SCHOOL, URJANAGAR</t>
  </si>
  <si>
    <t>MAHARASHTRA STATE BOARD OF SECONDARY AND HIGHER SECONDARY EDUCATION, PUNE,MAHARASHTRA</t>
  </si>
  <si>
    <t>VIDYA NIKETAN JUNIOR COLLEGE, URJANAGAR</t>
  </si>
  <si>
    <t>SIPNA COLLEGE ENGINEERING AND TECHNOLOGY, AMRAVATI</t>
  </si>
  <si>
    <t>AutoCAD,MS Office,MS Project,REVIT,NAVISWORK</t>
  </si>
  <si>
    <t>GREEN ECOMES SOLUTION PVT. LTD. | BIM MEP ENGINEER | PUNE | Mar 2024 | Oct 2024 | 0Y 7M | 2.82</t>
  </si>
  <si>
    <t>BLUEPRINTS DESIGN CONSULTING SERVICES PVT.LTD. | BIM INTERN | PUNE | Oct 2023 | Dec 2023 | 10.714285714286 Weeks</t>
  </si>
  <si>
    <t>BIM PROFESSIONAL COURSE
AUTODESK CERTIFIED USER REVIT FOR ARCHITECTURE</t>
  </si>
  <si>
    <t>P25700488</t>
  </si>
  <si>
    <t>CHINMAY</t>
  </si>
  <si>
    <t>GADADINNI</t>
  </si>
  <si>
    <t>Chinmay S Gadadinni</t>
  </si>
  <si>
    <t>gadadinnichinmay36@gmail.com</t>
  </si>
  <si>
    <t>p25700488@student.nicmar.ac.in</t>
  </si>
  <si>
    <t>29-Oct-1999</t>
  </si>
  <si>
    <t>6129 2349 5121</t>
  </si>
  <si>
    <t>SHRISHAIL</t>
  </si>
  <si>
    <t>SUREKHA</t>
  </si>
  <si>
    <t>S/o Shrishail, #87, Mayuri Garden, Gokul Road, Behind New Bus Stand.</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</si>
  <si>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</si>
  <si>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</si>
  <si>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</si>
  <si>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</si>
  <si>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</si>
  <si>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AutoCAD,MS Office,MS Project,AUTODESK Revit</t>
  </si>
  <si>
    <t>SAMVARDDH ASSOCIATES Pvt Ltd | Site Engineer | Bengaluru | Feb 2024 | May 2024 | 0Y 2M | 3
Hella Infra Market Pvt Ltd | Graduate Engineer | Bengaluru | Sep 2021 | Apr 2022 | 0Y 6M | 4</t>
  </si>
  <si>
    <t>Ahluwalia Contracts(India) Limited  | Planning Intern | Bangalore, Karnataka  | May 2026 | Jul 2026 | 8.5714285714286 Weeks | Campus Internship
SHEJAWADKAR CONSTRUCTION COMPANY PVT LTD | Intern | Hubli | Oct 2020 | Nov 2020 | 4.5714285714286 Weeks</t>
  </si>
  <si>
    <t>Diploma Course in Civil CAD</t>
  </si>
  <si>
    <t>P25700489</t>
  </si>
  <si>
    <t>GALANGE</t>
  </si>
  <si>
    <t>Siddharth Mohan Galange</t>
  </si>
  <si>
    <t>siddharthgalange.29@gmail.com</t>
  </si>
  <si>
    <t>p25700489@student.nicmar.ac.in</t>
  </si>
  <si>
    <t>29-Jul-2003</t>
  </si>
  <si>
    <t>3232 4389 1302</t>
  </si>
  <si>
    <t>GITANJALI</t>
  </si>
  <si>
    <t>Pratibimb, Plot No. 6354/28, Urmilanagar, Chougule Mala, Near Abhaynagar, Sangli</t>
  </si>
  <si>
    <t>NAV KRISHNA VALLEY JR. COLLEGE</t>
  </si>
  <si>
    <t>RAJARAMBAPU INSTITUTE OF TECHNOLOGY, RAJARAMNAGAR, WALWA, MAHARASHTRA</t>
  </si>
  <si>
    <t>AutoCAD,MS Office,MS Project,Primavera,BBS,CostX</t>
  </si>
  <si>
    <t>Tejraj Group | Intern - Engineering | Baner, Pune | Jan 2025 | May 2025 | 20.714285714286 Weeks
Ascon Projects | Trainee Engineer | Sangli | Aug 2023 | Aug 2023 | 2.2857142857143 Weeks</t>
  </si>
  <si>
    <t>Construction Equipment Maintenance and Safety
Finance for Non-Financial Managers
Ethics in Engineering Practice</t>
  </si>
  <si>
    <t>P25700490</t>
  </si>
  <si>
    <t>RISHI</t>
  </si>
  <si>
    <t>PRADEEP</t>
  </si>
  <si>
    <t>DHAKULKAR</t>
  </si>
  <si>
    <t>Rishi Pradeep Dhakulkar</t>
  </si>
  <si>
    <t>rishidhakulkar12@gmail.com</t>
  </si>
  <si>
    <t>p25700490@student.nicmar.ac.in</t>
  </si>
  <si>
    <t>12-Mar-2001</t>
  </si>
  <si>
    <t>8905 4020 4531</t>
  </si>
  <si>
    <t>PRADEEP DHAKULKAR</t>
  </si>
  <si>
    <t>MANDA</t>
  </si>
  <si>
    <t>Wadgaon Road, Vitthalwadi Wani</t>
  </si>
  <si>
    <t>MACAROON STUDENTS ACADEMY WANI</t>
  </si>
  <si>
    <t>CENTRAL BOARD OF SECONDARY EDUCATION EDUCATION, MAHARASHTRA</t>
  </si>
  <si>
    <t>HISLOP COLLEGE NAGPUR</t>
  </si>
  <si>
    <t>SHRI RAMDEOBABA COLLEGE OF ENGINEERING AND MANAGEMENT, NAGPUR</t>
  </si>
  <si>
    <t>AutoCAD,MS Office,MS Project,Primavera,CostX,Revit,SAP</t>
  </si>
  <si>
    <t>Adani Realty | Assistant Manager | Mumbai | Jul 2023 | Jul 2025 | 2Y 0M | 8.48</t>
  </si>
  <si>
    <t>Shapoorji Pallonji Real Estate | Intern - Development Management  | Mumbai | May 2026 | Jul 2026 | 8.8571428571429 Weeks | Campus Internship
SMD Infrastructure | Intern | Wani | Jun 2021 | Aug 2021 | 11.428571428571 Weeks
Godbole Gates Pvt Ltd | Trainee | Nagpur | Feb 2023 | Jun 2023 | 19.428571428571 Weeks</t>
  </si>
  <si>
    <t>Primavera P6
FIDIC</t>
  </si>
  <si>
    <t>P25700491</t>
  </si>
  <si>
    <t>DHANAJIRAO</t>
  </si>
  <si>
    <t>Ganesh Dhanajirao Desai</t>
  </si>
  <si>
    <t>desaiganesh817@gmail.com</t>
  </si>
  <si>
    <t>p25700491@student.nicmar.ac.in</t>
  </si>
  <si>
    <t>4165 1267 6613</t>
  </si>
  <si>
    <t>DHANAJIRAO BALWANTRAO DESAI</t>
  </si>
  <si>
    <t>RETD. PROFESSOR</t>
  </si>
  <si>
    <t>URMILA DHANAJIRAO DESAI</t>
  </si>
  <si>
    <t>SCHOOL TEACHER</t>
  </si>
  <si>
    <t>TEERTH AVILLA,A-803,NEAR SUS,VIDYA VALLEY SCHOOL ROAD,PUNE</t>
  </si>
  <si>
    <t>Bal Pilae Sadan,Shikshak Colony,Karve Naka,Shaniwar Peth,Karad</t>
  </si>
  <si>
    <t>SHIKSHAN MANDAL SANSTHA'S ENGLISH MEDIUM SCHOOL,KARAD</t>
  </si>
  <si>
    <t>GOVERNMENT POLYTECHNIC,KARAD</t>
  </si>
  <si>
    <t>MIT WORLD PEACE UNIVERSITY,PUNE</t>
  </si>
  <si>
    <t>DR. VISHWANATH KARAD MIT WORLD PEACE UNIVERSITY,PUNE</t>
  </si>
  <si>
    <t>AutoCAD,MS Office,MS Project,Primavera,ARC-GIS,Q-GIS,BIM,Revit,Navisworks</t>
  </si>
  <si>
    <t>L.K. CONSTRUCTION, KARAD | ONSITE CIVIL INTERN TRAINEE(BUILDING CONSTRUCTION) | KARAD | Nov 2022 | May 2023 | 30.142857142857 Weeks</t>
  </si>
  <si>
    <t>Entrepreneurship -NPTEL Online Certification</t>
  </si>
  <si>
    <t>P25700492</t>
  </si>
  <si>
    <t>JATIN</t>
  </si>
  <si>
    <t>SHETIGAR</t>
  </si>
  <si>
    <t>Jatin Krishna Shetigar</t>
  </si>
  <si>
    <t>jatinshetigar2004@gmail.com</t>
  </si>
  <si>
    <t>p25700492@student.nicmar.ac.in</t>
  </si>
  <si>
    <t>22-Jan-2004</t>
  </si>
  <si>
    <t>6654 3940 1064</t>
  </si>
  <si>
    <t>GOVT CIVIL CONTRACTOR</t>
  </si>
  <si>
    <t>KALAVATI</t>
  </si>
  <si>
    <t>701,Yashwant Sankalp, Above Punjab National Bank, Old Viva College Road, Virar West</t>
  </si>
  <si>
    <t>MULJIBHAI MEHTA INTERNATIONAL SCHOOL</t>
  </si>
  <si>
    <t>UTKARSHA JR COLLEGE</t>
  </si>
  <si>
    <t>THAKUR COLLEGE OF ENGINEERING AND TECHNOLOGY, KANDIVALI EAST, MAHARASHTRA</t>
  </si>
  <si>
    <t>AutoCAD,MS Office,MS Project,Autodesk Revit,SketchUp</t>
  </si>
  <si>
    <t>Y.K. &amp; SONS | Site Engineer | Virar | Dec 2024 | Jan 2025 | 4.4285714285714 Weeks</t>
  </si>
  <si>
    <t>Associate Bar Bender and Steel Fixer</t>
  </si>
  <si>
    <t>P25700493</t>
  </si>
  <si>
    <t>Pranav Pradeep</t>
  </si>
  <si>
    <t>pranavprvk@gmail.com</t>
  </si>
  <si>
    <t>p25700493@student.nicmar.ac.in</t>
  </si>
  <si>
    <t>13-Apr-2000</t>
  </si>
  <si>
    <t>English, Malayalam, Hindi, Tamil</t>
  </si>
  <si>
    <t>7018 7092 6795</t>
  </si>
  <si>
    <t>PRADEEP SEKHARAN</t>
  </si>
  <si>
    <t>ACCOUNTS MANAGER</t>
  </si>
  <si>
    <t>SREERENJINI PRADEEP</t>
  </si>
  <si>
    <t>Sreenikethan_x000D_
Kuravilangad PO</t>
  </si>
  <si>
    <t>OUR OWN HIGH SCHOOL, AL WARQA'A, DUBAI, UAE</t>
  </si>
  <si>
    <t>CBSE - CENTRAL BOARD OF SECONDARY EDUCATION</t>
  </si>
  <si>
    <t>NATIONAL INSTITUTE OF TECHNOLOGY, CALICUT, KERALA</t>
  </si>
  <si>
    <t>AutoCAD,MS Office,MS Project,Revit / BIM,ERP Software</t>
  </si>
  <si>
    <t>L&amp;W Construction Pvt Ltd (INVRECO) | Assistant Manager - QS | Pune | Jul 2022 | Mar 2025 | 2Y 8M | 7.2</t>
  </si>
  <si>
    <t>Goa State Infrastructure Development Corporation | Management Intern | Goa | May 2026 | Jul 2026 | 8.7142857142857 Weeks | Campus Internship
AL BASTI &amp; MUKTHA LLC | TRAINEE INTERN | DUBAI, UAE | Dec 2021 | Dec 2021 | 3.2857142857143 Weeks</t>
  </si>
  <si>
    <t>Basics of Geocomputation and Geoweb Services
BIM Fundamentals for Engineers
Introduction to Programming with MATLAB
Indian Town Planning and Architecture
Finlatics Financial Market Experience Program
Finance for Non-Financial Managers
Ethics in Engineering Practice
Construction Equipment Maintenance &amp; Safety
Data Analysis (Statistics)
Construction Cost Estimating and Cost Control
Construction Finance</t>
  </si>
  <si>
    <t>P25700494</t>
  </si>
  <si>
    <t>P ADITHYA</t>
  </si>
  <si>
    <t>P Adithya Das</t>
  </si>
  <si>
    <t>padithyadas@gmail.com</t>
  </si>
  <si>
    <t>p25700494@student.nicmar.ac.in</t>
  </si>
  <si>
    <t>24-Jun-1998</t>
  </si>
  <si>
    <t>English Malayalam Hindi</t>
  </si>
  <si>
    <t>3574 4237 0116</t>
  </si>
  <si>
    <t>PC NARAYANA DAS</t>
  </si>
  <si>
    <t>SHYLAJA D</t>
  </si>
  <si>
    <t>Vaishnavam, House No 138, Street 12, Museum Cross Lane, Chembukkavu PO</t>
  </si>
  <si>
    <t>BHARATIYA VIDYA BHAVAN'S VIDYA MANDIR, POOCHATTY</t>
  </si>
  <si>
    <t>CENTRAL BOARD OF SECONDARY EDUCATION (CBSE)</t>
  </si>
  <si>
    <t>FEDERAL INSTITUTE OF SCIENCE AND TECHNOLOGY, ERNAKULAM, KERALA</t>
  </si>
  <si>
    <t>Primavera,Power BI,CAD,Costx,Autodesk Revit,Autodesk Navisworks,MS Office</t>
  </si>
  <si>
    <t>SOBHA LIMITED | Project Management Intern – Execution | Thrissur  | May 2026 | Jul 2026 | 9 Weeks | Campus Internship
FINCRUX TECHNOLOGIES LLP | MARKET RESEARCH ANALYST | MUMBAI | Jan 2026 | Apr 2026 | 9.2857142857143 Weeks</t>
  </si>
  <si>
    <t>Six Sigma Green Belt
Microsoft Data Visualization Fundamentals
Excel and Copilot Fundamentals -Microsoft
Finance for Non-Financial Managers - Emory University
Concreting Practices L&amp;T EduTech
Machinery for Concreting L&amp;T Edutech</t>
  </si>
  <si>
    <t>P25700495</t>
  </si>
  <si>
    <t>KOLHE</t>
  </si>
  <si>
    <t>Sahil Arun Kolhe</t>
  </si>
  <si>
    <t>sahilkolhe006@gmail.com</t>
  </si>
  <si>
    <t>p25700495@student.nicmar.ac.in</t>
  </si>
  <si>
    <t>11-Jul-2001</t>
  </si>
  <si>
    <t>7223 1566 1773</t>
  </si>
  <si>
    <t>ARUN KOLHE</t>
  </si>
  <si>
    <t>VARSHA KOLHE</t>
  </si>
  <si>
    <t>FLAT 14 WING 4 VISAVA HEIGHTS DP ROAD AUNDH, PUNE.</t>
  </si>
  <si>
    <t>DAV PUBLIC SCHOOL, PUNE.</t>
  </si>
  <si>
    <t>CENTRAL BOARD OF SECONDARY EDUCATION, CBSE, PUNE MAHARASHTRA</t>
  </si>
  <si>
    <t>ALL INDIA SHRI SHIVAJI MEMORIAL SOCIETY (AISSMS) POLYTECHNIC, PUNE.</t>
  </si>
  <si>
    <t>SAVITRIBAI PHULE PUNE UNIVERSITY, PUNE.</t>
  </si>
  <si>
    <t>DR. D.Y. PATIL INSTITUTE OF TECHNOLOGY, PIMPRI, PUNE.</t>
  </si>
  <si>
    <t>2023-Nov</t>
  </si>
  <si>
    <t>STATE STREET GLOBAL ADVISORS | Investment banking analyst | Bangalore, India | Feb 2024 | Aug 2024 | 0Y 6M | 3</t>
  </si>
  <si>
    <t>P25700496</t>
  </si>
  <si>
    <t>SAMYAK</t>
  </si>
  <si>
    <t>SANCHETI</t>
  </si>
  <si>
    <t>Samyak Shailesh Sancheti</t>
  </si>
  <si>
    <t>sanchetisamyak450@gmail.com</t>
  </si>
  <si>
    <t>p25700496@student.nicmar.ac.in</t>
  </si>
  <si>
    <t>13-Aug-2000</t>
  </si>
  <si>
    <t>English , Hindi , Marathi , Marwadi</t>
  </si>
  <si>
    <t>9198 2908 1677</t>
  </si>
  <si>
    <t>SAPNA</t>
  </si>
  <si>
    <t>FLAT NO 202 , LIVIA BY RATHI , DANGE CHOWK ROAD , BHUMKAR NAGAR, WAKAD , PIMPRI CHINCHWAD</t>
  </si>
  <si>
    <t>Shri Arihant Kapad Dalan  Tilak Road , Vaijapur</t>
  </si>
  <si>
    <t>SAINT MONICA HIGH SCHOOL</t>
  </si>
  <si>
    <t>MAHARASHTRA STATE BOARD OF SECONDARY AND HIGHER SECONDARY EDUCATION , AURANGABAD</t>
  </si>
  <si>
    <t>RAJE SAMBHAJI JUNIOR COLLEGE</t>
  </si>
  <si>
    <t>SAVITRIBAI PHULE UNIVERSITY</t>
  </si>
  <si>
    <t>SNJB'S LATE SAU K.B JAIN COLLEGE OF ENGINEERING , CHANDWAD , MAHARASHTRA</t>
  </si>
  <si>
    <t>Senghani creators pvt ltd | Trainee engineer  | Dombivli ,thane | Aug 2023 | Nov 2024 | 1Y 3M | 2.16
Runwal group | junior engineer | Dombivli Thane | Dec 2024 | Jun 2025 | 0Y 6M | 3.5</t>
  </si>
  <si>
    <t>Managing team conflict
Managing your emotional response to workplace stress
Communication foundations
Develop interpersonal skills for inclusive workplaces
Construction cost estimating and cost control
Renewable energy and green building entrepreneurship</t>
  </si>
  <si>
    <t>P25700497</t>
  </si>
  <si>
    <t>NANDANA</t>
  </si>
  <si>
    <t>Akshay Nandana</t>
  </si>
  <si>
    <t>akshaynandana4@gmail.com</t>
  </si>
  <si>
    <t>p25700497@student.nicmar.ac.in</t>
  </si>
  <si>
    <t>13-Aug-2003</t>
  </si>
  <si>
    <t>7603 3858 4616</t>
  </si>
  <si>
    <t>SUDHAKAR NANDANA</t>
  </si>
  <si>
    <t>SRIDEVI NANDANA</t>
  </si>
  <si>
    <t>7-365, Komati Peta, Palakonda</t>
  </si>
  <si>
    <t>SEETHA MAHALAKSHMI DAV PUB SCH</t>
  </si>
  <si>
    <t>CENTRAL BOARD OF SECONDARY EDUCATON , PALAKONDA</t>
  </si>
  <si>
    <t>TIRUMALA JUNIOR COLLEGE</t>
  </si>
  <si>
    <t>BOARD OF INTERMEDIATE EDUCATION ANDHRA PRADESH , RAJULATALLAVALASA</t>
  </si>
  <si>
    <t>J.N.T. UNIVERSITY KAKINADA</t>
  </si>
  <si>
    <t>GAYATRI VIDYA PARISHAD COLLEGE OF ENGINEERING , VISAKHAPATNAM</t>
  </si>
  <si>
    <t>The Sri Sai Kruoa Homes | Industry Internship | SRIKAKULAM | May 2023 | Jun 2023 | 2.7142857142857 Weeks
SAI SRI CONSTRUCTIONS | INDUSTRY INTERNSHIP | VISAKHAPATNAM | Dec 2024 | Mar 2025 | 13.142857142857 Weeks
VYAS CANCER RESEARCH PVT.LTD | INDUSTRY INTERNSHIP | VISAKHAPATNAM | Mar 2025 | Jun 2025 | 12.857142857143 Weeks</t>
  </si>
  <si>
    <t>BIM using Revit Architecture
Design and Drafting using Autocad 2D &amp; 3D</t>
  </si>
  <si>
    <t>P25700498</t>
  </si>
  <si>
    <t>PANIGRAHI</t>
  </si>
  <si>
    <t>Vedant Panigrahi</t>
  </si>
  <si>
    <t>vpanigrahidec22@gmail.com</t>
  </si>
  <si>
    <t>p25700498@student.nicmar.ac.in</t>
  </si>
  <si>
    <t>22-Dec-2001</t>
  </si>
  <si>
    <t>8508 2355 5016</t>
  </si>
  <si>
    <t>BISWAJIT PANIGRAHI</t>
  </si>
  <si>
    <t>RETIRED STATE GOVT OF ODISHA ENGINEER IN IRRIGATION DEPARTMENT</t>
  </si>
  <si>
    <t>GITANJALI PANIGRAHI</t>
  </si>
  <si>
    <t>PANIGRAHI BHAWAN INFRONT OF SINDHI BHAWAN_x000D_
SHAKTINAGAR BARGARH</t>
  </si>
  <si>
    <t>Bargarh</t>
  </si>
  <si>
    <t>VIKASH RESIDENTIAL SCHOOL</t>
  </si>
  <si>
    <t>CENTRAL BOARD OF SECONDARY EDUCATION,ODISHA</t>
  </si>
  <si>
    <t>BIJU PATTNAIK UNIVERSITY OF TECHNOLOGY,ODISHA ROURKELA</t>
  </si>
  <si>
    <t>PARALA MAHARAJA ENGINEERING COLLEGE,BERHAMPUR</t>
  </si>
  <si>
    <t>AutoCAD,MS Office,MS Project,SAP S4 HANA</t>
  </si>
  <si>
    <t>BOXOFFICE SPACES | PROCUREMENT INTERN | PUNE | May 2026 | Jul 2026 | 8.7142857142857 Weeks | Campus Internship
SAAT PHERE INDIA | PROGRAMME MANAGER | BHILLAI | Oct 2022 | Oct 2022 | 4.1428571428571 Weeks
ROURKELA STEEL PLANT | TOWN PLANING DEPARTMENT | ROURKELA | May 2024 | Jun 2024 | 4.2857142857143 Weeks</t>
  </si>
  <si>
    <t>SAP Certified Associate - SAP S/4HANA Cloud Private Edition, SourcingÂ andÂ Procurement</t>
  </si>
  <si>
    <t>P25700499</t>
  </si>
  <si>
    <t>SINGH SHUBHAM</t>
  </si>
  <si>
    <t>ASHWANI KUMAR</t>
  </si>
  <si>
    <t>Singh Shubham Kumar Ashwani Kumar</t>
  </si>
  <si>
    <t>ss1881720@gmail.com</t>
  </si>
  <si>
    <t>p25700499@student.nicmar.ac.in</t>
  </si>
  <si>
    <t>13-Oct-1998</t>
  </si>
  <si>
    <t>3241 6462 9550</t>
  </si>
  <si>
    <t>ASHWANI SHIVMURTI SINGH</t>
  </si>
  <si>
    <t>RIKSHA DRIVER</t>
  </si>
  <si>
    <t>SHEELA SINGH</t>
  </si>
  <si>
    <t>D/wing 304, Om Sai Shraddha Apt Ostwal Nagari Nalasopara East</t>
  </si>
  <si>
    <t>B L RUIA HIGH SCHOOL</t>
  </si>
  <si>
    <t>MAHARASHTRA STATE BOARD OF SECONDARY AND HIGHER SECONDARY EDUCATION- MUMBAI- MAHARASHTRA</t>
  </si>
  <si>
    <t>BHAVANS COLLEGE</t>
  </si>
  <si>
    <t>STALLION CONSTRUCTIONS | SITE ENGINNER | KANDIVALI- MUMBAI | May 2021 | Nov 2022 | 1Y 6M | 1.92
BKS ASSOCIATE | JUNIOR ENGINNER | THANE- MUMBAI | Nov 2022 | Oct 2023 | 0Y 11M | 2.68
Talib and shamsi construction pvt ltd | JUNIOR ENGINNER | THANE-BORIVALI-MUMBAI | Nov 2023 | Jun 2025 | 1Y 7M | 3.32</t>
  </si>
  <si>
    <t>4 Years 1 Month</t>
  </si>
  <si>
    <t>Sobha Limited India  | Costing Intern  | Bengaluru | May 2026 | Jul 2026 | 9 Weeks | Campus Internship</t>
  </si>
  <si>
    <t>APTECH COMPUTER EDUCATION</t>
  </si>
  <si>
    <t>P25700500</t>
  </si>
  <si>
    <t>ARURU</t>
  </si>
  <si>
    <t>CHARAN SAI</t>
  </si>
  <si>
    <t>Aruru Charan Sai</t>
  </si>
  <si>
    <t>aruru.charansai31@gmail.com</t>
  </si>
  <si>
    <t>p25700500@student.nicmar.ac.in</t>
  </si>
  <si>
    <t>31-Jul-2002</t>
  </si>
  <si>
    <t>8230 1506 6300</t>
  </si>
  <si>
    <t>ARURU ARAVIND KRISHNA</t>
  </si>
  <si>
    <t>ARURU MADHURI</t>
  </si>
  <si>
    <t>00,ARURU Village,Chitamuru Mandal,Tirupati Dist.</t>
  </si>
  <si>
    <t>RATNAM EM HIGH SCHOOL</t>
  </si>
  <si>
    <t>TIRUMALA JUNIOR KALASALA</t>
  </si>
  <si>
    <t>SRI VENKATESWARA UNIVERSITY</t>
  </si>
  <si>
    <t>SRI VENKATESWARA UNIVERSITY COLLEGE OF ENGINEERING-TIRUPATI/ANDHRA PRADESH</t>
  </si>
  <si>
    <t>AutoCAD,MS Office,MS Project,Primavera,infor</t>
  </si>
  <si>
    <t>NAGARJUNA CONSTRUCTION COMPANY (NCC) Ltd. | Quantity Surveyor-GET | Navi Mumbai | May 2024 | May 2025 | 1Y 0M | 3.2</t>
  </si>
  <si>
    <t>Deloitte Touche Tohmatsu India LLP | Intern-Audit and Assurance | Bengaluru | May 2026 | Jul 2026 | 8.5714285714286 Weeks | Campus Internship
GOVERNAMENT OF ANDHRA PRADESH | STUDENT | RAYADURG | May 2023 | May 2023 | 4.2857142857143 Weeks</t>
  </si>
  <si>
    <t>NPTEL-Air Pollution and Control
NPTEL-Ethics in Engineering
NPTEL-Leadership and Team Effectiveness
NPTEL-Soft Skills</t>
  </si>
  <si>
    <t>P25700501</t>
  </si>
  <si>
    <t>RAMINENI</t>
  </si>
  <si>
    <t>SAI SHIFRANTH</t>
  </si>
  <si>
    <t>VARMA</t>
  </si>
  <si>
    <t>Ramineni Sai Shifranth Varma</t>
  </si>
  <si>
    <t>shifranth@gmail.com</t>
  </si>
  <si>
    <t>p25700501@student.nicmar.ac.in</t>
  </si>
  <si>
    <t>English Hindi Telugu</t>
  </si>
  <si>
    <t>5234 3964 6126</t>
  </si>
  <si>
    <t>RAMINENI VENKATESHWARLU</t>
  </si>
  <si>
    <t>GOVT TEACHER (SA MATHS)</t>
  </si>
  <si>
    <t>Y SNEHA</t>
  </si>
  <si>
    <t>GOVT TEACHER (SA BIOSCIENCE)</t>
  </si>
  <si>
    <t>Plot No 95 Road No 10/B Sree Venkateshwara Colony Kuntloor Hayathnagar Abdulapurmet Mandal Kv Ranga Reddy District Hyderabad Telangana</t>
  </si>
  <si>
    <t>NARAYANA HIGH SCHOOL</t>
  </si>
  <si>
    <t>OSMANIA UNIVERSITY HYDERABAD</t>
  </si>
  <si>
    <t>MVSR ENGINEERING COLLEGE, HYDERABAD</t>
  </si>
  <si>
    <t>AutoCAD,MS Office,MS Project,Primavera,MS Word,MS Excel,Sketchup,Enscape</t>
  </si>
  <si>
    <t>GREATER HYDERABAD MUNICIPAL CORPORATION, GOVERNMENT OF TELANGANA | SUMMER INTERNSHIP | HYDERABAD | May 2023 | Jun 2023 | 4.4285714285714 Weeks
National Academy Of Construction | Finishing School Programme | Hyderabad  | Dec 2024 | Mar 2025 | 13.285714285714 Weeks</t>
  </si>
  <si>
    <t>4 DAYS HAND'S ON WORKSHOP AT LAURIE BAKER Centre for Habitat Studies, Trivandrum, Kerala
INFRASTRUCTURE ENTREPRENEURSHIP COURSE, CONTRACTOR DEVLOPMENT INISTITUTE HYDERABAD
3-MONTHS FINISHING SCHOOL PROGRAM, NATIONAL ACADEMY OF CONSTRUCTION, HYDERABAD
Project - Monitoring and Control
Lean Six Sigma - Green Belt
Resource and Waste Management in Buildings
Comforts In Building by L&amp;T Edu Tech
Finance for Non-Financial Managers</t>
  </si>
  <si>
    <t>P25700502</t>
  </si>
  <si>
    <t>SHAIKH</t>
  </si>
  <si>
    <t>UMAR</t>
  </si>
  <si>
    <t>FAROOQ</t>
  </si>
  <si>
    <t>Shaikh Umar Farooq</t>
  </si>
  <si>
    <t>shaikharumar018@gmail.com</t>
  </si>
  <si>
    <t>p25700502@student.nicmar.ac.in</t>
  </si>
  <si>
    <t>17-Nov-2001</t>
  </si>
  <si>
    <t>9753 9170 4273</t>
  </si>
  <si>
    <t>SHAIKH ISMAIL</t>
  </si>
  <si>
    <t>MOHAMMEDI</t>
  </si>
  <si>
    <t>5-993/78/B_x000D_
RING ROAD MAHBOOB NAGAR_x000D_
NEAR MADEENA MASJID GULBARGA</t>
  </si>
  <si>
    <t>FARAAN ENGLISH MEDIUM HIGH SCHOOL</t>
  </si>
  <si>
    <t>KALABURAGI/KARNATAKA</t>
  </si>
  <si>
    <t>AL SHARAY PU COLLEGE OF SCIENCE</t>
  </si>
  <si>
    <t>SHARNBASAVA UNIVERSITY</t>
  </si>
  <si>
    <t>SHARNBASAVA UNIVERSITY KALABURAGI/KARNATAKA</t>
  </si>
  <si>
    <t>AutoCAD,,Sketchup,lumion,Revit,Navisworks,COSTx,MS Office,MS Project,Primavera</t>
  </si>
  <si>
    <t>THE BIG STOREY | Junior Architect | kalaburagi | Jul 2024 | Jun 2025 | 0Y 11M | 1.44</t>
  </si>
  <si>
    <t>THE BIG STOREY | Intern  | KALABURAGI | Feb 2024 | May 2024 | 17.142857142857 Weeks
NA ARCHITECTS | Intern  | Hyderabad | Sep 2023 | Jan 2024 | 15.571428571429 Weeks</t>
  </si>
  <si>
    <t>P25700503</t>
  </si>
  <si>
    <t>JEVANAND</t>
  </si>
  <si>
    <t>Jevanand B</t>
  </si>
  <si>
    <t>jevabalakavi@gmail.com</t>
  </si>
  <si>
    <t>p25700503@student.nicmar.ac.in</t>
  </si>
  <si>
    <t>03-May-2002</t>
  </si>
  <si>
    <t>8683 1073 4212</t>
  </si>
  <si>
    <t>BALAMURUGAN M</t>
  </si>
  <si>
    <t>EMPLOYEE IN MNC</t>
  </si>
  <si>
    <t>KAVITHA B</t>
  </si>
  <si>
    <t>WORKING IN MEDICAL SHOP</t>
  </si>
  <si>
    <t>MIG-2, Plot.No-4, Phase - 15 TNHB, Mullainagar, Hosur</t>
  </si>
  <si>
    <t>Krishnagiri</t>
  </si>
  <si>
    <t>ST. JOSEPH'S MATRIC HIGH SCHOOL SIPCOT HOUSING COLONY, DHARGA</t>
  </si>
  <si>
    <t>SRI VIJAY VIDYALAYA MATRIC HR SEC SCHOOL HOSUR</t>
  </si>
  <si>
    <t>SCHOOL OF ARCHITECTURE AND PLANNING, CHENNAI</t>
  </si>
  <si>
    <t>AutoCAD,MS Office,MS Project,Primavera,Sketchup,Revit,Illustrator,Photoshop,Indesign,DaVinci Resolve,CostX</t>
  </si>
  <si>
    <t>SPONGE COLLABORATIVE, SAMANEA CONSULTANCY PRIVATE LIMITED | INTERN ARCHITECT | CHENNAI | Jan 2024 | Jun 2024 | 19.285714285714 Weeks</t>
  </si>
  <si>
    <t>Introduction To Cognitive Psychology - NPTEL
Registered Architect in COA (Council of Architecture)
Finance for Non-Financial Managers - Coursera
Gem Sports Prize for Best Sportsperson for the Year 2024 in School of Architecture and Planning, Anna University
Ethics in Engineering Practice - NPTEL</t>
  </si>
  <si>
    <t>P25700504</t>
  </si>
  <si>
    <t>PATHADE</t>
  </si>
  <si>
    <t>Ankit Ashok Pathade</t>
  </si>
  <si>
    <t>ankitpathade7@gmail.com</t>
  </si>
  <si>
    <t>p25700504@student.nicmar.ac.in</t>
  </si>
  <si>
    <t>28-Jan-2000</t>
  </si>
  <si>
    <t>9422 0100 6743</t>
  </si>
  <si>
    <t>ASHOK PATHADE</t>
  </si>
  <si>
    <t>SAVITA PATHADE</t>
  </si>
  <si>
    <t>FLAT NO -302, 3RD FLOOR, SHANTI RESIDENCY, SIDHATEK SOCIETY</t>
  </si>
  <si>
    <t>HOUSE NO.1475/3, GURUKRUPA NIWAS, AHILYADEVINAGAR, JAFRABAD, JALNA</t>
  </si>
  <si>
    <t>Jalna</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</si>
  <si>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</si>
  <si>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</si>
  <si>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</si>
  <si>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</si>
  <si>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</si>
  <si>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</si>
  <si>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Design 11 | Junior Architect | Baner, pune | Jan 2024 | Jun 2025 | 1Y 5M | 2.52</t>
  </si>
  <si>
    <t>Savvy infrastructure  | Quantity surveying and billing  | Gift city, Gandhinagar,Gujrat | May 2026 | Jul 2026 | 8.7142857142857 Weeks | Campus Internship
PLANOSCAPES ARCHITECTS AND PLANNERS | INTERN | MUMBAI | Dec 2021 | Apr 2022 | 21.428571428571 Weeks</t>
  </si>
  <si>
    <t>P25700505</t>
  </si>
  <si>
    <t>PRUTHVIRAJ</t>
  </si>
  <si>
    <t>KHANDVE</t>
  </si>
  <si>
    <t>Pruthviraj Prashant Khandve</t>
  </si>
  <si>
    <t>pruthvirajkhandve5@gmail.com</t>
  </si>
  <si>
    <t>p25700505@student.nicmar.ac.in</t>
  </si>
  <si>
    <t>23-Dec-2001</t>
  </si>
  <si>
    <t>7138 3894 8457</t>
  </si>
  <si>
    <t>PRASHANT VITTHALRAO KHANDVE</t>
  </si>
  <si>
    <t>CIVIL ENGINEER &amp; GOVERNMENT  CONTRACTOR</t>
  </si>
  <si>
    <t>NEHA PRASHANT KHANDVE</t>
  </si>
  <si>
    <t>Lane Number 5, Neelanjali Society, Kalyani Nagar,_x000D_
Pune - 411006</t>
  </si>
  <si>
    <t>THE BISHOPS SCHOOL, KALYANI NAGAR, PUNE-411006</t>
  </si>
  <si>
    <t>INDIAN CERTIFICATE OF SECONDARY EDUCATION, PUNE, MAHARASHTRA</t>
  </si>
  <si>
    <t>FERGUSSON JUNIOR COLLEGE</t>
  </si>
  <si>
    <t>HIGHER SECONDARY CERTIFICATE, PUNE, MAHARASHTRA.</t>
  </si>
  <si>
    <t>SAVITRIBAI PUNE PHULE UNIVERSITY</t>
  </si>
  <si>
    <t>SINHGAD COLLEGE OF ENGINEERING, PUNE, MAHARASHTRA.</t>
  </si>
  <si>
    <t>Pune Metro Rail Corporation Limited | Civil, constrtuction intern | Phugewadi metro office | May 2026 | Jul 2026 | 9.7142857142857 Weeks | Campus Internship
SIDDHIVINAYAK ENTERPRISES | INTERN | VISHRANTWADI-TINGRE NAGAR  | Sep 2024 | Mar 2025 | 25.857142857143 Weeks
AMAR BUTTEPATIL GROUP | INTERN | SAHAKAR NAGAR | Jan 2023 | Feb 2023 | 4.4285714285714 Weeks</t>
  </si>
  <si>
    <t>P25700506</t>
  </si>
  <si>
    <t>ANIMESH</t>
  </si>
  <si>
    <t>Animesh Sinha</t>
  </si>
  <si>
    <t>animeshsinha001@gmail.com</t>
  </si>
  <si>
    <t>p25700506@student.nicmar.ac.in</t>
  </si>
  <si>
    <t>02-Jul-2000</t>
  </si>
  <si>
    <t>6028 9875 0134</t>
  </si>
  <si>
    <t>AWADHESH KUMAR SINHA</t>
  </si>
  <si>
    <t>ABHA SINHA</t>
  </si>
  <si>
    <t>ULTIMA HOSTEL, NICMAR UNIVERSITY, BANER, PUNE</t>
  </si>
  <si>
    <t>303 B Block, Shiv Shankar Apartment Kitadih, Jamshedpur</t>
  </si>
  <si>
    <t>East Singhbhum</t>
  </si>
  <si>
    <t>DBMS KADMA HIGH SCHOOL</t>
  </si>
  <si>
    <t>KOLHAN INTER COLLEGE CHALIYAMA DAM</t>
  </si>
  <si>
    <t>JHARKHAND ACADEMIC COUNCIL RANCHI, JHARKHAND</t>
  </si>
  <si>
    <t>CV RAMAN GLOBAL UNIVERSITY</t>
  </si>
  <si>
    <t>CV RAMAN GLOBAL UNIVERSITY, ODISHA</t>
  </si>
  <si>
    <t>HINDUSTAN CONSTRUCTION COMPANY LTD | PLANNING ENGINEER | MURUD, RAIGHAD, MAHARASHTRA | Jul 2023 | Jul 2025 | 2Y 0M | 6.22</t>
  </si>
  <si>
    <t>SNTI TATA STEEL | CONSTRUCTION PLANNING AND MANAGEMENT | JAMSHEDPUR | Jun 2022 | Jun 2022 | 4 Weeks</t>
  </si>
  <si>
    <t>P25700507</t>
  </si>
  <si>
    <t>RUPESH</t>
  </si>
  <si>
    <t>Rupesh Ramesh Kadam</t>
  </si>
  <si>
    <t>rupeshkadam463@gmail.com</t>
  </si>
  <si>
    <t>p25700507@student.nicmar.ac.in</t>
  </si>
  <si>
    <t>07-Nov-1999</t>
  </si>
  <si>
    <t>3617 8513 9886</t>
  </si>
  <si>
    <t>RAMESH KADAM</t>
  </si>
  <si>
    <t>RUPALI KADAM</t>
  </si>
  <si>
    <t>101, DAFFODILE B WING, KAILASH NAGAR, VADAVALI SECTION, MIDC ROAD, AMBERNATH EAST</t>
  </si>
  <si>
    <t>GURUKUL GRAND UNION HIGH SCHOOL</t>
  </si>
  <si>
    <t>B R HARNE COLLEGE OF ENGINEERING AND TECHNOLOGY</t>
  </si>
  <si>
    <t>SHIVAJIRAO S JONDHLE COLLEGE OF ENGINEERING AND TECHNOLOGY</t>
  </si>
  <si>
    <t>AutoCAD,MS Office,MS Project,Primavera,STAAD PRO,ETABS,REVIT</t>
  </si>
  <si>
    <t>P25700508</t>
  </si>
  <si>
    <t>SAVALE</t>
  </si>
  <si>
    <t>UMESH</t>
  </si>
  <si>
    <t>Savale Atharva Umesh</t>
  </si>
  <si>
    <t>17.savale@gmail.com</t>
  </si>
  <si>
    <t>p25700508@student.nicmar.ac.in</t>
  </si>
  <si>
    <t>17-Sep-2000</t>
  </si>
  <si>
    <t>4794 9545 0814</t>
  </si>
  <si>
    <t>UMESH GOVIND SAVALE</t>
  </si>
  <si>
    <t>VIJAYA UMESH SAVALE</t>
  </si>
  <si>
    <t>Lane No- B-18, Flat No-12, Ujwal Kunj 2, Raikar Nagar, Dhayari, Pune</t>
  </si>
  <si>
    <t>DNYANGANGA ENGLISH MEDIUM SCHOOL, PUNE</t>
  </si>
  <si>
    <t>SOU VENUTAI CHAVAN POLYTECHNIC, PUNE</t>
  </si>
  <si>
    <t>RMD SINHGAD SCHOOL OF ENGINEERING, WARJE, PUNE</t>
  </si>
  <si>
    <t>Aditya Constructions | Site Engineer | Pune | Sep 2022 | Nov 2023 | 1Y 2M | 1.8
Calypso Reality | Junior Site Engineer | Pune | Dec 2023 | Sep 2024 | 0Y 9M | 2.28</t>
  </si>
  <si>
    <t>P25700510</t>
  </si>
  <si>
    <t>NIMBARTE</t>
  </si>
  <si>
    <t>Prathamesh Arun Nimbarte</t>
  </si>
  <si>
    <t>prathameshnimbarte99@gmail.com</t>
  </si>
  <si>
    <t>p25700510@student.nicmar.ac.in</t>
  </si>
  <si>
    <t>03-Jun-1999</t>
  </si>
  <si>
    <t>9123 9996 9266</t>
  </si>
  <si>
    <t>NO</t>
  </si>
  <si>
    <t>NALINI</t>
  </si>
  <si>
    <t>SADHGURU RESIDENCY, BEHIND YASHORAHI HOSPITAL, SHIVANE, PUNE</t>
  </si>
  <si>
    <t>24, ANAND VIHAR COLONY, VIDYUT NAGAR, V.M.V ROAD, AMRAVATI</t>
  </si>
  <si>
    <t>PRATHAMESH ARUN NIMBARTE</t>
  </si>
  <si>
    <t>PRAVIN RAMCHANDRAJI PATIL INSTITUTE OF POLYTECHNIC AND TECHNOLOGY, AMRAVATI</t>
  </si>
  <si>
    <t>GYANCHAD HARIKISANDAS RAISONI COLLEGE OF ENGINEERING, AMRAVATI</t>
  </si>
  <si>
    <t>AutoCAD,MS Office,MS Project,Primavera,CostX Software,BIM REVIT</t>
  </si>
  <si>
    <t>PINNACLE CONSTRUCTIONS | JUNIOR / SITE ENGINEER | Pune | Aug 2024 | May 2025 | 0Y 8M | 2.4</t>
  </si>
  <si>
    <t>F.CAD.CONSTRUCTION | AUTO-CAD Drafter | Amravati | May 2018 | Jul 2018 | 7.4285714285714 Weeks</t>
  </si>
  <si>
    <t>P25700511</t>
  </si>
  <si>
    <t>JAY</t>
  </si>
  <si>
    <t>Jay Kiran Jadhav</t>
  </si>
  <si>
    <t>jayjadhav811@gmail.com</t>
  </si>
  <si>
    <t>p25700511@student.nicmar.ac.in</t>
  </si>
  <si>
    <t>26-Dec-2002</t>
  </si>
  <si>
    <t>6906 8512 0121</t>
  </si>
  <si>
    <t>KIRAN JADHAV</t>
  </si>
  <si>
    <t>At Post Pande Taluka - Wai District - Satara</t>
  </si>
  <si>
    <t>SINHGAD SPRING DALE PUBLIC SCHOOL</t>
  </si>
  <si>
    <t>BHARTI VIDHYAPEETH'S JAWAHARLAL NEHRU INSTITUTE OF TECHNOLOGY PUNE MAHARASHTRA</t>
  </si>
  <si>
    <t>RMD SINHGAD SCHOOL OF ENGINEERING PUNE MAHARASHTRA</t>
  </si>
  <si>
    <t>AutoCAD,MS Project,Primavera,Revit,CostX</t>
  </si>
  <si>
    <t>Badiyani Constructions | Design Coordination + Execution  | Pune  | May 2026 | Jul 2026 | 9.7142857142857 Weeks | Campus Internship
Ravindra Construction | Promoters And Builders | Pune | Oct 2024 | Apr 2025 | 30.142857142857 Weeks</t>
  </si>
  <si>
    <t>P25700512</t>
  </si>
  <si>
    <t>D H</t>
  </si>
  <si>
    <t>Akhil Gowda D H</t>
  </si>
  <si>
    <t>dhakhilgowda@gmail.com</t>
  </si>
  <si>
    <t>p25700512@student.nicmar.ac.in</t>
  </si>
  <si>
    <t>2117 1976 8262</t>
  </si>
  <si>
    <t>HEMANTH KUMAR</t>
  </si>
  <si>
    <t>AGRICULTURIST</t>
  </si>
  <si>
    <t>SUKANYA</t>
  </si>
  <si>
    <t>#143, Salagame Road, Dasarakoppalu Hassan</t>
  </si>
  <si>
    <t>Hassan</t>
  </si>
  <si>
    <t>HOLY CROSS SISTERS HIGH SCHOOL</t>
  </si>
  <si>
    <t>MASTERS PU COLLEGE</t>
  </si>
  <si>
    <t>Microsoft Excel, Microsoft PowerPoint, Microsoft Word, Microsoft Project, Primavera P6</t>
  </si>
  <si>
    <t>CBRE India | Valuation &amp; Advisory Intern | Bengaluru, Karnataka | May 2026 | Jul 2026 | 11 Weeks | Campus Internship
KHAM DESIGN | ARCHITECTURAL INTERN | BENGALURU | Jan 2025 | Apr 2025 | 15.571428571429 Weeks</t>
  </si>
  <si>
    <t>The Three Pillars of Effective Communications by PMI
Six Sigma: Green Belt by Project management Institute
Real Estate Financial Modeling</t>
  </si>
  <si>
    <t>P25700513</t>
  </si>
  <si>
    <t>Rakesh V</t>
  </si>
  <si>
    <t>rakeshreddyraki1211@gmail.com</t>
  </si>
  <si>
    <t>p25700513@student.nicmar.ac.in</t>
  </si>
  <si>
    <t>06-Oct-2002</t>
  </si>
  <si>
    <t>ENGLISH, HINDI, KANNADA ,TELUGU</t>
  </si>
  <si>
    <t>2804 7148 2601</t>
  </si>
  <si>
    <t>VENKATA REDDY</t>
  </si>
  <si>
    <t>GEETHAMMA</t>
  </si>
  <si>
    <t>15, 1ST CROSS RD, MARUTHI LAYOUT, ROYAL SHELTERS STAGE 4,BOMMANAHALLI,BENGALURU,</t>
  </si>
  <si>
    <t>KADEHALLI VILLAGE, GUDIBANDE TALUK, CHIKKABALLAPUR DISTRICT</t>
  </si>
  <si>
    <t>Chikkaballapur</t>
  </si>
  <si>
    <t>NEW HORIZON ENGLISH SCHOOL</t>
  </si>
  <si>
    <t>VARADADRI PU COLLEGE</t>
  </si>
  <si>
    <t>NITTE MEENAKSHI INSTITUTE OF TECHNOLOGY,BANGALORE</t>
  </si>
  <si>
    <t>AutoCAD,MS Office,MS Project,Primavera,BIM,STAAD PRO,costx</t>
  </si>
  <si>
    <t>MANA PROJECTS PVT LTD | PROJECT INTERN | BENGALURU | May 2026 | Jul 2026 | 8.7142857142857 Weeks | Campus Internship
ANR CONSTRUCTIONS | INTERN | Bagepalli  | Jul 2023 | Nov 2023 | 17.714285714286 Weeks</t>
  </si>
  <si>
    <t>PROJECT PLANING AND MANAGEMENT
AROGYA BHARATHI TRUST (NGO)
GEOGRAPHIC INFORMATION SYSTEM
SAFETY IN CONSTRUCTION
3D MODEL CREATION WITH AUTODESK FUSION 360
BIM FUNDAMENTALS FOR  ENGINEERS
BIM APPLICATION FOR ENGINEERS
BIM Revit</t>
  </si>
  <si>
    <t>P25700514</t>
  </si>
  <si>
    <t>Abhinav Sharma</t>
  </si>
  <si>
    <t>abhinav.info15@gmail.com</t>
  </si>
  <si>
    <t>p25700514@student.nicmar.ac.in</t>
  </si>
  <si>
    <t>26-Sep-2002</t>
  </si>
  <si>
    <t>8143 4072 6007</t>
  </si>
  <si>
    <t>RAKESH KUMAR SHARMA</t>
  </si>
  <si>
    <t>DECEASED</t>
  </si>
  <si>
    <t>RITA SHARMA</t>
  </si>
  <si>
    <t>Haryana Lodge Tutikandi Shimla - 171004</t>
  </si>
  <si>
    <t>DAYANAND PUBLIC SCHOOL</t>
  </si>
  <si>
    <t>CENTRAL BOARD OF SECONDARY EDUCATION SHIMLA/HIMACHAL PRADESH</t>
  </si>
  <si>
    <t>GOVERNMENT SENIOR SECONDARY SCHOOL LALPANI</t>
  </si>
  <si>
    <t>HIMACHAL PRADESH BOARD OF SCHOOL EDUCATION SHIMLA/HIMACHAL PRADESH</t>
  </si>
  <si>
    <t>HIMACHAL PRADESH UNIVERSITY</t>
  </si>
  <si>
    <t>UNIVERSITY INSTITUTE OF TECHNOLOGY SHIMLA/HIMACHAL PRADESH</t>
  </si>
  <si>
    <t>MS Office,MS Project,Primavera,CostX,AutoCAD</t>
  </si>
  <si>
    <t>NCCCL | Contracts &amp; Commercial Intern | Dombivili, Mumbai | May 2026 | Jul 2026 | 8.5714285714286 Weeks | Campus Internship
SJVN LIMITED | INTERN | SHIMLA | Jan 2024 | Feb 2024 | 4.4285714285714 Weeks
M/S RAVINDER CHAUHAN | SITE ENGINEER  | SHIMLA | Aug 2024 | Jan 2025 | 26.142857142857 Weeks</t>
  </si>
  <si>
    <t>Current Ground Improvement Practices in India: A Research &amp; Industrial Advancement</t>
  </si>
  <si>
    <t>P25700515</t>
  </si>
  <si>
    <t>SAPKAL</t>
  </si>
  <si>
    <t>Vishwaraj Ramesh Sapkal</t>
  </si>
  <si>
    <t>rajsapkal4030@gmail.com</t>
  </si>
  <si>
    <t>p25700515@student.nicmar.ac.in</t>
  </si>
  <si>
    <t>2200 8637 4420</t>
  </si>
  <si>
    <t>TRUPTI</t>
  </si>
  <si>
    <t>587 Shantinagar, Shahbaug, Wai</t>
  </si>
  <si>
    <t>BLOSSOM CHILDREN'S ACADEMY, WAI</t>
  </si>
  <si>
    <t>KISANVEER JUNIOR MAHAVIDYALAYA, WAI</t>
  </si>
  <si>
    <t>SINHGAD COLLEGE OF ENGINEERING, VADGAON BK</t>
  </si>
  <si>
    <t>PRIMARK ASSOCIATES | Project Management Intern | Pune | May 2026 | Jul 2026 | 8.7142857142857 Weeks | Campus Internship
SHRADDHA ENTERPRISES | INTERNSHIP TRAINEE | WAI | Jan 2023 | Feb 2023 | 3.1428571428571 Weeks</t>
  </si>
  <si>
    <t>P25700516</t>
  </si>
  <si>
    <t>DABHOLKAR</t>
  </si>
  <si>
    <t>Yash Suresh Dabholkar</t>
  </si>
  <si>
    <t>dabholkaryash90@gmail.com</t>
  </si>
  <si>
    <t>p25700516@student.nicmar.ac.in</t>
  </si>
  <si>
    <t>28-Feb-2000</t>
  </si>
  <si>
    <t>2846 3808 1620</t>
  </si>
  <si>
    <t>SNEHA</t>
  </si>
  <si>
    <t>GROUND FLOOR, NAVBHARAT SOCIETY, NEAR YASHODEEP CHOWK, WARJE</t>
  </si>
  <si>
    <t>At Post Gavane, Gavaliwadi Taluka Lanja Dist Ratnagiri</t>
  </si>
  <si>
    <t>NEW ENGLISH SCHOOL, LANJA</t>
  </si>
  <si>
    <t>GOVERNMENT POLYTECHNIC, RATNAGIRI</t>
  </si>
  <si>
    <t>SINHGAD ACADEMY OF ENGINEERING, KONDHWA (BK), PUNE</t>
  </si>
  <si>
    <t>AutoCAD,MS Office, Microsoft Project</t>
  </si>
  <si>
    <t>Watmov Engineering Pvt Ltd | Associate Design Engineer | Pune | Dec 2022 | Apr 2024 | 1Y 4M | 3.5
Precision Precast Solutions (PPS) | Designer | Pune | May 2024 | Jul 2025 | 1Y 2M | 4.4</t>
  </si>
  <si>
    <t>Cushman &amp; Wakefield | Project Management Intern | Pune | May 2026 | Jul 2026 | 8.7142857142857 Weeks | Campus Internship</t>
  </si>
  <si>
    <t>P25700518</t>
  </si>
  <si>
    <t>INDRAKUMAR</t>
  </si>
  <si>
    <t>MISHRA</t>
  </si>
  <si>
    <t>Ganesh Indrakumar Mishra</t>
  </si>
  <si>
    <t>ganeshmishra.23.08@gmail.com</t>
  </si>
  <si>
    <t>p25700518@student.nicmar.ac.in</t>
  </si>
  <si>
    <t>English,Hindi,Marathi.</t>
  </si>
  <si>
    <t>2960 7573 6040</t>
  </si>
  <si>
    <t>INDRAKUMAR MISHRA</t>
  </si>
  <si>
    <t>PRODUCTION MANAGER</t>
  </si>
  <si>
    <t>KUSUM MISHRA</t>
  </si>
  <si>
    <t>Room No. 9, Pandey Bhavan C Chinchpada Road, Near Model College Kalyan East,Thane, Maharashtra</t>
  </si>
  <si>
    <t>NATIONAL ENGLISH HIGH SCHOOL</t>
  </si>
  <si>
    <t>SAKET COLLEGE</t>
  </si>
  <si>
    <t>TERNA ENGINEERING COLLEGE,NERUL/ MAHARASHTRA</t>
  </si>
  <si>
    <t>AutoCAD,MS Office,MS Project,Primavera,Revit,costx</t>
  </si>
  <si>
    <t>ICICI Bank | Assitant Technical Manager | Dombivali | Jun 2023 | Jun 2025 | 1Y 11M | 4.4</t>
  </si>
  <si>
    <t>Firstspace Development Management Private Limited | Intern-Projects (Planning) | BKC-Mumbai | May 2026 | Jun 2026 | 8.1428571428571 Weeks | Campus Internship
CIDCO | INTERNSHIP TRAINEE | TALOJA | Dec 2021 | Jan 2022 | 2.5714285714286 Weeks</t>
  </si>
  <si>
    <t>MS-CIT</t>
  </si>
  <si>
    <t>P25700519</t>
  </si>
  <si>
    <t>SHRINIVAS</t>
  </si>
  <si>
    <t>KURAPATI</t>
  </si>
  <si>
    <t>Rushikesh Shrinivas Kurapati</t>
  </si>
  <si>
    <t>rishikurapati6@gmail.com</t>
  </si>
  <si>
    <t>p25700519@student.nicmar.ac.in</t>
  </si>
  <si>
    <t>English , Marathi , Hindi , Telegu</t>
  </si>
  <si>
    <t>4887 0179 3122</t>
  </si>
  <si>
    <t>AMBIKA</t>
  </si>
  <si>
    <t>KRISHNAKUNJ, SR. NO. 17/4B/7, DATTARAJ COLONY, LANE NO. 7, MANGALNAGAR, WAKAD, PUNE</t>
  </si>
  <si>
    <t>08/218 , Raghavendra Nagar , MIDC Road , Solapur</t>
  </si>
  <si>
    <t>H D HIGH SCHOOL SOLAPUR</t>
  </si>
  <si>
    <t>SECONDARY AND HIGHER SECONDARY EDUCATION PUNE</t>
  </si>
  <si>
    <t>A.G. PATIL INSTITUTE OF TECHNOLOGY SOLAPUR</t>
  </si>
  <si>
    <t>N. B. NAVALE SINHGAD COLLEGE OF ENGINEERING SOLAPUR</t>
  </si>
  <si>
    <t>AutoCAD,MS Office,MS Project,Revit,Etabs</t>
  </si>
  <si>
    <t>Core Management Services | Junior Planning Engineer | Pune Maharashtra  | Jan 2024 | Dec 2024 | 0Y 11M | 1.68
Bhate Raje Construction Pvt Ltd | Junior Planning Engineer | Pimpri-Chinchwad, Maharashtra 411057 | Jan 2025 | Jun 2025 | 0Y 5M | 3</t>
  </si>
  <si>
    <t>Sagar Skyscrapper LLP | Trainee Junior Engineer.  | Pune | May 2026 | Jun 2026 | 7.7142857142857 Weeks | Campus Internship
SRUSHTI ENGINEERS AND CONSULTANT | PROJECT TRAINEE ENGINEER | SOLAPUR, MAHARASHTRA | Jul 2022 | Dec 2022 | 25.714285714286 Weeks</t>
  </si>
  <si>
    <t>Microsoft Project</t>
  </si>
  <si>
    <t>P25700520</t>
  </si>
  <si>
    <t>Patil Hemanth Kumar</t>
  </si>
  <si>
    <t>patilhemanth6601@gmail.com</t>
  </si>
  <si>
    <t>p25700520@student.nicmar.ac.in</t>
  </si>
  <si>
    <t>English, Hindi, Telugu, Marathi, Kannada</t>
  </si>
  <si>
    <t>3322 4663 2302</t>
  </si>
  <si>
    <t>PATIL VENKAT</t>
  </si>
  <si>
    <t>PHARMACIST</t>
  </si>
  <si>
    <t>PATIL JYOTHI</t>
  </si>
  <si>
    <t>1-2-497, RAKASIPET, BODHAN, NIZAMABAD DIST._x000D_
503185 TELANGANA, INDIA</t>
  </si>
  <si>
    <t>VIJAYA MARY HIGH SCHOOL RAKASIPET BODHAN NIZAMABAD DISTRICT</t>
  </si>
  <si>
    <t>NARAYANA JUNIOR COLLEGE SAPTHAGIRI COLONY KUKATPALLY HYDERABAD</t>
  </si>
  <si>
    <t>TELANGANA STATE BOARD OF INTERMEDIATE EDUCATION HYDERABAD TELANGANA STATE INDIA</t>
  </si>
  <si>
    <t>JAWAHARLAL NEHRU TECHNOLOGICAL UNIVERSITY HYDERABAD TELANGANA STATE INDIA</t>
  </si>
  <si>
    <t>ANURAG GROUP OF INSTITUTIONS HYDERABAD TELANGANA INDIA</t>
  </si>
  <si>
    <t>D.E.C. INFRASTRUCTURE AND PROJECTS (INDIA) PRIVATE LIMITED | GRADUATE ENGINEER TRAINEE - QUALITY CONTROL | MANCHERIAL MEDICAL COLLEGE PROJECT | May 2024 | Nov 2024 | 0Y 6M | 2.64</t>
  </si>
  <si>
    <t>Ernst &amp; Young LLP | Business Consulting Risk | Ahmedabad | May 2026 | Jul 2026 | 8.2857142857143 Weeks | Campus Internship
PRIYA CONSTRUCTIONS (RAILWAY AND CIVIL WORK) | INTERN | NIZAMABAD | Oct 2023 | Mar 2024 | 26 Weeks</t>
  </si>
  <si>
    <t>PROJECT MANAGEMENT FOUNDATIONS
COMPLETE   AUTOCAD 2D + 3D COURSE
MICROSOFT EXCEL - EXCEL FROM BEGINNER TO ADVANCED</t>
  </si>
  <si>
    <t>P25700521</t>
  </si>
  <si>
    <t>SAURABH</t>
  </si>
  <si>
    <t>PANDURANG</t>
  </si>
  <si>
    <t>BURADE</t>
  </si>
  <si>
    <t>Saurabh Pandurang Burade</t>
  </si>
  <si>
    <t>saurabhburade0990@gmail.com</t>
  </si>
  <si>
    <t>p25700521@student.nicmar.ac.in</t>
  </si>
  <si>
    <t>21-Mar-2000</t>
  </si>
  <si>
    <t>8350 6439 0011</t>
  </si>
  <si>
    <t>PANDURANG BURADE</t>
  </si>
  <si>
    <t>VILLAGE DEVLOPMENT OFFICER</t>
  </si>
  <si>
    <t>PRATIBHA BURADE</t>
  </si>
  <si>
    <t>Pilare Complex,, Near Sahare Hospital,, Desaiganj Main Road, Desaiganj, Maharashtra</t>
  </si>
  <si>
    <t>SCHOOL OF SCHOLARS , GADCHIROLI</t>
  </si>
  <si>
    <t>CENTER BOARD OF SECONDARY EDUCATION , DELHI</t>
  </si>
  <si>
    <t>SHIVKRUPA JR. SCIENCE COLLAGE , GADCHIROLI</t>
  </si>
  <si>
    <t>HIGHER SECONDARY EDUCATION , PUNE (NAGPUR DIVISION BOARD)</t>
  </si>
  <si>
    <t>DR. D . Y . PATIL COLLAGE ENGINEERING ,AKURDI ,PUNE</t>
  </si>
  <si>
    <t>Manisha Groups PVT. LTD. | Jr. Site Engineer | Pheonix Mall Of The Millennium ,Wakad ,Pune  | Apr 2024 | Nov 2024 | 0Y 6M | 1.8</t>
  </si>
  <si>
    <t>P25700522</t>
  </si>
  <si>
    <t>SAYAN</t>
  </si>
  <si>
    <t>HALDER</t>
  </si>
  <si>
    <t>Sayan Halder</t>
  </si>
  <si>
    <t>sayanhalder948@gmail.com</t>
  </si>
  <si>
    <t>p25700522@student.nicmar.ac.in</t>
  </si>
  <si>
    <t>26-Dec-1999</t>
  </si>
  <si>
    <t>2283 6001 0855</t>
  </si>
  <si>
    <t>PUTUL KUMAR HALDER</t>
  </si>
  <si>
    <t>CENTRAL GOVT. EMPLOYE</t>
  </si>
  <si>
    <t>SUSHAMA HALDER</t>
  </si>
  <si>
    <t>UTTAR HAZIPUR,DIAMOND HARBOUR,WORD NO. -15</t>
  </si>
  <si>
    <t>SARISHA RAMKRISHNA MISSION SIKSHA MANDIR</t>
  </si>
  <si>
    <t>FATEPUR SRINATH INSTITUTION</t>
  </si>
  <si>
    <t>MAULANA ABUL KALAM AZAD UNIVERSITY OF TECHNOLOGY , WEST BENGAL</t>
  </si>
  <si>
    <t>NETAJI SUBHASH ENGINEERING COLLEGE</t>
  </si>
  <si>
    <t>SAJAL DEB GOVT. CONTRACTOR OF C.P.W.D.&amp; P.W.D. GENERAL ORDER SUPPLIERS | SITE ENGINEER | NORTH TRIPURA | Dec 2021 | Feb 2025 | 3Y 2M | 3.24</t>
  </si>
  <si>
    <t>Central Public Works Department    ( C.P.W.D.) |  Planning And Execution | Kolkata | May 2026 | Jul 2026 | 9.5714285714286 Weeks | Campus Internship</t>
  </si>
  <si>
    <t>BEHAVIORAL SKILLS &amp; TECHNICAL SKILLS -IT
DIPLOMA IN COMPUTER APPLICATION</t>
  </si>
  <si>
    <t>P25700524</t>
  </si>
  <si>
    <t>NOEL</t>
  </si>
  <si>
    <t>JOY</t>
  </si>
  <si>
    <t>Noel Joy</t>
  </si>
  <si>
    <t>noelrj003@gmail.com</t>
  </si>
  <si>
    <t>p25700524@student.nicmar.ac.in</t>
  </si>
  <si>
    <t>Malayalam, English</t>
  </si>
  <si>
    <t>5617 6727 2556</t>
  </si>
  <si>
    <t>JOY SCARIA</t>
  </si>
  <si>
    <t>LIGY JOSEPH</t>
  </si>
  <si>
    <t>Mangattu, Poonjar P.O</t>
  </si>
  <si>
    <t>ST ALPHONSA PUBLIC SCHOOL &amp; JUNIOR COLLEGE, ARUVITHURA KOTTAYAM</t>
  </si>
  <si>
    <t>CBSE, KOTTAYAM KERALA</t>
  </si>
  <si>
    <t>SMV HIGHER SECONDARY SCHOOL, POONJAR KOTTAYAM</t>
  </si>
  <si>
    <t>DHSE KERALA KOTTAYAM</t>
  </si>
  <si>
    <t>RAJAGIRI SCHOOL OF ENGINEERING &amp; TECHNOLOGY, KOCHI, KERALA</t>
  </si>
  <si>
    <t>AutoCAD, MS Project, Primavera, Revit</t>
  </si>
  <si>
    <t>AMRUTHA CONSULTANTS | CIVIL ENGINEERING INTERNSHIP | KOCHI, KERALA | Mar 2023 | Mar 2023 | 0.71428571428571 Weeks</t>
  </si>
  <si>
    <t>Data Analytics
Repair and Maintenance of Buildings
QGIS
Energy Simulation in Buildings
Construction Equipment Maintenance &amp; Safety
Construction Machinery for Concreting /Roads &amp; Earth Moving
TBMs,Pile Rigs,Cranes &amp; Hauling Vehicles
German - I</t>
  </si>
  <si>
    <t>P25700525</t>
  </si>
  <si>
    <t>CHAURASIA</t>
  </si>
  <si>
    <t>Om Rajesh Chaurasia</t>
  </si>
  <si>
    <t>omchaurasia739@gmail.com</t>
  </si>
  <si>
    <t>p25700525@student.nicmar.ac.in</t>
  </si>
  <si>
    <t>01-Mar-2001</t>
  </si>
  <si>
    <t>6355 8310 1375</t>
  </si>
  <si>
    <t>RAJESH CHAURASIA</t>
  </si>
  <si>
    <t>ANITA CHAURASIA</t>
  </si>
  <si>
    <t>Room No. 5, Ashok Bhavan, M D Road, Opp Power House, Kandivali East</t>
  </si>
  <si>
    <t>THAKUR VIDYA MANDIR HIGH SCHOOL</t>
  </si>
  <si>
    <t>THAKUR COLLEGE OF ENGINEERING &amp; TECHNOLOGY</t>
  </si>
  <si>
    <t>Shreeji Sharan Group Of Companies | Junior Engineer | Mumbai | Jun 2022 | Jun 2025 | 3Y 0M | 2.52</t>
  </si>
  <si>
    <t>SOBHA LIMITED | Planning | Kerala | May 2026 | Jul 2026 | 9 Weeks | Campus Internship
SACHIN GUPTA BUILDCON PVT. LTD. | JUNIOR ENGINEER | MUMBAI | Dec 2021 | Jan 2022 | 8.7142857142857 Weeks</t>
  </si>
  <si>
    <t>Maharashtra State Certificate in Information Technology
Extension Work Team</t>
  </si>
  <si>
    <t>P25700526</t>
  </si>
  <si>
    <t>RITIKA</t>
  </si>
  <si>
    <t>MESHRAM</t>
  </si>
  <si>
    <t>Ritika Gautam Meshram</t>
  </si>
  <si>
    <t>ritikameshram995@gmail.com</t>
  </si>
  <si>
    <t>p25700526@student.nicmar.ac.in</t>
  </si>
  <si>
    <t>6675 6808 8799</t>
  </si>
  <si>
    <t>GAUTAM MESHRAM</t>
  </si>
  <si>
    <t>SEEMA MESHRAM</t>
  </si>
  <si>
    <t>SHUBHAM COLONY,LOHARA BYPASS YAVATMAL</t>
  </si>
  <si>
    <t>SANSKAR ENGLISH MEDIUM SCHOOL</t>
  </si>
  <si>
    <t>PEOPLES JR COLLEGE</t>
  </si>
  <si>
    <t>DR DY PATIL INSTITUTE OF TECHNOLOGY,PIMPRI,PUNE.</t>
  </si>
  <si>
    <t>BHATE&amp;RAJE CONSTRUCTION COMPANY PVT.LTD. | JUNIOR ENGINEER | PUNE | Dec 2023 | Jan 2024 | 4.2857142857143 Weeks</t>
  </si>
  <si>
    <t>Revit
Autocad</t>
  </si>
  <si>
    <t>P25700527</t>
  </si>
  <si>
    <t>LIKITHA</t>
  </si>
  <si>
    <t>BHOOPATHI</t>
  </si>
  <si>
    <t>Likitha Priya Bhoopathi</t>
  </si>
  <si>
    <t>likithapriyabhoopathi@gmail.com</t>
  </si>
  <si>
    <t>p25700527@student.nicmar.ac.in</t>
  </si>
  <si>
    <t>05-Dec-2003</t>
  </si>
  <si>
    <t>5014 9201 0207</t>
  </si>
  <si>
    <t>BHOOPATHI VYAS CHANDER</t>
  </si>
  <si>
    <t>JONNALA SREEDEVI</t>
  </si>
  <si>
    <t>2-11-201/1/401 Hari Hara Towers, KUC X Road</t>
  </si>
  <si>
    <t>SPR SCHOOL OF EXCELLENCE</t>
  </si>
  <si>
    <t>BOARD OF SECONDARY EDUCATION/TELANGANA</t>
  </si>
  <si>
    <t>VMR POLYTECHNIC/TELANGANA</t>
  </si>
  <si>
    <t>KAKATIYA INSTITUTE OF TECHNOLOGY ANDÂ SCIENCE/TELANGANA</t>
  </si>
  <si>
    <t>AutoCAD,MS Office,MS Project,Primavera,Staad pro,Revit,CostX</t>
  </si>
  <si>
    <t>National Institute Of Construction Management And Reseach | Intern | Hyderabad | Jun 2024 | Jun 2024 | 2.4285714285714 Weeks
Government of telangana IRRIGATION &amp; CAD Department | intern | Parkal | May 2023 | Jun 2023 | 3.4285714285714 Weeks
Artizen Project LLp | Project Coordinate Intern | Hyderabad | May 2026 | Jul 2026 | 8.7142857142857 Weeks</t>
  </si>
  <si>
    <t>P25700528</t>
  </si>
  <si>
    <t>VISHWANATH</t>
  </si>
  <si>
    <t>Riya Vishwanath</t>
  </si>
  <si>
    <t>29riyav@gmail.com</t>
  </si>
  <si>
    <t>p25700528@student.nicmar.ac.in</t>
  </si>
  <si>
    <t>5880 8641 0461</t>
  </si>
  <si>
    <t>VIKRAMADITYA VISHWANATH</t>
  </si>
  <si>
    <t>KAVITA VISHWANATH</t>
  </si>
  <si>
    <t>First Floor, Saijyot Apartment, Vataremala, BT Kawde Road</t>
  </si>
  <si>
    <t>AIR FORCE SCHOOL VIMAN NAGAR</t>
  </si>
  <si>
    <t>SPRINGDALES CHILDREN'S SCHOOL</t>
  </si>
  <si>
    <t>SYMBIOSIS INSTITUTE OF TECHNOLOGY, PUNE</t>
  </si>
  <si>
    <t>KOLTE-PATIL INTEGRATED TOWNSHIPS LTD. | Executive Intern | MARUNJI | Jan 2025 | May 2025 | 20.714285714286 Weeks</t>
  </si>
  <si>
    <t>Diploma in Business management
Primavera P6 Professional Training
Six Sigma White belt
Environmental health and safety on construction projects</t>
  </si>
  <si>
    <t>P25700529</t>
  </si>
  <si>
    <t>Janhavi Vijay Patil</t>
  </si>
  <si>
    <t>patiljanhavi6283@gmail.com</t>
  </si>
  <si>
    <t>p25700529@student.nicmar.ac.in</t>
  </si>
  <si>
    <t>29-Sep-1998</t>
  </si>
  <si>
    <t>8874 1543 5853</t>
  </si>
  <si>
    <t>VIJAY NANA PATIL</t>
  </si>
  <si>
    <t>FABRICATION WORKS</t>
  </si>
  <si>
    <t>SANGITA VIJAY PATIL</t>
  </si>
  <si>
    <t>B6, Flat No. 16, Ganesh Complex, Manikbaug, Sinhgad Road, Opp. Brahma Garden Hotel, Near Nava Sinhgad Parisar Office.</t>
  </si>
  <si>
    <t>RMD SINHGAD TECHNICAL INSTITUTE CAMPUS, WARJE, PUNE, MAHARASHTRA</t>
  </si>
  <si>
    <t>TCG REAL ESTATE - TCG IBPL | JUNIOR ENGINEER | Hinjewadi Phase 2, Pune, Maharashtra | Jul 2023 | Jun 2025 | 1Y 11M | 3.71
Mazagon Dock Shipbuilders Ltd. | Graduate Apprentice | Mumbai, Maharashtra | Mar 2021 | Mar 2022 | 0Y 11M | 1.08</t>
  </si>
  <si>
    <t>Diploma in Building Design</t>
  </si>
  <si>
    <t>P25700530</t>
  </si>
  <si>
    <t>GOHIL</t>
  </si>
  <si>
    <t>MANSIBA</t>
  </si>
  <si>
    <t>JAYDEEPSINH</t>
  </si>
  <si>
    <t>Gohil Mansiba Jaydeepsinh</t>
  </si>
  <si>
    <t>mgohil472003@gmail.com</t>
  </si>
  <si>
    <t>p25700530@student.nicmar.ac.in</t>
  </si>
  <si>
    <t>04-Jul-2003</t>
  </si>
  <si>
    <t>9142 8941 4570</t>
  </si>
  <si>
    <t>MR. JAYDEEPSINH GOHIL</t>
  </si>
  <si>
    <t>MRS. REKHABA GOHIL</t>
  </si>
  <si>
    <t>Ghogha Road, Murlidhar Society, Block10/A, Bhavnagar, Gujarat</t>
  </si>
  <si>
    <t>Bhavnagar</t>
  </si>
  <si>
    <t>ST. MARYâ€™S ENGLISH SCHOOL, BHAVNAGAR</t>
  </si>
  <si>
    <t>GUJARAT SECONDARY AND HIGHER SECONDARY EDUCATION BOARD, GANDHINAGAR</t>
  </si>
  <si>
    <t>GYANMANJARI HIGHER SECONDARY SCHOOL, BHAVNAGAR</t>
  </si>
  <si>
    <t>GOVERNMENT ENGINEERING COLLEGE, BHAVNAGAR</t>
  </si>
  <si>
    <t>AutoCAD,MS Office,MS Project,SketchUp</t>
  </si>
  <si>
    <t>Pidilite Industries Ltd.  | Summer Intern | Mumbai | May 2026 | Jul 2026 | 7.2857142857143 Weeks | Campus Internship
SETU Infrastructure | Trainee | 701-704 The First, behind ITC Narmada Vastrapur, Ahmedabad 380015, Gujarat  | Jan 2025 | Apr 2025 | 11.857142857143 Weeks
Er. Akul Pandya | Intern | 204, Atlanta Complex, Opp. Joggers Park, Bhavnagar 364001, Gujarat  | Jun 2024 | Jul 2024 | 1.8571428571429 Weeks</t>
  </si>
  <si>
    <t>P25700531</t>
  </si>
  <si>
    <t>TALBIYA</t>
  </si>
  <si>
    <t>ASIF IQBAL</t>
  </si>
  <si>
    <t>Talbiya Asif Iqbal Shaikh</t>
  </si>
  <si>
    <t>talbiyashaikh31@gmail.com</t>
  </si>
  <si>
    <t>p25700531@student.nicmar.ac.in</t>
  </si>
  <si>
    <t>31-Jan-2004</t>
  </si>
  <si>
    <t>ENGLISH, HINDI, MARATHI, URDU</t>
  </si>
  <si>
    <t>7628 2275 2076</t>
  </si>
  <si>
    <t>AISF IQBAL SHAIKH</t>
  </si>
  <si>
    <t>ALMAS SHAIKH</t>
  </si>
  <si>
    <t>Flat No.13, Arsheen Apartment, Modi Khana, Saat Rasta.</t>
  </si>
  <si>
    <t>LITTLE FLOWER CONVENT HIGH SCHOOL</t>
  </si>
  <si>
    <t>WALCHAND COLLEGE OF ARTS &amp; SCIENCE</t>
  </si>
  <si>
    <t>NAGESH KARAJAGI ORCHID COLLEGE OF ENGINEERING &amp; TECHNOLOGY, SOLAPUR, MAHARASHTRA</t>
  </si>
  <si>
    <t>Ar. Bhavik Gandhi &amp; Associates | Civil Design &amp; Site Supervision  | Solapur, Maharashtra  | Dec 2024 | Feb 2025 | 10 Weeks</t>
  </si>
  <si>
    <t>BIM REVIT</t>
  </si>
  <si>
    <t>P25700532</t>
  </si>
  <si>
    <t>NETRAVATI</t>
  </si>
  <si>
    <t>T</t>
  </si>
  <si>
    <t>SHEPUR</t>
  </si>
  <si>
    <t>Netravati T Shepur</t>
  </si>
  <si>
    <t>shepurnetra@gmail.com</t>
  </si>
  <si>
    <t>p25700532@student.nicmar.ac.in</t>
  </si>
  <si>
    <t>15-Mar-1990</t>
  </si>
  <si>
    <t>ENGLISH HINDI KANNADA TELUGU</t>
  </si>
  <si>
    <t>5676 1811 6715</t>
  </si>
  <si>
    <t>DR T A SHEPUR</t>
  </si>
  <si>
    <t>SUJATHA T SHEPUR</t>
  </si>
  <si>
    <t>#89, 13Th Cross, Lingarajnagar , Vidyanagar , Patil Layout</t>
  </si>
  <si>
    <t>ST ANTONY'S PUBLIC SCHOOL</t>
  </si>
  <si>
    <t>CENTRAL BOARD OF SECONDAY EDUCATION , DELHI</t>
  </si>
  <si>
    <t>SRI CHAITANYA KALASHALA</t>
  </si>
  <si>
    <t>BOARD OF INTERMEDIATE EDUCATION , ANDHRA PRADESH</t>
  </si>
  <si>
    <t>2008-Apr</t>
  </si>
  <si>
    <t>VTU BELAGUM</t>
  </si>
  <si>
    <t>B V BHOORADDI COLLEGE OF ENGINEERING AND TECHNOLOGY, HUBLI</t>
  </si>
  <si>
    <t>2008-Jul</t>
  </si>
  <si>
    <t>2012-Sep</t>
  </si>
  <si>
    <t>2014-Oct</t>
  </si>
  <si>
    <t>AutoCAD,MS Office,MS Project,STAADPRO,ETABS,RCDC,REVIT</t>
  </si>
  <si>
    <t>SUPRADA CONSTRUCTIONS PRIVATE LIMITED | STRUCTURAL ENGINEER | BENGALURU | Apr 2023 | Dec 2024 | 1Y 8M | 7.18
SMEC INDIA PVT LTD | JUNIOR DESIGN ENGINEER | BENGALURU | Feb 2022 | Dec 2022 | 0Y 9M | 5.04
MARS PLANNING AND ENGINEERING SERVICES | SENIOR ENGINEER-PROJECTS | BENGALURU | Jan 2025 | Apr 2025 | 0Y 3M | 10.8</t>
  </si>
  <si>
    <t>Prestige Estates Projects Limited  | Intern | Bangalore | May 2026 | Jul 2026 | 8.5714285714286 Weeks | Campus Internship</t>
  </si>
  <si>
    <t>P25700533</t>
  </si>
  <si>
    <t>GUNJAN</t>
  </si>
  <si>
    <t>DHOBLE</t>
  </si>
  <si>
    <t>Gunjan Shivaji Dhoble</t>
  </si>
  <si>
    <t>gunjandhoble7@gmail.com</t>
  </si>
  <si>
    <t>p25700533@student.nicmar.ac.in</t>
  </si>
  <si>
    <t>5173 3776 4431</t>
  </si>
  <si>
    <t>SHIVAJI DHOBLE</t>
  </si>
  <si>
    <t>SUNANDA DHOBLE</t>
  </si>
  <si>
    <t>AT KHANDHALA (KHURD) , POST-LADGAON THASIL-KATOL DISTRICT- NAGPUR</t>
  </si>
  <si>
    <t>BANARASIDAS RUIYA HIGH SCHOOL KATOL</t>
  </si>
  <si>
    <t>KATOL / MAHARASHTRA</t>
  </si>
  <si>
    <t>NATIONAL INSTITUTE OF TECHNOLOGY NAGPUR</t>
  </si>
  <si>
    <t>PRIYADARSHANI BHAGWATI COLLEGE OF ENGINEERING NAGPUR</t>
  </si>
  <si>
    <t>AutoCAD,MS Office,MS Project,Primavera,Cost X,REVIT</t>
  </si>
  <si>
    <t>Er. Prashant M. Kalbande | Trainee | Katol | Apr 2024 | May 2025 | 60.571428571429 Weeks</t>
  </si>
  <si>
    <t>Autocad
NCC
Ethics and Engineering Practices
Coursera Finance for Non-Financial Managers</t>
  </si>
  <si>
    <t>P25700534</t>
  </si>
  <si>
    <t>DIVYA</t>
  </si>
  <si>
    <t>HIRALAL</t>
  </si>
  <si>
    <t>WAILTHARE</t>
  </si>
  <si>
    <t>Divya Hiralal Wailthare</t>
  </si>
  <si>
    <t>dhwailthare29@gmail.com</t>
  </si>
  <si>
    <t>p25700534@student.nicmar.ac.in</t>
  </si>
  <si>
    <t>9879 4083 6493</t>
  </si>
  <si>
    <t>HIRALAL WAILTHARE</t>
  </si>
  <si>
    <t>ASSISTANT POLICE INSPECTOR</t>
  </si>
  <si>
    <t>NANDA WAILTHARE</t>
  </si>
  <si>
    <t>Shiv Apartment, Ganesh Nagar, Tukum, Chandrapur</t>
  </si>
  <si>
    <t>CENTRAL BOARD OF SECONDARY EDUCATION, CHANDRAPUR, MAHARASHTRA</t>
  </si>
  <si>
    <t>MIT ADT UNIVERSITY</t>
  </si>
  <si>
    <t>MIT ADT SCHOOL OF ENGINEERING AND SCIENCES</t>
  </si>
  <si>
    <t>MAHARASHTRA METRO RAIL CORPORATION LIMITED | INTERN | PUNE | Feb 2025 | Feb 2025 | 3.8571428571429 Weeks</t>
  </si>
  <si>
    <t>Construction Scheduling</t>
  </si>
  <si>
    <t>P25700535</t>
  </si>
  <si>
    <t>BHARVEE</t>
  </si>
  <si>
    <t>Bharvee Manoj Mokashi</t>
  </si>
  <si>
    <t>bharveemanoj21@gmail.com</t>
  </si>
  <si>
    <t>p25700535@student.nicmar.ac.in</t>
  </si>
  <si>
    <t>21-Apr-2003</t>
  </si>
  <si>
    <t>HINDI,MARATHI, ENGLISH</t>
  </si>
  <si>
    <t>7883 6680 0734</t>
  </si>
  <si>
    <t>MANOJ MOKASHI</t>
  </si>
  <si>
    <t>VRUNDA MOKASHI</t>
  </si>
  <si>
    <t>Damodar Nivas 3rd Flr Vitawa Thane Belapur Road</t>
  </si>
  <si>
    <t>JVM'S NEW ENGLISH SCHOOL KALWA</t>
  </si>
  <si>
    <t>GOVERNMENT POLYTECHNIC THANE, MAHARASHTRA</t>
  </si>
  <si>
    <t>DATTA MEGHE COLLEGE OF ENGINEERING AIROLI NAVI MUMBAI, MAHARASHTRA</t>
  </si>
  <si>
    <t>AutoCAD,MS Office,MS Project,Primavera,ArcGIS,QGIS</t>
  </si>
  <si>
    <t>CUSHMAN AND WAKEFIELD | TEMP ASSOCIATE | BKC | Dec 2024 | Jan 2025 | 4.4285714285714 Weeks
CIDCO | TESTING INTERN | NAVIMUMBAI | Dec 2023 | Jan 2024 | 3.5714285714286 Weeks
CIDCO | EXECUTION INTERN  | NAVIMUMBAI | Jun 2023 | Jul 2023 | 4.4285714285714 Weeks</t>
  </si>
  <si>
    <t>P25700536</t>
  </si>
  <si>
    <t>PREETI</t>
  </si>
  <si>
    <t>Preeti Sinha</t>
  </si>
  <si>
    <t>arpreetisinha@yahoo.com</t>
  </si>
  <si>
    <t>p25700536@student.nicmar.ac.in</t>
  </si>
  <si>
    <t>27-Mar-1997</t>
  </si>
  <si>
    <t>7529 3195 5151</t>
  </si>
  <si>
    <t>PARAS NATH SINHA</t>
  </si>
  <si>
    <t>ASHA SINHA</t>
  </si>
  <si>
    <t>Asha Deep_x000D_
Road Number 2 Lane Number 14b_x000D_
New Colony Chhoti Delha</t>
  </si>
  <si>
    <t>Gaya</t>
  </si>
  <si>
    <t>D.A.V. PUBLIC SCHOOL CANTONMENT AREA GAYA</t>
  </si>
  <si>
    <t>MAHARSHI DAYANAND UNIVERSITY, ROHTAK</t>
  </si>
  <si>
    <t>RABINDRANATH TAGORE INSTITUTE OF ARCHITECTURE, FARIDABAD, HARYANA</t>
  </si>
  <si>
    <t>AutoCAD,MS Office,MS Project,Revit,Lumion,Autocad Sketchup,Vray</t>
  </si>
  <si>
    <t>Fotress Infracon Limite | Infrastructure &amp; Project Advisory Intern | Thane, Mumbai | May 2026 | Jul 2026 | 8.7142857142857 Weeks | Campus Internship
Ankur &amp; Associates, Mayapuri | Architectural Design Intern | New Delhi | Dec 2019 | May 2020 | 23.285714285714 Weeks</t>
  </si>
  <si>
    <t>Diploma in Revit Architecture</t>
  </si>
  <si>
    <t>P25700537</t>
  </si>
  <si>
    <t>DEVIKA</t>
  </si>
  <si>
    <t>Devika Raj</t>
  </si>
  <si>
    <t>devikaraj1202@gmail.com</t>
  </si>
  <si>
    <t>p25700537@student.nicmar.ac.in</t>
  </si>
  <si>
    <t>5488 4231 7231</t>
  </si>
  <si>
    <t>RAJAN C</t>
  </si>
  <si>
    <t>RETIRED GOVT OFFICIAL</t>
  </si>
  <si>
    <t>REJITHA M</t>
  </si>
  <si>
    <t>GOVT OFFICIAL</t>
  </si>
  <si>
    <t>SREEPADAM, C KANNAN NAGAR COLONY, ELAYAVOOR, P.O. MUNDAYAD</t>
  </si>
  <si>
    <t>ST. FRANCIS ENGLISH MEDIUM SCHOOL, KANNUR</t>
  </si>
  <si>
    <t>VIMAL JYOTHI ENGINEERING COLLEGE, KANNUR</t>
  </si>
  <si>
    <t>P25700538</t>
  </si>
  <si>
    <t>SREYA</t>
  </si>
  <si>
    <t>Sreya Raj</t>
  </si>
  <si>
    <t>sreyaraj27@gmail.com</t>
  </si>
  <si>
    <t>p25700538@student.nicmar.ac.in</t>
  </si>
  <si>
    <t>04-Jan-2002</t>
  </si>
  <si>
    <t>5025 4395 4610</t>
  </si>
  <si>
    <t>PADMARAJAN</t>
  </si>
  <si>
    <t>RTD. SUBENGINEER</t>
  </si>
  <si>
    <t>SUJITHA</t>
  </si>
  <si>
    <t>SREYAS,CHARUKADU, CHEMMAKADU PO, PANAYAM,KOLLAM</t>
  </si>
  <si>
    <t>SREYA RAJ</t>
  </si>
  <si>
    <t>GOVERNMENT HIGHER SECONDARY SCHOOL ANCHALOOMOOD</t>
  </si>
  <si>
    <t>KERALA STATE BOARD OF HSE</t>
  </si>
  <si>
    <t>AutoCAD,MS Office,MS Project,REVIT,NAVISWORK,3DS MAX</t>
  </si>
  <si>
    <t>SOBHA LIMITED | Project Management Intern | Bengaluru, Karnataka, India | May 2026 | Jul 2026 | 9 Weeks | Campus Internship
RDS INFOPARK | BIM MODELER | KORATTY,THRISSUR | Apr 2025 | Apr 2025 | 2.5714285714286 Weeks
BIM CAFE LEARNING HUB | BIM MODELER | ERNAKULAM | Oct 2024 | Mar 2025 | 22.142857142857 Weeks
PWD BUILDINGS SUB DIVISION | STUDENT INTERN | KOLLAM | May 2023 | May 2023 | 0.57142857142857 Weeks</t>
  </si>
  <si>
    <t>Building Information Modeling
Revit Architecture
3DS Max
Navisworks Manage
AutoCAD
Construction Equipment Maintenance &amp; Safety</t>
  </si>
  <si>
    <t>P25700539</t>
  </si>
  <si>
    <t>NANSHAL</t>
  </si>
  <si>
    <t>BAJAJ</t>
  </si>
  <si>
    <t>Nanshal Bajaj</t>
  </si>
  <si>
    <t>nanshalbajaj@gmail.com</t>
  </si>
  <si>
    <t>p25700539@student.nicmar.ac.in</t>
  </si>
  <si>
    <t>01-Sep-1998</t>
  </si>
  <si>
    <t>English, Hindi, Sindhi and Marathi</t>
  </si>
  <si>
    <t>2155 3196 7822</t>
  </si>
  <si>
    <t>VINOD BAJAJ</t>
  </si>
  <si>
    <t>ANSHU BAJAJ</t>
  </si>
  <si>
    <t>A3-25, ADITYA BREEZE PARK, BALEWADI</t>
  </si>
  <si>
    <t>Ward No. 08, Kotma Road, Burhar</t>
  </si>
  <si>
    <t>Shahdol</t>
  </si>
  <si>
    <t>CARMEL CONVENT HR SEC SCHOOL SOHAGPUR SHAHDOL MP</t>
  </si>
  <si>
    <t>S.B. PATIL COLLEGE OF ARCHITECTURE AND DESIGN</t>
  </si>
  <si>
    <t>AutoCAD,MS Office,MS Project,Primavera,Sketchup,Revit,Enscape,Lumion</t>
  </si>
  <si>
    <t>About the Space | Junior Architect | Pune | Jul 2023 | Sep 2024 | 1Y 2M | 2.4
Chopra Design Studio | Junior Architect | Indore | Nov 2022 | Jun 2023 | 0Y 7M | 1.8</t>
  </si>
  <si>
    <t>Renu Khanna and Associates | Architectural Intern | Panchkula, Chandigarh | Jul 2021 | Nov 2021 | 21 Weeks</t>
  </si>
  <si>
    <t>Diploma in Architecture Softwares</t>
  </si>
  <si>
    <t>P25700540</t>
  </si>
  <si>
    <t>AMEYA</t>
  </si>
  <si>
    <t>BUJONE</t>
  </si>
  <si>
    <t>Ameya Milind Bujone</t>
  </si>
  <si>
    <t>ameya.bujone21@gmail.com</t>
  </si>
  <si>
    <t>p25700540@student.nicmar.ac.in</t>
  </si>
  <si>
    <t>6158 1738 6492</t>
  </si>
  <si>
    <t>MILIND GOVINDRAO BUJONE</t>
  </si>
  <si>
    <t>RASHMI MILIND BUJONE</t>
  </si>
  <si>
    <t>SAI SHREE APARTMENT, PIMPLE SAUDAGAR, PUNE</t>
  </si>
  <si>
    <t>Maxx Glory Society, Beltarodi, Nagpur</t>
  </si>
  <si>
    <t>VIDYA NIKETAN, CHANDRAPUR</t>
  </si>
  <si>
    <t>VIDYA NIKETAN</t>
  </si>
  <si>
    <t>RASHTRASANT TUKDOJI MAHARAJ NAGPUR UNIVERSITY, NAGPUR</t>
  </si>
  <si>
    <t>AutoCAD,MS Project,Primavera,QS &amp; Billing of Govt. Projects and Commercial offices.,liaisoning,People management &amp; conflict resolution,Revit,BIM,Contracts and dispute management,planning and procurement</t>
  </si>
  <si>
    <t>The Indian Hume Pipe Co. Ltd. | Engineer | Gadakota, Madhya pradesh | Aug 2022 | Mar 2024 | 1Y 7M | 3.6
Jagdish Prasad Agarwal | Site Engineer | Aspur, Rajasthan | May 2024 | Sep 2024 | 0Y 3M | 4.05</t>
  </si>
  <si>
    <t>SD Construction and Gharkul Construction | Intern  | Chandrapur, Maharashtra | Dec 2020 | Feb 2021 | 5.8571428571429 Weeks
CHERRY HILL INTERIOR PVT. LTD. | QS AND BILLING INTERN | BANGLORE  | May 2026 | Jul 2026 | 8.7142857142857 Weeks</t>
  </si>
  <si>
    <t>NPTEL- German 1
Ethics in Engineering practice</t>
  </si>
  <si>
    <t>P25700541</t>
  </si>
  <si>
    <t>PARIMAL</t>
  </si>
  <si>
    <t>ALAWANE</t>
  </si>
  <si>
    <t>Parimal Pradip Alawane</t>
  </si>
  <si>
    <t>parimalalawane2214@gmail.com</t>
  </si>
  <si>
    <t>p25700541@student.nicmar.ac.in</t>
  </si>
  <si>
    <t>7525 4078 2883</t>
  </si>
  <si>
    <t>Musale Vasti,Road No.2,B18,Parimal Bunglow</t>
  </si>
  <si>
    <t>PRAVARA PUBLIC SCHOOL,PRAVARANAGAR</t>
  </si>
  <si>
    <t>PADMASHRI VIKHE PATIL COLLEGE OF ARTS,SCIENCE AND COMMERCE,PRAVARANAGAR</t>
  </si>
  <si>
    <t>K.K. WAGH INSTITUTE OF ENGINEERING EDUCATION AND RESEARCH,NASHIK</t>
  </si>
  <si>
    <t>SANDIP KHATALE (GOVERNMENT CONTRACTOR,MAHARASHTRA STATE) | SUPERVISING ENGINEER | NASHIK | Jan 2022 | Feb 2022 | 4.2857142857143 Weeks
VIRA INFRACTRUCTURE | TRAINING ENGINEER | AHMEDNAGAR | Jul 2020 | Dec 2020 | 26.142857142857 Weeks
Larsen &amp; Toubro Construction, HCI IC | Construction Management Intern | Orange Gate Urban Tunnel Project, Mumbai, Maharashtra | May 2026 | Jun 2026 | 8.1428571428571 Weeks</t>
  </si>
  <si>
    <t>CERTIFICATE OF PROFICIENCY BY DIRECTORATE OF SPORTS AND YOUTH SERVICES,MAHARASHTRA STATE,PUNE
HANDS-ON TRAINING ON REMOTE SENSING AND GIS
MS-CIT</t>
  </si>
  <si>
    <t>P25700542</t>
  </si>
  <si>
    <t>MANAS</t>
  </si>
  <si>
    <t>Manas Deepak Jadhav</t>
  </si>
  <si>
    <t>manasdjadhav0902@gmail.com</t>
  </si>
  <si>
    <t>p25700542@student.nicmar.ac.in</t>
  </si>
  <si>
    <t>2470 6822 1512</t>
  </si>
  <si>
    <t>DEEPAK DAULAT JADHAV</t>
  </si>
  <si>
    <t>MANISHA DEEPAK JADHAV</t>
  </si>
  <si>
    <t>13, Down Town A, Chaitanya Nagar, Gangapur Road, Nashik, 422013</t>
  </si>
  <si>
    <t>NEW MARATHA HIGHSCHOOL, NASHIK</t>
  </si>
  <si>
    <t>MATOSHRI JUNIOR COLLEGE, MHASRUL, NASHIK</t>
  </si>
  <si>
    <t>COLLEGE OF ENGINEERING, PUNE</t>
  </si>
  <si>
    <t>AutoCAD,MS Project,Primavera,CostX,Revit</t>
  </si>
  <si>
    <t>Anand Builders And Developers, Nashik | Execution and Planning Intern | Nashik | Aug 2024 | May 2025 | 39 Weeks</t>
  </si>
  <si>
    <t>Minor in Financial Engineering</t>
  </si>
  <si>
    <t>P25700543</t>
  </si>
  <si>
    <t>NAVEEN</t>
  </si>
  <si>
    <t>JOSON</t>
  </si>
  <si>
    <t>Naveen Joson</t>
  </si>
  <si>
    <t>naveenjoson@gmail.com</t>
  </si>
  <si>
    <t>p25700543@student.nicmar.ac.in</t>
  </si>
  <si>
    <t>29-Sep-1999</t>
  </si>
  <si>
    <t>6160 5414 4107</t>
  </si>
  <si>
    <t>JOSON MANAVALAN</t>
  </si>
  <si>
    <t>LAKSHMI T</t>
  </si>
  <si>
    <t>62/980 Thottekkat House, Thottekkat Compound, Durbar Hall Road, Kochi</t>
  </si>
  <si>
    <t>BHAVANS VIDYA MANDIR GIRINAGAR COCHIN KERALA</t>
  </si>
  <si>
    <t>SCHOOL  OF ENGINEERING, CUSAT, KOCHI</t>
  </si>
  <si>
    <t>MS Office,Java,Tableau,MySQL</t>
  </si>
  <si>
    <t>Tata Consultancy Services | Assistant Systems Engineer | Kochi, Kerala | Dec 2021 | Jan 2024 | 2Y 0M | 3.88</t>
  </si>
  <si>
    <t>Sobha Limited | Project Management Intern | Hyderabad, Telangana | May 2026 | Jul 2026 | 9 Weeks | Campus Internship
The Fertilisers and Chemicals Travancore Limited | Internship Trainee | Udyogamandal, Ernakulam, Kerala | Jun 2019 | Jun 2019 | 0.71428571428571 Weeks</t>
  </si>
  <si>
    <t>Professional Certificate Course in Data Analytics</t>
  </si>
  <si>
    <t>P25700544</t>
  </si>
  <si>
    <t>NASANAKOTA</t>
  </si>
  <si>
    <t>TARUN</t>
  </si>
  <si>
    <t>Nasanakota Tarun Krishna</t>
  </si>
  <si>
    <t>ntk6219@gmail.com</t>
  </si>
  <si>
    <t>p25700544@student.nicmar.ac.in</t>
  </si>
  <si>
    <t>03-Aug-2001</t>
  </si>
  <si>
    <t>English,Hindi,Telugu,Kannada</t>
  </si>
  <si>
    <t>2423 2106 0439</t>
  </si>
  <si>
    <t>NASANAKOTA RAMA MOHAN</t>
  </si>
  <si>
    <t>NASANAKOTA LEELE</t>
  </si>
  <si>
    <t>7-3-100,Old Bellary Road,Beside Chruch</t>
  </si>
  <si>
    <t>BOARD OF SECONDARY EDUCATION,ANDHRA PRADESH</t>
  </si>
  <si>
    <t>SRI CHAITANYA BOYS JR.COLLEGE</t>
  </si>
  <si>
    <t>BOARD OF INTERMEDIATE EDUCATION,ANDHRA PRADESH</t>
  </si>
  <si>
    <t>Cost control &amp; forecasting , Cashflows Forecasting, Risk Management, MS Office,MS Project,Primavera,Revit,Power BI,Delay analysis,MIS and performance reporting,Job Cost Reporting (JCR),Naviswork,RIB CostX,Quantum analysis</t>
  </si>
  <si>
    <t>L&amp;T Construction | Project Controls  | Bengaluru | Oct 2022 | Jun 2025 | 2Y 8M | 7.3
Ashiana Housing Ltd | Graduate Trainee Engineer | Jaipur | Jun 2022 | Oct 2022 | 0Y 3M | 3.6</t>
  </si>
  <si>
    <t>MASIN PROJECTS | INTERN, QUANTUM DEPARTMENT | GURUGRAM | May 2026 | Jul 2026 | 8.7142857142857 Weeks | Campus Internship</t>
  </si>
  <si>
    <t>Project Management Professional (PMP)Â®-4215403
Essentials of project planning and control(EPCC) 2.0
Oil &amp; Gas Industry Operations and Markets
BIM professional course for Architects and Engineers</t>
  </si>
  <si>
    <t>P25700545</t>
  </si>
  <si>
    <t>KASUKURTHI</t>
  </si>
  <si>
    <t>MAHESH BABU</t>
  </si>
  <si>
    <t>Kasukurthi Mahesh Babu</t>
  </si>
  <si>
    <t>maheshbabuk2003@gmail.com</t>
  </si>
  <si>
    <t>p25700545@student.nicmar.ac.in</t>
  </si>
  <si>
    <t>17-Feb-2003</t>
  </si>
  <si>
    <t>8567 1193 1994</t>
  </si>
  <si>
    <t>KASUKURTHI SRINU</t>
  </si>
  <si>
    <t>KASUKURTHI MAHESH BABU</t>
  </si>
  <si>
    <t>LAKSHMI GANAPTHI BOYS PG, EMERALD PARK-2, PATIL WASTI, PATI NAGAR, BALEWADI</t>
  </si>
  <si>
    <t>14 -121, Ambedkar Nagar, Tanguturu, Prakasam</t>
  </si>
  <si>
    <t>Prakasam</t>
  </si>
  <si>
    <t>ANDHRA PRADESH RESIDENTIAL JUNIOR COLLEGE</t>
  </si>
  <si>
    <t>BOARD OF INTERMEDIATE EDUCATION ANDHARA PRAESH</t>
  </si>
  <si>
    <t>VELAGAPUDI RAMAKRISHNA SIDDHARTHA ENGINEERING COLLEGE VIJAYAWADA</t>
  </si>
  <si>
    <t>Kalpataru projects international limited | Graduate Engineer Trainee | Mangalagiri, Guntur district, Andhra Pradesh  | Jul 2024 | Aug 2025 | 1Y 1M | 4.5</t>
  </si>
  <si>
    <t>Fortress Infracon Limited | Project Management Consultancy Intern | Pune | May 2026 | Jul 2026 | 9.5714285714286 Weeks | Campus Internship
AURO REALITY | GET | HYDERABAD | May 2023 | Jun 2023 | 4.4285714285714 Weeks</t>
  </si>
  <si>
    <t>P25700546</t>
  </si>
  <si>
    <t>ABHIRISHI</t>
  </si>
  <si>
    <t>JASWANT</t>
  </si>
  <si>
    <t>Abhirishi Jaswant Kumar</t>
  </si>
  <si>
    <t>abhirishijk@gmail.com</t>
  </si>
  <si>
    <t>p25700546@student.nicmar.ac.in</t>
  </si>
  <si>
    <t>15-Nov-2002</t>
  </si>
  <si>
    <t>6587 0517 8805</t>
  </si>
  <si>
    <t>MR. JASWANT KUMAR SINGH</t>
  </si>
  <si>
    <t>MRS. ASHA RANI</t>
  </si>
  <si>
    <t>B-204, Ishwari Enclave, Vidyapati Nagar, Kanke Road, Ranchi.</t>
  </si>
  <si>
    <t>DAV PUBLIC SCHOOL, GANDHI NAGAR CCL, RANCHI, JHARKHAND.</t>
  </si>
  <si>
    <t>CENTRAL BOARD OF SECONDARY EDUCATION RANCHI/JHARKHAND</t>
  </si>
  <si>
    <t>DY PATIL UNIVERSITY, PUNE, AMBI</t>
  </si>
  <si>
    <t>DY PATIL UNIVERSITY PUNE/MAHARASHTRA</t>
  </si>
  <si>
    <t>AutoCAD,MS Office,MS Project,Primavera,CostX,Revit,Naviswork</t>
  </si>
  <si>
    <t>GOA STATE INFRASTRUCTURE DEVELOPMENT CORPORATION LIMITED (GSIDC), GOA | SITE EXECUTION INTERN | PANAJI, GOA | May 2026 | Jul 2026 | 8.7142857142857 Weeks | Campus Internship
RAM KRIPAL SINGH CONSTRUCTION PVT. LTD. | Project Management Intern | Ranchi, Jharkhand. | Jun 2024 | Jul 2024 | 4.4285714285714 Weeks
ABHISHEK SOLAR INDUSTRIES PVT. LTD. | SITE ENGINEER | GUMLA, JHARKHAND | Jul 2023 | Aug 2023 | 4.4285714285714 Weeks</t>
  </si>
  <si>
    <t>Student Mobility Program - INTI International University, Malaysia</t>
  </si>
  <si>
    <t>P25700547</t>
  </si>
  <si>
    <t>SRI SAI VENKAT</t>
  </si>
  <si>
    <t>VANKAYALA</t>
  </si>
  <si>
    <t>Sri Sai Venkat Vankayala</t>
  </si>
  <si>
    <t>venkatvankayala23@gmail.com</t>
  </si>
  <si>
    <t>p25700547@student.nicmar.ac.in</t>
  </si>
  <si>
    <t>14-Jul-2004</t>
  </si>
  <si>
    <t>ENGLISH,TELUGU,TAMIL,HINDI</t>
  </si>
  <si>
    <t>4260 1140 5334</t>
  </si>
  <si>
    <t>VANKAYALA KAMESWARA RAO</t>
  </si>
  <si>
    <t>VANKAYALA RATNA LAKSHMI</t>
  </si>
  <si>
    <t>55-14-9/1, Ground Floor , Jayaram Enclave, A.P.S.E.B Layout, Seethammadhara , Visakhapatnam</t>
  </si>
  <si>
    <t>SARANYA CONCEPT SCHOOL</t>
  </si>
  <si>
    <t>CENTRAL BOARD OF SECONDARY EDUCATON , KORINGA POST , KAKINADA</t>
  </si>
  <si>
    <t>ADITYA JUNIOR COLLEGE</t>
  </si>
  <si>
    <t>BOARD OF INTERMEDIATE EDUCATION ANDHRA PRADESH , KAKINADA</t>
  </si>
  <si>
    <t>AMRITA SCHOOL OF ENGINEERING , COIMBATORE</t>
  </si>
  <si>
    <t>AutoCAD,MS Office,MS Project,Sketch Up 3D,BIM</t>
  </si>
  <si>
    <t>LIXIL Window System PVT.LTD | Graduate Engineer Trainee | Gurugram, Delhi | Jan 2025 | May 2025 | 16 Weeks
L&amp;T EDUTECH | INDUSTRY INTERNSHIP | CHENNAI | Jul 2023 | Aug 2023 | 1.5714285714286 Weeks
L&amp;T EDUTECH | INDUSTRY INTERNSHIP | Chennai | Jun 2024 | Jul 2024 | 1.5714285714286 Weeks</t>
  </si>
  <si>
    <t>Finance for Non-Financial Managers
NATIONAL STUDENTS PARYAVARAN COMPETITION
Principles of Construction Management
Concreting Techniques and Practices
Building Information Modeling
Safety for Professionals
Precast Members - Systems and Construction
Bridge Engineering Design Practices
Design of Structural Steel Members
Ethics in Engineering Practice</t>
  </si>
  <si>
    <t>P25700548</t>
  </si>
  <si>
    <t>HARISH</t>
  </si>
  <si>
    <t>SALVI</t>
  </si>
  <si>
    <t>Harish Shivaji Salvi</t>
  </si>
  <si>
    <t>salviharish59@gmail.com</t>
  </si>
  <si>
    <t>p25700548@student.nicmar.ac.in</t>
  </si>
  <si>
    <t>3202 2383 2378</t>
  </si>
  <si>
    <t>A/203, Om Sai Kiran, Damodar Nagar, Netivali, Kalyan East</t>
  </si>
  <si>
    <t>LOK KALYAN PUBLIC SCHOOL</t>
  </si>
  <si>
    <t>RAMCHAND KIMATRAM TALREJA COLLEGE OF ARTS, SCIENCE &amp; COMMERCE</t>
  </si>
  <si>
    <t>DIPLOMA IN  CIVIL ENGINEERING</t>
  </si>
  <si>
    <t>G.V. ACHARYA POLYTECHNIC, SHELU</t>
  </si>
  <si>
    <t>A.P. SHAH INSTITUTE OF TECHNOLOGY</t>
  </si>
  <si>
    <t>AutoCAD,MS Office,MS Project,Revit (Architecture)</t>
  </si>
  <si>
    <t>Prestige Estates Projects Limited | Project Management Intern | Mulund | May 2026 | Jul 2026 | 8.5714285714286 Weeks | Campus Internship
Radhika Construction Company | Inplant Trainee Engineer | Dombivli | Jun 2023 | Jul 2023 | 4.2857142857143 Weeks</t>
  </si>
  <si>
    <t>P25700549</t>
  </si>
  <si>
    <t>SHAURYA</t>
  </si>
  <si>
    <t>Shaurya Mishra</t>
  </si>
  <si>
    <t>smishra2032000@gmail.com</t>
  </si>
  <si>
    <t>p25700549@student.nicmar.ac.in</t>
  </si>
  <si>
    <t>20-Mar-2000</t>
  </si>
  <si>
    <t>9295 6617 5131</t>
  </si>
  <si>
    <t>AWANISH KUMAR MISHRA</t>
  </si>
  <si>
    <t>SHABNAM MISHRA</t>
  </si>
  <si>
    <t>QUARTER TYPE V/2, PLOT NO. A/2, DGMS RESIDENTIAL COLONY, NEAR JANATHA MAIDAN, NAYAPALLI, PO RRL CAMPUS</t>
  </si>
  <si>
    <t>4E, Vyas Enclave, Antu Chowk, Tagore Hill Road, Morabadi, Ranchi</t>
  </si>
  <si>
    <t>DHANBAD PUBLIC SCHOOL</t>
  </si>
  <si>
    <t>DHANBAD , JHARKHAND</t>
  </si>
  <si>
    <t>SHIV JYOTI SR SEC SCHOOL</t>
  </si>
  <si>
    <t>KOTA, RAJASTHAN</t>
  </si>
  <si>
    <t>MANIPAL INSTITUTE OF TECHNOLOGY, MANIPAL UDUPI, KARNATAKA</t>
  </si>
  <si>
    <t>Dalmia Bharat Limited | Senior Executive Engineer Civil | Umrangso, Dima Hasao District, Assam | May 2024 | Jun 2025 | 1Y 1M | 5.5</t>
  </si>
  <si>
    <t>NHAI ( Chaitanya Projects) | Intern | Sawai Madhopur , Rajasthan | Feb 2022 | May 2022 | 15.857142857143 Weeks
NAGARJUNA CONSTRUCTION COMPANY LTD ( NCC LTD) | INTERN | PATNA | Jul 2021 | Aug 2021 | 4.2857142857143 Weeks</t>
  </si>
  <si>
    <t>Finance for Non Financial Managers by Coursera
NPTEL Ethics in Engineering by IIT Kharagpur</t>
  </si>
  <si>
    <t>P25700550</t>
  </si>
  <si>
    <t>MANGESHRAO</t>
  </si>
  <si>
    <t>KHONDE</t>
  </si>
  <si>
    <t>Krishna Mangeshrao Khonde</t>
  </si>
  <si>
    <t>krishnakhonde39@gmail.com</t>
  </si>
  <si>
    <t>p25700550@student.nicmar.ac.in</t>
  </si>
  <si>
    <t>30-Apr-2004</t>
  </si>
  <si>
    <t>English, Hindi , Marathi</t>
  </si>
  <si>
    <t>4382 9454 4788</t>
  </si>
  <si>
    <t>MANGESH DAMODHARRAO KHONDE</t>
  </si>
  <si>
    <t>SHARDA MANGESHRAO KHONDE</t>
  </si>
  <si>
    <t>C-104,7 AVENUES ,PATIL WASTI , BALEWADI ,PUNE , 411045</t>
  </si>
  <si>
    <t>DEEP NAGAR NO 1, CHATRI TALAO ROAD, AMRAVATI</t>
  </si>
  <si>
    <t>DNYANMATA HIGH SCHOOL</t>
  </si>
  <si>
    <t>NARAYAN JUNIOR COLLEGE</t>
  </si>
  <si>
    <t>TELANGANA STATE BOARD OF INTERMEDIATE EDUCATION, VIDYA BHAVAN, NAMPALLY, HYDERABAD</t>
  </si>
  <si>
    <t>SAVITRIBAI PHULE PUNE UNIVERSITY , GANESHKHIND PUNE,411007</t>
  </si>
  <si>
    <t>D.Y.PATIL COLLEGE OF ENGINEERING, AKURDI , PUNE, MAHARASHTRA</t>
  </si>
  <si>
    <t>AutoCAD,Revit Architecture</t>
  </si>
  <si>
    <t>Pethkar Projects | Site Engineer | pune | Dec 2023 | Jan 2024 | 4.4285714285714 Weeks</t>
  </si>
  <si>
    <t>Construction Skill Development Council Of India
Revit Architecture
AUTOCAD</t>
  </si>
  <si>
    <t>P25700551</t>
  </si>
  <si>
    <t>DHARMADHIKARI</t>
  </si>
  <si>
    <t>Atharva Sanjay Dharmadhikari</t>
  </si>
  <si>
    <t>atharvadharmadhikari2001@gmail.com</t>
  </si>
  <si>
    <t>p25700551@student.nicmar.ac.in</t>
  </si>
  <si>
    <t>ENGLISH HINDI MARATHI GERMAN</t>
  </si>
  <si>
    <t>6043 7630 5341</t>
  </si>
  <si>
    <t>SANJAY DHARMADHIKARI</t>
  </si>
  <si>
    <t>SNEHA DHARMADHIKARI</t>
  </si>
  <si>
    <t>Atharva Residency, Govt Colony, Vishrambag, Sangli, 416415</t>
  </si>
  <si>
    <t>ALPHONSA SCHOOL, MIRAJ</t>
  </si>
  <si>
    <t>CAMBRIDGE JUNIOR SCHOOL, MIRAJ</t>
  </si>
  <si>
    <t>PVPIT,BUDHGOAN, SANGLI</t>
  </si>
  <si>
    <t>AutoCAD,MS Office,MS Project,Primavera,Stadd pro,Rcdc,CostX,BIM</t>
  </si>
  <si>
    <t>Rajvardhan Constructions | Civil Engineer | Sangli | Sep 2024 | Jun 2025 | 39.714285714286 Weeks
Gayatri Developers | Junior Engineer | Sangli | Jun 2024 | Aug 2024 | 13 Weeks</t>
  </si>
  <si>
    <t>P25700552</t>
  </si>
  <si>
    <t>TANUJ</t>
  </si>
  <si>
    <t>MADHUKAR</t>
  </si>
  <si>
    <t>SAHARE</t>
  </si>
  <si>
    <t>Tanuj Madhukar Sahare</t>
  </si>
  <si>
    <t>saharetanuj65@gmail.com</t>
  </si>
  <si>
    <t>p25700552@student.nicmar.ac.in</t>
  </si>
  <si>
    <t>24-Sep-1998</t>
  </si>
  <si>
    <t>7880 6902 7367</t>
  </si>
  <si>
    <t>MADHUKAR SAHARE</t>
  </si>
  <si>
    <t>DURGA SAHARE</t>
  </si>
  <si>
    <t>DENA NAGAR , BEHIND BHOLE PETROL PUMP, NH6 , AT POST TAL:- BHUSAWAL</t>
  </si>
  <si>
    <t>Ram Mandir Ward , Ram Mandir Road , Sindewahi</t>
  </si>
  <si>
    <t>TAPTI PUBLIC SCHOOL, BHUSAWAL</t>
  </si>
  <si>
    <t>P.0.NAHATA COLLEGE , BHUSAWAL</t>
  </si>
  <si>
    <t>DR. BABASAHEB AMBEDKAR TECHNOLOGICAL UNIVERSITY, LONERE, RAIGAD</t>
  </si>
  <si>
    <t>SHRI SANT GADGE BABA COLLEGE OF ENGINEERING AND TECHNOLOGY,ZTC, BHUSAWAL</t>
  </si>
  <si>
    <t>AutoCAD,MS Office,MS Project,Primavera,3D MAX,EXCEL</t>
  </si>
  <si>
    <t>M/s. Chaturbhuj Constructions , Bhusawal | Senior Site engineer | Bhusawal | May 2022 | May 2025 | 3Y 0M | 2.2</t>
  </si>
  <si>
    <t>SINGHANIA BUILDCON Pvt. Ltd | PLanning , Site execution and Control | Raipur | May 2026 | Jul 2026 | 8.7142857142857 Weeks | Campus Internship
Jivan Pramod Sarode | Site Engineer | BHusawal | Dec 2021 | Apr 2022 | 21.428571428571 Weeks
Dhananjay Nath Tiwari | Intern at site | Bhusawal | Dec 2018 | Dec 2018 | 2.1428571428571 Weeks</t>
  </si>
  <si>
    <t>Elementary and Intermediate grade Drawing Examination
E Tendering programme
Auto Cad , 3d MAX</t>
  </si>
  <si>
    <t>P25700553</t>
  </si>
  <si>
    <t>SAMEEP</t>
  </si>
  <si>
    <t>KUMBALKAR</t>
  </si>
  <si>
    <t>Sameep Jagdish Kumbalkar</t>
  </si>
  <si>
    <t>sameepk31@gmail.com</t>
  </si>
  <si>
    <t>p25700553@student.nicmar.ac.in</t>
  </si>
  <si>
    <t>31-Jul-2003</t>
  </si>
  <si>
    <t>4147 9757 1147</t>
  </si>
  <si>
    <t>JAGDISH BHAGWANTRAO KUMBALKAR</t>
  </si>
  <si>
    <t>SUJATA JAGDISH KUMBALKAR</t>
  </si>
  <si>
    <t>FLAT 605 AMAR SERINITY E WING PASHAN PUNE 411021</t>
  </si>
  <si>
    <t>12, VIJSNEHI COLONY KATHORA ROAD AMRAVATI 444604</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</si>
  <si>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</si>
  <si>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</si>
  <si>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</si>
  <si>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</si>
  <si>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</si>
  <si>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HAARDHIK IMPULSE DEVELOPERS LLP | TRAINEE ENGINEER | MOSHI , PUNE 412105 | Dec 2023 | Jan 2024 | 4.4285714285714 Weeks</t>
  </si>
  <si>
    <t>P25700554</t>
  </si>
  <si>
    <t>Shubham Dilip Shinde</t>
  </si>
  <si>
    <t>shubhamshinde5175@gmail.com</t>
  </si>
  <si>
    <t>p25700554@student.nicmar.ac.in</t>
  </si>
  <si>
    <t>04-Mar-2000</t>
  </si>
  <si>
    <t>marathi, english,hindi</t>
  </si>
  <si>
    <t>7847 5502 8276</t>
  </si>
  <si>
    <t>VANITA</t>
  </si>
  <si>
    <t>604 Brindavan Vatika, Near KDMC B WARD OFFICE, OPP. Cinemax, Barave Road, Khadakpada, Kalyan(W)</t>
  </si>
  <si>
    <t>SHREE  GAJANAN VIDHALAY</t>
  </si>
  <si>
    <t>K. M. AGARRWAL</t>
  </si>
  <si>
    <t>S.H. JONDHALE COLLEGE  POLYTECHNIC DOMBIVLI</t>
  </si>
  <si>
    <t>M.G.M COLLEGE OF ENGINEERING AND TECHNOLOGY. KAMOTHE.</t>
  </si>
  <si>
    <t>PSP Projects | Civil Intern | mahim, mumbai | May 2026 | Jul 2026 | 8.7142857142857 Weeks | Campus Internship
Ethics Infotech | intern  | Thane | May 2019 | Jun 2019 | 5.8571428571429 Weeks
Eagle Design And Construction | intern  | kalyan | Oct 2024 | Jan 2025 | 13.571428571429 Weeks</t>
  </si>
  <si>
    <t>P25700555</t>
  </si>
  <si>
    <t>KARTIK</t>
  </si>
  <si>
    <t>SHELKE</t>
  </si>
  <si>
    <t>Kartik Sunil Shelke</t>
  </si>
  <si>
    <t>kartikshelke976@gmail.com</t>
  </si>
  <si>
    <t>p25700555@student.nicmar.ac.in</t>
  </si>
  <si>
    <t>6191 2097 1746</t>
  </si>
  <si>
    <t>SUNIL SHELKE</t>
  </si>
  <si>
    <t>LATA SHELKE</t>
  </si>
  <si>
    <t>PARK CONNECT RAJIV GANDHI IT PARK, HINJEWADI PHASE 1 , 411057</t>
  </si>
  <si>
    <t>Samarth Super Shop, Ekta Nagar , Buldana , 443001</t>
  </si>
  <si>
    <t>BHARAT VIDAYALAYA BULDANA</t>
  </si>
  <si>
    <t>SHARAD PAWAR VIDYALAYA AND KANISTHA MAHAVIDYALAYA BULDANA</t>
  </si>
  <si>
    <t>DR.D Y PATIL INSTITUTE OF ENGINEERING MANAGEMENT AND RESEARCH,PUNE</t>
  </si>
  <si>
    <t>AutoCAD,MS Office,MS Project,Oracle Fusion</t>
  </si>
  <si>
    <t>Kirloskar Ferrous Industries limited | Senior Engineer | Baramati | Oct 2024 | May 2025 | 0Y 7M | 4.65
Kirloskar Ferrous Industries limited | Graduate Enginner Trainee | Baramati | Oct 2023 | Oct 2024 | 0Y 11M | 4</t>
  </si>
  <si>
    <t>EZ Realty | Management Consultant | Kharadi , Pune | May 2026 | Jul 2026 | 8.7142857142857 Weeks | Campus Internship</t>
  </si>
  <si>
    <t>P25700557</t>
  </si>
  <si>
    <t>JAYWANT</t>
  </si>
  <si>
    <t>Chinmay Jaywant Patil</t>
  </si>
  <si>
    <t>patilchinmay2000@gmail.com</t>
  </si>
  <si>
    <t>p25700557@student.nicmar.ac.in</t>
  </si>
  <si>
    <t>14-Nov-2000</t>
  </si>
  <si>
    <t>6774 2379 2603</t>
  </si>
  <si>
    <t>JAYWANT RAGHO PATIL</t>
  </si>
  <si>
    <t>SUSHILA</t>
  </si>
  <si>
    <t>FLAT NO-403, 4TH FLOOR, AURUS SOCIETY, VIRBHADRA NAGAR, BANER- PUNE</t>
  </si>
  <si>
    <t>Plot No- 319, Near Vajreshwari Temple, Shivaji Nagar, Jalgaon</t>
  </si>
  <si>
    <t>LALJI NARAYANJI SARVAJANIK VIDYALAY, JALGAON</t>
  </si>
  <si>
    <t>SECONDARY AND HIGHER SECONDARY EDUCATION, PUNE/MAHARSHTRA</t>
  </si>
  <si>
    <t>GOVERNMENT POLYTECHNIC, AWSARI(KH), PUNE</t>
  </si>
  <si>
    <t>SINHGAD ACADEMY OF ENGINEERING, PUNE</t>
  </si>
  <si>
    <t>MSP (Microsoft Project), Primavera P6, SAP (ERP), MS Office, Revit, Intermediate Drawing Grade Examination, MS- CIT, KLiC Certificate Courses of AutoCAD</t>
  </si>
  <si>
    <t>J. K. Construction | Site Engineer | Pune | Sep 2023 | Mar 2024 | 0Y 6M | 1
Ganesh B. Dabak | Site Engineer | Pune | Apr 2024 | Apr 2025 | 1Y 0M | 1.1</t>
  </si>
  <si>
    <t>NIRTMITEE | TRAINEE ENGINEER | VILE PAREL (EAST), MUMBAI | Mar 2022 | Apr 2022 | 6.5714285714286 Weeks
Hiranandani Group | Project Contract and Planning Intern | Powai, Mumbai | May 2026 | Jul 2026 | 9 Weeks</t>
  </si>
  <si>
    <t>MS- CIT
Intermediate Drawing Grade Examination
KLiC Certificate Course in AutoCAD</t>
  </si>
  <si>
    <t>P25700558</t>
  </si>
  <si>
    <t>YADHNESHRAJE</t>
  </si>
  <si>
    <t>Yadhneshraje Kishor Burade</t>
  </si>
  <si>
    <t>yadhnesh01@gmail.com</t>
  </si>
  <si>
    <t>p25700558@student.nicmar.ac.in</t>
  </si>
  <si>
    <t>22-Oct-2001</t>
  </si>
  <si>
    <t>Hindi, Marathi, English</t>
  </si>
  <si>
    <t>7253 0245 6462</t>
  </si>
  <si>
    <t>KISHOR S. BURADE</t>
  </si>
  <si>
    <t>GOVERMENT SERVENT</t>
  </si>
  <si>
    <t>JYOTI S. BURADE</t>
  </si>
  <si>
    <t>BALEWADI, PUNE, MAHARASHTRA</t>
  </si>
  <si>
    <t>Mahal, Nagpur, Maharashtra</t>
  </si>
  <si>
    <t>NITYANAND VIDYALAY</t>
  </si>
  <si>
    <t>NAGPUR</t>
  </si>
  <si>
    <t>NANDANWAN HIGH SCHOOL</t>
  </si>
  <si>
    <t>PRIYADARSHINI INSTITUTE OF ARCHITECTURE AND DESIGN STUDIES</t>
  </si>
  <si>
    <t>AutoCAD,MS Office,Photoshop,Lumion,Sketchup,Blender,Revit</t>
  </si>
  <si>
    <t>SHITESH AGRAWAL ARCHITECTS PVT. LTD. | ARCHITECTURAL INTERN | PUNE | Jan 2023 | Sep 2023 | 34 Weeks</t>
  </si>
  <si>
    <t>BIM Fundamentals for Engineers
Finance for Non-Financial Managers</t>
  </si>
  <si>
    <t>P25700559</t>
  </si>
  <si>
    <t>GADA</t>
  </si>
  <si>
    <t>Anant Gada</t>
  </si>
  <si>
    <t>anantgada5011@gmail.com</t>
  </si>
  <si>
    <t>p25700559@student.nicmar.ac.in</t>
  </si>
  <si>
    <t>21-Feb-2003</t>
  </si>
  <si>
    <t>ENGLISH ,KANNADA ,HINDI , TELUGU</t>
  </si>
  <si>
    <t>8334 8418 8547</t>
  </si>
  <si>
    <t>SURENDRA GADA</t>
  </si>
  <si>
    <t>VEENA S GADA</t>
  </si>
  <si>
    <t>HNO 1-6/3,Garden Road,Gada Complex , Vasant Rao Jajee Layout_x000D_</t>
  </si>
  <si>
    <t>SWAMINARAYAN INTERNATIONAL SCHOOL GULBARGA</t>
  </si>
  <si>
    <t>GURUKUL PU COLLEGEOF SC</t>
  </si>
  <si>
    <t>DEPARTMENT OF PRE-UNIVERSITY EDUCTATION,KARNATAKA</t>
  </si>
  <si>
    <t>AutoCAD,MS Office,MS Project,Primavera,Revit,SketchUp,Photoshop,Canva,D5</t>
  </si>
  <si>
    <t>SANKALP ASSOCIATES | INTERN  | KALABURAGI  | Dec 2024 | Apr 2025 | 15.857142857143 Weeks</t>
  </si>
  <si>
    <t>P25700560</t>
  </si>
  <si>
    <t>INDULE</t>
  </si>
  <si>
    <t>Rohit Sanjay Indule</t>
  </si>
  <si>
    <t>rohitindule@gmail.com</t>
  </si>
  <si>
    <t>p25700560@student.nicmar.ac.in</t>
  </si>
  <si>
    <t>06-Feb-2002</t>
  </si>
  <si>
    <t>8931 4429 5243</t>
  </si>
  <si>
    <t>Flat No. E - 1103, The Metropolitan Society, Opposite Darshan Hall, Pimpri-Chinchwad Link Road, Chinchwad, Pune 411033</t>
  </si>
  <si>
    <t>CITY INTERNATONAL SCHOOL AUNDH PUNE MR</t>
  </si>
  <si>
    <t>THE ORCHID SCHOOL PUNE MAHARASHTRA</t>
  </si>
  <si>
    <t>PIMPRI CHINCHWAD EDUCATION TRUST'S  PIMPRI CHINCHWAD COLLEGE OF ENGINEERING NIGDI PUNE</t>
  </si>
  <si>
    <t>know How Schools LLP | Onsite Civil Training Intern (Building Construction)) | Pune | Jun 2023 | Jul 2023 | 4.2857142857143 Weeks</t>
  </si>
  <si>
    <t>P25700561</t>
  </si>
  <si>
    <t>ROHAN KUMAR</t>
  </si>
  <si>
    <t>RAMADUGU</t>
  </si>
  <si>
    <t>Rohan Kumar Ramadugu</t>
  </si>
  <si>
    <t>rohankumarramadugu@gmail.com</t>
  </si>
  <si>
    <t>p25700561@student.nicmar.ac.in</t>
  </si>
  <si>
    <t>14-Sep-2001</t>
  </si>
  <si>
    <t>ENGLISH, HINDI AND TELUGU</t>
  </si>
  <si>
    <t>8250 2153 3467</t>
  </si>
  <si>
    <t>RAMADUGU SREENIVASULU</t>
  </si>
  <si>
    <t>RAMADUGU SRIDEVI</t>
  </si>
  <si>
    <t>H.no 6-3-1113 JM Apartment, Flat No 102, 1st Floor, Nishat Bagh Colony, Somajiguda, Hyderabad, Telangana</t>
  </si>
  <si>
    <t>BOARD OF SECONDARY EDUCATION, TELANGANA STATE</t>
  </si>
  <si>
    <t>DELTA JUNIOR COLLEGE</t>
  </si>
  <si>
    <t>JAWAHARLAL NEHRU ARCHITECTURE AND FINE ARTS UNIVERSITY, SPA</t>
  </si>
  <si>
    <t>AutoCAD,MS Office,MS Project,Primavera,Revit,BIM,Navisworks,CostX,SketchUp,Adobe Photoshop,Adobe Indesign,Lumion</t>
  </si>
  <si>
    <t>Team One India Pvt.Ltd | Architect (Design Co-ordination) | Hyderabad, Telangana | Jul 2024 | Jun 2025 | 0Y 11M | 3.6</t>
  </si>
  <si>
    <t>Cherry Hill Interiors Pvt Ltd | Project Management Intern | Hyderabad, Telangana | May 2026 | Jul 2026 | 8.5714285714286 Weeks | Campus Internship
LIQUID SPACE ARCHITECTURE AND DESIGN PVT.LTD | Architectural Intern | HYDERABAD, TELANGANA | Jul 2023 | Dec 2023 | 20 Weeks</t>
  </si>
  <si>
    <t>IGBC AP Associate from CII - Indian Green Building Council (IGBC)
Lean Six Sigma Green Belt Certificate from KPMG
Certificate of Achievement/Solar Decathlon India
Certificate of Participation/The Indian Institute of Architects
Ethics in Engineering Practice from NPTEL
Introduction to Japanese Language and Culture from NPTEL
Certificate of Appreciation / Student Volunteer for ICCRIP held at NICMAR University
Certificate of Participation/ATELIER INTERNATIONAL D'ARCHITECTURE CONSTRUITE
Certificate of Completion/Self-Learning Modules on Net-Zero Energy and Water Buildings
Certificate of Participation/Solar Decathlon India</t>
  </si>
  <si>
    <t>P25700562</t>
  </si>
  <si>
    <t>CS DEVADATHAN</t>
  </si>
  <si>
    <t>NAMBOOTHIRY</t>
  </si>
  <si>
    <t>Cs Devadathan Namboothiry</t>
  </si>
  <si>
    <t>devadathanchandramana@gmail.com</t>
  </si>
  <si>
    <t>p25700562@student.nicmar.ac.in</t>
  </si>
  <si>
    <t>English, Malayalam,Tamil</t>
  </si>
  <si>
    <t>6513 0758 0801</t>
  </si>
  <si>
    <t>CS SREEDHARAN NAMBOOTHIRY</t>
  </si>
  <si>
    <t>COOPERATIVE EMPLOYEE</t>
  </si>
  <si>
    <t>GEETHA DEVI M</t>
  </si>
  <si>
    <t>Chandramana _x000D_
Pathirappally.P.O_x000D_
Alappuzha</t>
  </si>
  <si>
    <t>MATHA SENIOR SECONDARY SCHOOL</t>
  </si>
  <si>
    <t>CBSE BOARD - ALAPPUZHA , KERALA</t>
  </si>
  <si>
    <t>HSS THIRUVAMBADY</t>
  </si>
  <si>
    <t>DHSE BOARD -ALAPPUZHA, KERALA</t>
  </si>
  <si>
    <t>RAJAGIRI SCHOOL OF ENGINEERING AND TECHNOLOGY ,ERNAKULAM , KERALA</t>
  </si>
  <si>
    <t>AutoCAD,MS Project,Primavera,eQUEST</t>
  </si>
  <si>
    <t>J &amp; J CONSTRUCTION | INTERN | THIRUVANANTHAPURAM, VAIKOM | Jul 2024 | Jul 2024 | 1.2857142857143 Weeks</t>
  </si>
  <si>
    <t>P25700563</t>
  </si>
  <si>
    <t>ANTONY</t>
  </si>
  <si>
    <t>THOMAS</t>
  </si>
  <si>
    <t>Antony Thomas</t>
  </si>
  <si>
    <t>antonykt2000@gmail.com</t>
  </si>
  <si>
    <t>p25700563@student.nicmar.ac.in</t>
  </si>
  <si>
    <t>18-Mar-2000</t>
  </si>
  <si>
    <t>7689 3134 1942</t>
  </si>
  <si>
    <t>K.PAUL THOMAS</t>
  </si>
  <si>
    <t>INSURANCE AGENT</t>
  </si>
  <si>
    <t>JIBI THOMAS</t>
  </si>
  <si>
    <t>HOUSE NO. 92A_x000D_
KURUSSUVEETTIL HOUSE_x000D_
THOTTUMUGHOM P.O, ALUVA</t>
  </si>
  <si>
    <t>MAR ATHANASIUS COLLEGE OF ENGINEERING, KOTHAMANGALAM</t>
  </si>
  <si>
    <t>AutoCAD, Revit, Navisworks, MS Office, MS Project, Primavera, RIB CostX, Facts ERP</t>
  </si>
  <si>
    <t>ASTRA ENGINEERING &amp; CONSTRUCTION LLC | ENGINEER - PLANNING | SHARJAH, UNITED ARAB EMIRATES | Jun 2023 | Apr 2025 | 1Y 10M | 15.18</t>
  </si>
  <si>
    <t>JYOTI STRUCTURES LIMITED | SUMMER INTERN | GUJARAT | May 2026 | Jul 2026 | 8.5714285714286 Weeks | Campus Internship</t>
  </si>
  <si>
    <t>PRIMAVERA WITH PPM CONCEPTS
REVIT ARCHITECTURE
AutoCAD (CIVIL)</t>
  </si>
  <si>
    <t>P25700564</t>
  </si>
  <si>
    <t>JALLELA</t>
  </si>
  <si>
    <t>Dinesh Yadav Jallela</t>
  </si>
  <si>
    <t>dineshjallela@gmail.com</t>
  </si>
  <si>
    <t>p25700564@student.nicmar.ac.in</t>
  </si>
  <si>
    <t>15-Oct-2002</t>
  </si>
  <si>
    <t>3821 8084 7178</t>
  </si>
  <si>
    <t>JALLELA LAXMAIAH</t>
  </si>
  <si>
    <t>JALLELA SHIVALEELA</t>
  </si>
  <si>
    <t>PLOT NO 100, SAI BRUNDAVAN COLONY, RAGANNAGUDA, RANGAREDDY, TELANGANA</t>
  </si>
  <si>
    <t>Ranga Reddy</t>
  </si>
  <si>
    <t>IICT ZM HIGH SCHOOL</t>
  </si>
  <si>
    <t>JN GOVERNMENT POLYTECHNIC, RAMANTHAPUR, HYDERABAD</t>
  </si>
  <si>
    <t>ACE ENGINEERING COLLEGE, MEDCHAL-MALKAJGIRI, TELANGANA</t>
  </si>
  <si>
    <t>AutoCAD,BIM,CostX,MS Office,MS Project,Primavera P6,STAAD Pro,Documentation,Teamwork</t>
  </si>
  <si>
    <t>Pramukh Omkar Group | Construction Management Intern | Gandhinagar, Gujarat | May 2026 | Jul 2026 | 8.7142857142857 Weeks | Campus Internship
Internshala Trainings | Technical Trainee | Hyderabad | Apr 2023 | May 2023 | 6.2857142857143 Weeks
Greater Hyderabad Municipal Corporation | Summer Intern Trainee | Uppal, Hyderabad | Jun 2020 | Dec 2020 | 26 Weeks</t>
  </si>
  <si>
    <t>Certificate program in Contract Management</t>
  </si>
  <si>
    <t>P25700565</t>
  </si>
  <si>
    <t>LOKESH</t>
  </si>
  <si>
    <t>S.</t>
  </si>
  <si>
    <t>MARGHADE</t>
  </si>
  <si>
    <t>Lokesh S. Marghade</t>
  </si>
  <si>
    <t>lmarghade2003@gmail.com</t>
  </si>
  <si>
    <t>p25700565@student.nicmar.ac.in</t>
  </si>
  <si>
    <t>02-May-2003</t>
  </si>
  <si>
    <t>2712 8747 0207</t>
  </si>
  <si>
    <t>LIFE REPUBLIC R16, MARUNJI, PUNE</t>
  </si>
  <si>
    <t>Babaji Nivas, Near Aditi Automobile, Deoli, Wardha</t>
  </si>
  <si>
    <t>JNATA VIDYALAYA PAWAN NAGAR, CIDCO, NASHIK</t>
  </si>
  <si>
    <t>MAHARASHTRA STATE BOARD OF SECONDARY AND HIGHER SECONDARY EDUCATION, NASHIK/ MAHARASHTRA</t>
  </si>
  <si>
    <t>ACHARYA SHRIMANNARAYAN POLYTECHNIC PIPRI, WARDHA/ MAHARASHTRA</t>
  </si>
  <si>
    <t>ST. VINCENT PALLOTTI COLLEGE OF ENGINEERING &amp; TECHNOLOGY, NAGPUR/ MAHARASHTRA</t>
  </si>
  <si>
    <t>AutoCAD,MS Office,MS Project,Primavera,Naviswork,Revit Architecture</t>
  </si>
  <si>
    <t>PLA PROJECT PRIVATE LIMITED | TRAINEE ENGINEER | NAGPUR | Dec 2024 | Apr 2025 | 19 Weeks</t>
  </si>
  <si>
    <t>P25700566</t>
  </si>
  <si>
    <t>Akhil V</t>
  </si>
  <si>
    <t>akhilvenugopal08@gmail.com</t>
  </si>
  <si>
    <t>p25700566@student.nicmar.ac.in</t>
  </si>
  <si>
    <t>08-May-1999</t>
  </si>
  <si>
    <t>English Hindi Malayalam</t>
  </si>
  <si>
    <t>7921 2701 9603</t>
  </si>
  <si>
    <t>VENUGOPALAN NAIR A</t>
  </si>
  <si>
    <t>RETIRED GOVT SERVANT</t>
  </si>
  <si>
    <t>B S BINDU KUMARI</t>
  </si>
  <si>
    <t>Suresh Sadanam, Kalliyoor P.o Vallamcode Thiruvananthapuram</t>
  </si>
  <si>
    <t>KENDRIYA VIDYALAYA PATTOM THIRUVANANTHAPURAM</t>
  </si>
  <si>
    <t>CENTRAL BOARD OF SECONDRY EDUCATION, DELHI</t>
  </si>
  <si>
    <t>A P J ABDUL KALAM TECHNOLOGICAL UNIVERSITY</t>
  </si>
  <si>
    <t>MAR BASELIOS COLLEGE OF ENGINEERING &amp; TECHNOLOGY, THIRUVANANTHAPURAM</t>
  </si>
  <si>
    <t>Uralungal Labour Contractive co-operative Society | Site Engineer | Trivandrum | Dec 2022 | Dec 2024 | 2Y 0M | 3</t>
  </si>
  <si>
    <t>E-Construct Design &amp; Build Pvt Ltd | Management Intern | Banglore | May 2026 | Jun 2026 | 8.1428571428571 Weeks | Campus Internship
P.W.D Special Buildings Section Thiruvananthapuram | Site Intern | Thiruvananthapuram | Jul 2019 | Jul 2019 | 0.57142857142857 Weeks
P.W.D Bridges section Thiruvananthapuram | Site intern | Thiruvananthapuram | Jun 2018 | Jul 2018 | 2.1428571428571 Weeks</t>
  </si>
  <si>
    <t>Microsoft Project for Project Manager &amp; Civil Engineers
Proffesional Certificate in Project Management</t>
  </si>
  <si>
    <t>P25700567</t>
  </si>
  <si>
    <t>VISHAD</t>
  </si>
  <si>
    <t>Vishad Ramesh Patil</t>
  </si>
  <si>
    <t>vishad.patil2001@gmail.com</t>
  </si>
  <si>
    <t>p25700567@student.nicmar.ac.in</t>
  </si>
  <si>
    <t>26-Apr-2001</t>
  </si>
  <si>
    <t>2021 0722 6038</t>
  </si>
  <si>
    <t>RAMESH PATIL</t>
  </si>
  <si>
    <t>EXPIRE</t>
  </si>
  <si>
    <t>SANDHYA PATIL</t>
  </si>
  <si>
    <t>C-17/202, Shree Sagar Darshan CHS, Sector-16, Nerul, Navi Mumbai</t>
  </si>
  <si>
    <t>MAHATMA GANDHI MISSION PRIMARY &amp; SECONDARY SCHOOL, NERUL</t>
  </si>
  <si>
    <t>CENTRAL BOARD OF SECONDARY EDUCATION (CBSE), NAVI MUMBAI/MAHARASHTRA</t>
  </si>
  <si>
    <t>MAHARASHTRA STATE BOARD OF TECHNICAL EDUCATION</t>
  </si>
  <si>
    <t>AGNEL POLYTECHNIC, VASHI, NAVI MUMBAI/MAHARASHTRA</t>
  </si>
  <si>
    <t>MAHATMA GANDHI MISSION'S COLLEGE OF ENGINEERING &amp; TECHNOLOGY</t>
  </si>
  <si>
    <t>DMart - Avenue Supermarts Limited | GET - Procurement | Thane, Maharashtra | Jan 2025 | May 2025 | 0Y 4M | 4
Biltrax Construction Data | Analyst | Turbhe, Navi Mumbai | Aug 2023 | Oct 2024 | 1Y 2M | 1.92</t>
  </si>
  <si>
    <t>PSP Projects Limited | Civil - Intern | Mumbai, Maharashtra | May 2026 | Jul 2026 | 8.7142857142857 Weeks | Campus Internship
J.KUMAR INFRAPROJECTS LTD. | INTERN | WAHAL, ULWE | May 2019 | Jun 2019 | 5.8571428571429 Weeks</t>
  </si>
  <si>
    <t>P25700568</t>
  </si>
  <si>
    <t>TOKALE</t>
  </si>
  <si>
    <t>Rutuja Dhanaji Tokale</t>
  </si>
  <si>
    <t>rututokale2000@gmail.com</t>
  </si>
  <si>
    <t>p25700568@student.nicmar.ac.in</t>
  </si>
  <si>
    <t>01-Jan-2001</t>
  </si>
  <si>
    <t>4624 8815 8830</t>
  </si>
  <si>
    <t>DHANAJI GANAPATRAO TOKALE</t>
  </si>
  <si>
    <t>SATYABHAMA TOKALE</t>
  </si>
  <si>
    <t>Reddy Colony, College Road, Behind Reddy Petrol Pump, Ahmedpur</t>
  </si>
  <si>
    <t>YESHAWANT VIDYALAYA, AHMEDPUR.</t>
  </si>
  <si>
    <t>SAVITRIBAI PHULE PUNE UNVIVERSITY</t>
  </si>
  <si>
    <t>D. Y. PATIL SCHOOL OF ARCHITECTURE, AMBI, PUNE, MAHARASHTRA</t>
  </si>
  <si>
    <t>AutoCAD,MS Office,Sketchup,Vray,Enscape,Lumion,Photoshop</t>
  </si>
  <si>
    <t>Hauspire Luxury Interiors | Junior Architect | Pune | Mar 2024 | Mar 2025 | 1Y 0M | 2</t>
  </si>
  <si>
    <t>Medigence solutions | Project management role | Ahmedabad | May 2026 | Jul 2026 | 8.7142857142857 Weeks | Campus Internship</t>
  </si>
  <si>
    <t>Leadership and emotional intelligence
Project Network
Coursera - Digital Manufacturing &amp; Design</t>
  </si>
  <si>
    <t>P25700569</t>
  </si>
  <si>
    <t>HARSHARAJ</t>
  </si>
  <si>
    <t>Harsharaj Singh</t>
  </si>
  <si>
    <t>harsharaj2099@gmail.com</t>
  </si>
  <si>
    <t>p25700569@student.nicmar.ac.in</t>
  </si>
  <si>
    <t>20-Oct-1999</t>
  </si>
  <si>
    <t>English,Hindi,Bengali</t>
  </si>
  <si>
    <t>2958 3452 1847</t>
  </si>
  <si>
    <t>PURUSHOTTAM KUMAR SINGH</t>
  </si>
  <si>
    <t>LT MEENAKSHI SINGH</t>
  </si>
  <si>
    <t>D12 806, Shriram Grand City,Konnagar</t>
  </si>
  <si>
    <t>HOLY HOME, SERAMPORE</t>
  </si>
  <si>
    <t>COUNCIL FOR THE INDIAN SCHOOL CERTIFICATE EXAMINATIONS,NEW DELHI</t>
  </si>
  <si>
    <t>SIDDAGANGA INSTITUTE OF TECHNOLOGY, KARNATAKA</t>
  </si>
  <si>
    <t>Adani Infra (India) Ltd | Graduate Engineer Trainee-Project Management | Mundra,Gujarat | Aug 2022 | Apr 2023 | 0Y 8M | 6</t>
  </si>
  <si>
    <t>Ernst &amp; Young LLP | Business Consulting Risk | Ahmedabad | May 2026 | Jul 2026 | 8.2857142857143 Weeks | Campus Internship</t>
  </si>
  <si>
    <t>P25700570</t>
  </si>
  <si>
    <t>Patil Jay Sunil</t>
  </si>
  <si>
    <t>rohanpati6279@gmail.com</t>
  </si>
  <si>
    <t>p25700570@student.nicmar.ac.in</t>
  </si>
  <si>
    <t>20-Jun-2000</t>
  </si>
  <si>
    <t>4050 6933 1656</t>
  </si>
  <si>
    <t>SUNIL JIJABRAO PATIL</t>
  </si>
  <si>
    <t>SWATI SUNIL PATIL</t>
  </si>
  <si>
    <t>Uttam Bhai Chal Taloda Road, Nandurbar</t>
  </si>
  <si>
    <t>SMT. HIRIBEN GOVINDDAS SHROFF HIGHSCHOOL</t>
  </si>
  <si>
    <t>UPADHYE COLLEGE OF SCIENCE, NASHIK</t>
  </si>
  <si>
    <t>MET BHUJBAL KNOWLEDGE CITY, NASHIK</t>
  </si>
  <si>
    <t>NORTH MAHARASHTRA UNIVERSITY JALGAON</t>
  </si>
  <si>
    <t>SHRI JAYKUMAR RAVAL INSTITUTE OF TECHNOLOGY DONDAICHA DHULE</t>
  </si>
  <si>
    <t>P25700571</t>
  </si>
  <si>
    <t>OMPRAKASH</t>
  </si>
  <si>
    <t>HEDA</t>
  </si>
  <si>
    <t>Abhishek Omprakash Heda</t>
  </si>
  <si>
    <t>hedaabhishek9@gmail.com</t>
  </si>
  <si>
    <t>p25700571@student.nicmar.ac.in</t>
  </si>
  <si>
    <t>09-May-2001</t>
  </si>
  <si>
    <t>8263 3506 5451</t>
  </si>
  <si>
    <t>OMPRAKASH HEDA</t>
  </si>
  <si>
    <t>SONAL HEDA</t>
  </si>
  <si>
    <t>19, Mahesh Nagar, Behind Dmart, Badnera Road, Amravati</t>
  </si>
  <si>
    <t>JUBLI ENGLISH HIGH SCHOOL AKOLA MAHARASHTRA</t>
  </si>
  <si>
    <t>CBSE, AKOLA MAHARASHTRA</t>
  </si>
  <si>
    <t>GOVERNMENT POLYTECHNIC, ARVI, WARDHA</t>
  </si>
  <si>
    <t>ST. VINCENT PALLOTTI COLLEGE OF ENGINEERING &amp; TECHNOLOGY, NAGPUR, MAHARASHTRA</t>
  </si>
  <si>
    <t>INTEGRITY CONSTRUCTION PVT. LTD. | SITE/FIELD INTERN | NAGPUR | Jan 2024 | Apr 2024 | 14 Weeks</t>
  </si>
  <si>
    <t>Ethics in Engineering Practice
Green Building Assessment &amp;  Certification
Project Management</t>
  </si>
  <si>
    <t>P25700572</t>
  </si>
  <si>
    <t>MANGAONKAR</t>
  </si>
  <si>
    <t>Swapnil Sanjay Mangaonkar</t>
  </si>
  <si>
    <t>swapnilmangaonkar10@gmail.com</t>
  </si>
  <si>
    <t>p25700572@student.nicmar.ac.in</t>
  </si>
  <si>
    <t>3424 4046 1914</t>
  </si>
  <si>
    <t>1/15,sahakar Niwas ,haryali Village_x000D_
Ganesh Marg, Vikhroli (E), Mumbai - 40083</t>
  </si>
  <si>
    <t>VIKAS HIGH SCHOOL, VIKHROLI, MUMBAI</t>
  </si>
  <si>
    <t>DIPLOMA IN CIVIL ENGINEERING (DCE)</t>
  </si>
  <si>
    <t>VEERMATA JIJABAI TECHNOLOGICAL INSTITUTE, MATUNGA, MUMBAI</t>
  </si>
  <si>
    <t>NEW HORIZON INSTITUTE OF TECHNOLOGY AND MANAGEMENT, THANE</t>
  </si>
  <si>
    <t>Aurum Girnar Pvt. Ltd | PMC Execution - Junior Site Engineer | Q parc, Ghansoli, Navi Mumbai | Nov 2022 | Jun 2025 | 2Y 7M | 4.75</t>
  </si>
  <si>
    <t>2 Years 7 Months</t>
  </si>
  <si>
    <t>AURUM PLATZ IT PVT LTD | CIVIL ENGINEER INTERN | GHANSOLI | Jul 2022 | Sep 2022 | 13 Weeks</t>
  </si>
  <si>
    <t>Certificate of Publication/IRJMETS
Finance for Non-Financial Manager</t>
  </si>
  <si>
    <t>P25700573</t>
  </si>
  <si>
    <t>KUNDALWAL</t>
  </si>
  <si>
    <t>Pranav Rajesh Kundalwal</t>
  </si>
  <si>
    <t>pranavkundalwal@gmail.com</t>
  </si>
  <si>
    <t>p25700573@student.nicmar.ac.in</t>
  </si>
  <si>
    <t>8327 7249 0544</t>
  </si>
  <si>
    <t>RAJESH KUNDALWAL</t>
  </si>
  <si>
    <t>BABY KUNDALWAL</t>
  </si>
  <si>
    <t>GODREJ HILL SIDE 1, MAHALUNGE, PUNE</t>
  </si>
  <si>
    <t>Ambika Nagar, Yavatmal</t>
  </si>
  <si>
    <t>JAJOO JUNIOR COLLEGE</t>
  </si>
  <si>
    <t>SANT GADGE BABA UNIVERSITY, AMRAVATI</t>
  </si>
  <si>
    <t>JAWAHARLAL DARDA INSTITUTE OF ENGINEERING AND TECHNOLOGY, YAVATMAL</t>
  </si>
  <si>
    <t>JAGANNATH CONSTRUCTION COMPANY | site engineer  | YAVATMAL | Jan 2023 | Jan 2023 | 1.8571428571429 Weeks</t>
  </si>
  <si>
    <t>P25700574</t>
  </si>
  <si>
    <t>DEEKSHITH</t>
  </si>
  <si>
    <t>Deekshith N</t>
  </si>
  <si>
    <t>deekshith9778@gmail.com</t>
  </si>
  <si>
    <t>p25700574@student.nicmar.ac.in</t>
  </si>
  <si>
    <t>14-Nov-2002</t>
  </si>
  <si>
    <t>English Hindi Kannada</t>
  </si>
  <si>
    <t>4102 9400 9115</t>
  </si>
  <si>
    <t>NARAYANA N</t>
  </si>
  <si>
    <t>SUJATHA K</t>
  </si>
  <si>
    <t>Door No.105, Gangamma Garden, Malagala, Nagarabhavi 2nd Stage, Bengaluru</t>
  </si>
  <si>
    <t>VIDYANIKETAN PUBLIC SCHOOL ULLAL BANGALORE</t>
  </si>
  <si>
    <t>VIDYA VARDHAKA SANGHA SARDAR PATEL PRE-UNIVERSITY COLLEGE</t>
  </si>
  <si>
    <t>DEPARTMENT OF PRE-UNIVERSITY EDUCATION KARNATAKA</t>
  </si>
  <si>
    <t>RASHTREEYA VIDYALAYA COLLEGE OF ENGINEERING BENGALURU</t>
  </si>
  <si>
    <t>Primavera,MS Project,AutoCAD,Revit</t>
  </si>
  <si>
    <t>Sobha India Limited | Site Execution | Bengaluru | May 2026 | Jul 2026 | 9 Weeks | Campus Internship
JNY INFRASTRUCTURES PVT. LTD. | SITE ENGINEER | BENGALURU | May 2024 | Jun 2025 | 54.285714285714 Weeks</t>
  </si>
  <si>
    <t>Introduction To Revit
ASCE Student Chapter Secretary
Indian Concrete Institute Student Membership
NPTEL - The Joy of Computing Using Python</t>
  </si>
  <si>
    <t>P25700575</t>
  </si>
  <si>
    <t>RAJENDRAKUMAR</t>
  </si>
  <si>
    <t>NARALE</t>
  </si>
  <si>
    <t>Rohit Rajendrakumar Narale</t>
  </si>
  <si>
    <t>rohitnarale9999@gmail.com</t>
  </si>
  <si>
    <t>p25700575@student.nicmar.ac.in</t>
  </si>
  <si>
    <t>30-Jun-2002</t>
  </si>
  <si>
    <t>English, Hindi, Marathi, Kannada</t>
  </si>
  <si>
    <t>5425 3957 2334</t>
  </si>
  <si>
    <t>SADHANA</t>
  </si>
  <si>
    <t>Near S.RA.More School, 9, Ganesh Nagar Bhag 4 Vijapur Road, Solapur</t>
  </si>
  <si>
    <t>BHARATI VIDHYAPEETH , SOLAPUR</t>
  </si>
  <si>
    <t>MAHARASHTRA STATE BOARD OF SECONDARY  AND HIGHER SECONDARY EDUCATION, PUNE</t>
  </si>
  <si>
    <t>SWAMI VIVEKANAND ART AND SCIENCE JUNIOR COLLEGE, SOLAPUR</t>
  </si>
  <si>
    <t>COLLEGE OF ENGINEERING, PANDHARPUR</t>
  </si>
  <si>
    <t>AutoCAD,MS Office,MS Project,Primavera,SketchUP,Revit,BIM,MS EXCEL,Naviswork,Cost X</t>
  </si>
  <si>
    <t>Goel Ganga Group | Site Execution &amp; Project control Intern | Pune | May 2026 | Jul 2026 | 8.7142857142857 Weeks | Campus Internship
GURU DEVELOPERS AND ASSOCIATES | TRAINEE ENGINEER | PUNE | Aug 2023 | Mar 2024 | 32.428571428571 Weeks</t>
  </si>
  <si>
    <t>P25700576</t>
  </si>
  <si>
    <t>DANGAT</t>
  </si>
  <si>
    <t>Arya Umesh Dangat</t>
  </si>
  <si>
    <t>aryadangat4843@gmail.com</t>
  </si>
  <si>
    <t>p25700576@student.nicmar.ac.in</t>
  </si>
  <si>
    <t>6018 9523 5086</t>
  </si>
  <si>
    <t>UMESH DANGAT</t>
  </si>
  <si>
    <t>ASHA DANGAT</t>
  </si>
  <si>
    <t>Flat No. 24 Indralok Apt_x000D_
Pune Satara Road</t>
  </si>
  <si>
    <t>CITY INTERNATIONAL SCHOOL, SATARA ROAD</t>
  </si>
  <si>
    <t>SIR PARSHURAMBHAU COLLEGE</t>
  </si>
  <si>
    <t>HIGHER SECONDARY  CERTIFICATE</t>
  </si>
  <si>
    <t>AISSMS COLLEGE OF ENGINEERING , PUNE/ MAHARASHTRA</t>
  </si>
  <si>
    <t>Dhankawde Group | Intern  | Pune  | Dec 2023 | Jan 2024 | 4.4285714285714 Weeks</t>
  </si>
  <si>
    <t>Finance for Non-Financial Managers
Ethics In Engineering Practice
Journal Of Technology
LEAN SIX SIGMA YELLOW BELT</t>
  </si>
  <si>
    <t>P25700577</t>
  </si>
  <si>
    <t>SUSHRUT</t>
  </si>
  <si>
    <t>BHAISWAR</t>
  </si>
  <si>
    <t>Sushrut Anant Bhaiswar</t>
  </si>
  <si>
    <t>sushrut.bhaiswar@gmail.com</t>
  </si>
  <si>
    <t>p25700577@student.nicmar.ac.in</t>
  </si>
  <si>
    <t>25-Apr-2002</t>
  </si>
  <si>
    <t>6120 9221 0167</t>
  </si>
  <si>
    <t>ANANT BHAISWAR</t>
  </si>
  <si>
    <t>SUNITA BHAISWAR</t>
  </si>
  <si>
    <t>17, Buty Layout ,Rajnagar, Nagpur, Maharashtra,440013</t>
  </si>
  <si>
    <t>BHAVAN'S B.P VIDYA MANDIR ASHTI</t>
  </si>
  <si>
    <t>CENTER POINT SCHOOL KATOL ROAD</t>
  </si>
  <si>
    <t>SHRI RAMDEOBABA COLLEGE OF ENGINEERING AND MANAGEMENT NAGPUR MAHARASHTRA</t>
  </si>
  <si>
    <t>AutoCAD,MS Office,MS Project,Primavera,Arcgis,Costx,Revit</t>
  </si>
  <si>
    <t>Sobha Ltd. | Project Management | GIFT City, Gandhinagar, Gujrat | May 2026 | Jul 2026 | 9 Weeks | Campus Internship
PWD Nagpur | Intern | Nagpur | May 2025 | Jun 2025 | 5.7142857142857 Weeks
IMAGIS ENGINEERING SOLUTIONS PVT LTD | INTERN | NAGPUR | Jan 2024 | Jun 2024 | 21.571428571429 Weeks</t>
  </si>
  <si>
    <t>P25700578</t>
  </si>
  <si>
    <t>ANUJA</t>
  </si>
  <si>
    <t>Anuja Deepak Deshmukh</t>
  </si>
  <si>
    <t>anujadeshmukh1907@gmail.com</t>
  </si>
  <si>
    <t>p25700578@student.nicmar.ac.in</t>
  </si>
  <si>
    <t>19-Jul-2003</t>
  </si>
  <si>
    <t>7766 7587 5348</t>
  </si>
  <si>
    <t>DEEPAK DESHMUKH</t>
  </si>
  <si>
    <t>SANDHYA DESHMUKH</t>
  </si>
  <si>
    <t>Flat No 05 Jai Ambe Appartment Sudhir Colony Akola</t>
  </si>
  <si>
    <t>SCHOOL OF SCHOLARS</t>
  </si>
  <si>
    <t>CENTRAL BOARD OF SECONDARY EDUCATION AKOLA, MAHARASHTRA</t>
  </si>
  <si>
    <t>SRI. R.L.T COLLEGE OF SCIENCE AND ARTS AKOLA</t>
  </si>
  <si>
    <t>B.A.C.R.T'S VISHWAKARMA INSTITUTE OF INFORMATION AND TECHNOLOGY PUNE, MAHARASHTRA</t>
  </si>
  <si>
    <t>AutoCAD,MS Office,MS Project,ETABS</t>
  </si>
  <si>
    <t>LAGOO APTE DEVELOPERS  | Site Intern  | Pune , Swargate  | May 2026 | Jun 2026 | 8.1428571428571 Weeks | Campus Internship
Snivaa Structural Consultants | Design Intern  | Pune ,Hadapsar | Jul 2024 | Dec 2024 | 24.571428571429 Weeks</t>
  </si>
  <si>
    <t>P25700579</t>
  </si>
  <si>
    <t>MEHANDI</t>
  </si>
  <si>
    <t>D S</t>
  </si>
  <si>
    <t>Mehandi D S</t>
  </si>
  <si>
    <t>dsmehandi@gmail.com</t>
  </si>
  <si>
    <t>p25700579@student.nicmar.ac.in</t>
  </si>
  <si>
    <t>24-Jul-1998</t>
  </si>
  <si>
    <t>English, Hindi, Tamil, Kannada</t>
  </si>
  <si>
    <t>2056 6614 0185</t>
  </si>
  <si>
    <t>D SARAVANA KUMAR</t>
  </si>
  <si>
    <t>ASSISTANT COMMISSIONER CGST</t>
  </si>
  <si>
    <t>DEVI SARAVANA KUMAR</t>
  </si>
  <si>
    <t>B-305, Amrutha Grandeur Apt_x000D_
Rachenhalli , Thanisandra Main Road</t>
  </si>
  <si>
    <t>KENDRIYA VIDYALAYA IISC</t>
  </si>
  <si>
    <t>VISHVESHWARYA TECHNICAL UNIVERSITY</t>
  </si>
  <si>
    <t>ACHARYA NRV SCHOOL OF ARCHITECTURE, BANGALORE</t>
  </si>
  <si>
    <t>AutoCAD,MS Project,Autodesk Revit,Sketchup,Adobe Photoshop</t>
  </si>
  <si>
    <t>Total Environment Building Systems | Design Manager  | Bangalore  | Apr 2023 | Sep 2024 | 1Y 4M | 5.67
Studio Alaya Projects pvt lmt | Architect | Bangalore, India  | May 2022 | Jan 2023 | 0Y 8M | 3.24
Meragi Events | Design Consultant  | Bangalore, Karnataka, India  | Nov 2024 | May 2025 | 0Y 5M | 6.6</t>
  </si>
  <si>
    <t>Deloitte Touche Tohmatsu India LLP | Controls : Audit and Assurance Intern   | Bangalore | May 2026 | Jul 2026 | 8.5714285714286 Weeks | Campus Internship
Manasaram Architects | Intern | Bangalore, Karnataka, India | Feb 2021 | Aug 2021 | 25.571428571429 Weeks</t>
  </si>
  <si>
    <t>P25700580</t>
  </si>
  <si>
    <t>PINJARI</t>
  </si>
  <si>
    <t>AWAIS</t>
  </si>
  <si>
    <t>KUTUBUDDIN</t>
  </si>
  <si>
    <t>Pinjari Awais Kutubuddin</t>
  </si>
  <si>
    <t>pinjari.awais@gmail.com</t>
  </si>
  <si>
    <t>p25700580@student.nicmar.ac.in</t>
  </si>
  <si>
    <t>23-Aug-2003</t>
  </si>
  <si>
    <t>9810 3144 4997</t>
  </si>
  <si>
    <t>SELF-EMPLOYEE</t>
  </si>
  <si>
    <t>SULTANA</t>
  </si>
  <si>
    <t>Plot No 25, Muslim Nagar, Near Sagar Hotel</t>
  </si>
  <si>
    <t>SHREEJI ENGLISH MEDIUM SCHOOL</t>
  </si>
  <si>
    <t>NASHIK DIVISIONAL BOARD, MAHARASHTRA</t>
  </si>
  <si>
    <t>SHRI VILE PARLE KELAVANI MANDAL INSTITUTE OF TECHNOLOGY</t>
  </si>
  <si>
    <t>AutoCAD,MS Office,MS Project,Revit,3DSMAX,Sketchup,VRay</t>
  </si>
  <si>
    <t>New Consolidated Construction Company Limited | Planning Engineer | L&amp;T Realty – Island Cove, Mahim, Mumbai | May 2026 | Jul 2026 | 8.5714285714286 Weeks | Campus Internship
GROW HIGH ENGINEERS | Site Engineer | Nashik, Maharashtra | Dec 2024 | Feb 2025 | 12.714285714286 Weeks</t>
  </si>
  <si>
    <t>REVIT
3DS MAX
AUTOCAD</t>
  </si>
  <si>
    <t>P25700581</t>
  </si>
  <si>
    <t>ARAJU</t>
  </si>
  <si>
    <t>LATIF</t>
  </si>
  <si>
    <t>ATTAR</t>
  </si>
  <si>
    <t>Araju Latif Attar</t>
  </si>
  <si>
    <t>arajuattar69@gmail.com</t>
  </si>
  <si>
    <t>p25700581@student.nicmar.ac.in</t>
  </si>
  <si>
    <t>30-May-2003</t>
  </si>
  <si>
    <t>Hindi , Marathi , English</t>
  </si>
  <si>
    <t>4900 4774 6576</t>
  </si>
  <si>
    <t>LATIF MUBARAK ATTAR</t>
  </si>
  <si>
    <t>VAHIDA LATIF ATTAR</t>
  </si>
  <si>
    <t>At/post - Walwa, Taluka - Walwa , District - Sangli</t>
  </si>
  <si>
    <t>JIJAMATA VIDYALAYA, WALWA</t>
  </si>
  <si>
    <t>RAJARAMBAPU INSTITUTE OF TECHNOLOGY , RAJARAMNAGAR</t>
  </si>
  <si>
    <t>DR.BABASAHEB AMBEDKAR TECHNOLOGICAL UNIVERSITY LONERE - RAIGAD, MAHARASHTRA</t>
  </si>
  <si>
    <t>NANASAHEB MAHADIK COLLEGE OF ENGINEERING ,PETH MAHARASHTRA</t>
  </si>
  <si>
    <t>AutoCAD,MS Project,Diploma in BIM Professional (4D BIM)</t>
  </si>
  <si>
    <t>New Consolidated Construction Company Limited  | Project Planning  | Mumbai  | May 2026 | Jul 2026 | 8.7142857142857 Weeks | Campus Internship</t>
  </si>
  <si>
    <t xml:space="preserve">BIM Professional </t>
  </si>
  <si>
    <t>P25700582</t>
  </si>
  <si>
    <t>GUNWANT</t>
  </si>
  <si>
    <t>GALANDE</t>
  </si>
  <si>
    <t>Sagar Gunwant Galande</t>
  </si>
  <si>
    <t>sagargalande.sg@gmail.com</t>
  </si>
  <si>
    <t>p25700582@student.nicmar.ac.in</t>
  </si>
  <si>
    <t>8204 5771 8557</t>
  </si>
  <si>
    <t>RAJSHRI</t>
  </si>
  <si>
    <t>FLAT NO. 103, KESHAV KUNJ, PLOT NO. 11, SECTOR 26, TALOJA PHASE-2</t>
  </si>
  <si>
    <t>V &amp; C PATEL ENGLISH SCHOOL</t>
  </si>
  <si>
    <t>CBSE ANAND</t>
  </si>
  <si>
    <t>ANANDALAYA</t>
  </si>
  <si>
    <t>WALCHAND INSTITUTE OF TECHNOLOGY</t>
  </si>
  <si>
    <t>Shapoorji Pallonji and Company Private Limited | GET | Mulund  | Aug 2023 | Feb 2024 | 0Y 5M | 3.75</t>
  </si>
  <si>
    <t>RCM INFRASTRUCTURE | Intern | Paithan, Maharashtra | Jul 2022 | Aug 2022 | 2 Weeks
B.G. Shirke | Intern | Taloja, Mumbai | Jan 2022 | Feb 2022 | 2.2857142857143 Weeks</t>
  </si>
  <si>
    <t>P25700583</t>
  </si>
  <si>
    <t>LABDHE</t>
  </si>
  <si>
    <t>Mihir Bharat Labdhe</t>
  </si>
  <si>
    <t>mihirlabdhe0@gmail.com</t>
  </si>
  <si>
    <t>p25700583@student.nicmar.ac.in</t>
  </si>
  <si>
    <t>5368 2836 2222</t>
  </si>
  <si>
    <t>MEDHA</t>
  </si>
  <si>
    <t>Ap.Shirgaon , Tal.Chiplun , Dist.Ratnagiri</t>
  </si>
  <si>
    <t>ALORE HIGHSCHOOL ALORE</t>
  </si>
  <si>
    <t>MAHARASHTRA  STATE BOARD OF SECONDARY AND HIGHER SECONDARY EDUCATION PUNE / MAHARASHTRA</t>
  </si>
  <si>
    <t>SHIRGAON SECONDARY AND HIGHER SECONDARY SCHOOL</t>
  </si>
  <si>
    <t>AJEENKYA DY PATIL SCHOOL OF ENGINEERING , PUNE / MAHARASHTRA</t>
  </si>
  <si>
    <t>AutoCAD,MS Project,Revit</t>
  </si>
  <si>
    <t>KNOW HOW SCHOOLS | INTERN | PUNE | Feb 2023 | Mar 2023 | 4 Weeks
RUMAS CONSULTANCY AND INFRA | INTERN | CHIPLUN,RATNAGIRI | Jul 2024 | May 2025 | 47.714285714286 Weeks</t>
  </si>
  <si>
    <t>P25700585</t>
  </si>
  <si>
    <t>N C</t>
  </si>
  <si>
    <t>Girish . N C</t>
  </si>
  <si>
    <t>girishnc2001@gmail.com</t>
  </si>
  <si>
    <t>p25700585@student.nicmar.ac.in</t>
  </si>
  <si>
    <t>09-Sep-2001</t>
  </si>
  <si>
    <t>ENGLISH, HINDI, KANNADA</t>
  </si>
  <si>
    <t>8168 1094 0814</t>
  </si>
  <si>
    <t>CHANDRAPPA N H</t>
  </si>
  <si>
    <t>FDAA</t>
  </si>
  <si>
    <t>LINGAMMA M</t>
  </si>
  <si>
    <t>#213/15 SHIVA PRAVATHI BADAVANE, SHAMNUR DAVANAGERE.</t>
  </si>
  <si>
    <t>SRI SOMASHWARA VIDYALAYA</t>
  </si>
  <si>
    <t>KARNATAKA SCHOOL EXAMINATION AND ASSESSMENT BOARD</t>
  </si>
  <si>
    <t>G M POLYTECHNIC, DAVANAGERE, KARNATAKA</t>
  </si>
  <si>
    <t>G M INSTITUTE OF TECHNOLOGY , DAVANAGERE, KARNATAKA.</t>
  </si>
  <si>
    <t>AutoCAD,MS Office,MS Project,REVIT ARCHITECTURE,STAAD PRO</t>
  </si>
  <si>
    <t>SOBHA LIMITED | Planning Department | BANGALORE | May 2026 | Jul 2026 | 9 Weeks | Campus Internship
MY TECH TRAINING INSTITUTE | INPLANT TRAINING PROGRAM | DAVANAGERE | Jan 2020 | Jan 2020 | 1.5714285714286 Weeks
MISSION AMRIT SAROVAR JAL DHAROHAR SANRAKSHAN INTERNSHIP | SITE ENGINEER | MUSSAFIRKHANA AND HONDA ,SANTHEBENNUR, DAVANAGERE. | Jul 2022 | Aug 2022 | 5 Weeks
RNS Infrastructure limited | Site Engineer | Chitradurga  | Jul 2022 | Sep 2022 | 8.8571428571429 Weeks</t>
  </si>
  <si>
    <t>AUTOCAD 2D AND 3D
FINANCE FOR NON FINANCIAL MANAGERS
DIGI QC ACADEMY</t>
  </si>
  <si>
    <t>P25700586</t>
  </si>
  <si>
    <t>VAIBHAVI</t>
  </si>
  <si>
    <t>SAKHALKAR</t>
  </si>
  <si>
    <t>Vaibhavi Vinod Sakhalkar</t>
  </si>
  <si>
    <t>vaibhavi1051@gmail.com</t>
  </si>
  <si>
    <t>p25700586@student.nicmar.ac.in</t>
  </si>
  <si>
    <t>9006 6189 0194</t>
  </si>
  <si>
    <t>VINOD GAJANAN SAKHALKAR</t>
  </si>
  <si>
    <t>SHRUTI VINOD SAKAHLKAR</t>
  </si>
  <si>
    <t>B/701 FAITH SOCIETY, FAITH SOCIETY ROAD,BALEWADI</t>
  </si>
  <si>
    <t>B/701 Madhuban Chs Oppo Vitthal Mandir Dahisar West</t>
  </si>
  <si>
    <t>VPM'S VIDYA MANDIR SCHOOL</t>
  </si>
  <si>
    <t>SAMTA VIDYA MANDIR, KANDIVALI EAST</t>
  </si>
  <si>
    <t>THAKUR SCHOOL OF ARCHITECTURE AND PLANNING, MUMBAI MAHARASHTRA</t>
  </si>
  <si>
    <t>AutoCAD,MS Office,MS Project,Photoshop</t>
  </si>
  <si>
    <t>MAULI ENTERPRISES | ARCHITECTURAL INTERN | BORIVALI, MUMBAI MAHARASHTRA | Nov 2022 | Feb 2023 | 15 Weeks</t>
  </si>
  <si>
    <t>Certificate of participation for Solar Decathlon India, 2021-'22.
Certificate of participation in the Indian Conclave's Janvaad: Astihiva Edition, 2023.
Certificate for the workshop,'Research Paper and Writing and Publication Masterclass' organized by Kaarwan,2023.
Certificate of completion, Explore Human Resources Job Simulations,2025.
Certificate on McKinsey.org Forward Program, 2025.</t>
  </si>
  <si>
    <t>P25700587</t>
  </si>
  <si>
    <t>VARUN</t>
  </si>
  <si>
    <t>SHARAD</t>
  </si>
  <si>
    <t>Varun Sharad Deshmukh</t>
  </si>
  <si>
    <t>varund1155@gmail.com</t>
  </si>
  <si>
    <t>p25700587@student.nicmar.ac.in</t>
  </si>
  <si>
    <t>14-Jun-2002</t>
  </si>
  <si>
    <t>7821 3416 0412</t>
  </si>
  <si>
    <t>SHARAD S. DESHMUKH</t>
  </si>
  <si>
    <t>NANDINI SHARAD DESHMUKH</t>
  </si>
  <si>
    <t>Flat No. B/4, Sawali Apartment, Tapadiya Nagar, Near Maa Hospital, Akola.</t>
  </si>
  <si>
    <t>BAL SHIVAJI HIGH SCHOOL, JATHARPETH, AKOLA. 444005</t>
  </si>
  <si>
    <t>SHRI SHIVAJI JUNIOR COLLEGE, NIMBA, TQ. BALAPUR, DIST. AKOLA.</t>
  </si>
  <si>
    <t>SAVITRIBAI PHULE UNIVERSITY, PUNE.</t>
  </si>
  <si>
    <t>JSPM NARHE TECHNICAL CAMPUS, PUNE.</t>
  </si>
  <si>
    <t>AutoCAD,MS Office,MS Project,Excel,CostX</t>
  </si>
  <si>
    <t>VEDNIRMITEE projects | Intern | pune | Jul 2024 | Feb 2025 | 33.285714285714 Weeks</t>
  </si>
  <si>
    <t>P25700588</t>
  </si>
  <si>
    <t>JAHNAVI</t>
  </si>
  <si>
    <t>VIJAYA PRAKASH</t>
  </si>
  <si>
    <t>Jahnavi Vijaya Prakash</t>
  </si>
  <si>
    <t>jahnavivijayaprakash@gmail.com</t>
  </si>
  <si>
    <t>p25700588@student.nicmar.ac.in</t>
  </si>
  <si>
    <t>23-Jan-2001</t>
  </si>
  <si>
    <t>8122 8290 0772</t>
  </si>
  <si>
    <t>DR . VIJAYA PRAKASH A M</t>
  </si>
  <si>
    <t>GEETHA S</t>
  </si>
  <si>
    <t>#18 , 6th Cross , 6th Block , 2nd Stage , Nagarbhavi _x000D_
Bengaluru - 72</t>
  </si>
  <si>
    <t>NATIONAL PUBLIC SCHOOL , YESHWANTHPUR</t>
  </si>
  <si>
    <t>DEEKSHA CENTER FOR LEARNING</t>
  </si>
  <si>
    <t>GOVT. OF KARNATAKA</t>
  </si>
  <si>
    <t>SJB SCHOOL FOR ARCHITECTURE AND PLANNING , KENGERI/KARNATAKA</t>
  </si>
  <si>
    <t>AutoCAD,MS Office,MS Project,Primavera,Sketchup,Lumion,Enscape,D5,Revit,Adobe Photoshop,MS Power Point,MS Excel,CostX</t>
  </si>
  <si>
    <t>STUDIO 9 ARCHITECTURE | ARCHITECT  | BENGALURU  | Sep 2024 | Jun 2025 | 0Y 9M | 2.5</t>
  </si>
  <si>
    <t>ASHWIN ARCHITECTS | Intern  | Bengaluru  | Jan 2024 | Apr 2024 | 15.714285714286 Weeks</t>
  </si>
  <si>
    <t>TERI â€“ Building Performance Simulation Certification
Autodesk Navisworks Certification
EDGE â€“ Green Building Certification (IFC / World Bank Group)
UDL Photoshop Cetification
Council of Architecture (COA) â€“ Registered Architect</t>
  </si>
  <si>
    <t>P25700589</t>
  </si>
  <si>
    <t>CHATURVEDI</t>
  </si>
  <si>
    <t>Shubham Chaturvedi</t>
  </si>
  <si>
    <t>shubhamchaturvedi244@gmail.com</t>
  </si>
  <si>
    <t>p25700589@student.nicmar.ac.in</t>
  </si>
  <si>
    <t>14-Dec-1999</t>
  </si>
  <si>
    <t>5285 2468 9797</t>
  </si>
  <si>
    <t>DINESH KUMAR CHATURVEDI</t>
  </si>
  <si>
    <t>KAMLESH CHATURVEDI</t>
  </si>
  <si>
    <t>HN 299, Shanti Nagar B Gujar Ki Thadi, Mansarover, Jaipur, 302019</t>
  </si>
  <si>
    <t>ST SOLDIER'S PUB SCHOOL B D ROAD JAIPUR RAJ</t>
  </si>
  <si>
    <t>CBSE JAIPUR/RAJASTHAN</t>
  </si>
  <si>
    <t>BLUE HEAVEN VIDYALAYA SFS,MANSAROVAR JAIPUR</t>
  </si>
  <si>
    <t>CBSE JAIPUR / RAJASTHAN</t>
  </si>
  <si>
    <t>MANIPAL UNIVERSITY JAIPUR , JAIPUR / RAJASTHAN</t>
  </si>
  <si>
    <t>AutoCAD,MS Office,Primavera,APMS (Adani project management system )</t>
  </si>
  <si>
    <t>Adani Green energy limited | Assitsant Manager in project management and assurance group (PMAG ) | Ahemdabad | Jul 2022 | Aug 2023 | 1Y 0M | 6.5</t>
  </si>
  <si>
    <t>JAIPUR INTERNATIONAL AIRPORT LIMITED | INTERN AT PROJECTS DEPARTMENT  | JAIPUR | Feb 2022 | May 2022 | 16.857142857143 Weeks</t>
  </si>
  <si>
    <t>P25700590</t>
  </si>
  <si>
    <t>Chinmay Kumar Das</t>
  </si>
  <si>
    <t>chinmaydas03@gmail.com</t>
  </si>
  <si>
    <t>p25700590@student.nicmar.ac.in</t>
  </si>
  <si>
    <t>07-Aug-1998</t>
  </si>
  <si>
    <t>5156 7593 7315</t>
  </si>
  <si>
    <t>PABITRA RANJAN DAS</t>
  </si>
  <si>
    <t>SUSMITA DAS</t>
  </si>
  <si>
    <t>C/O Pabitra Ranjan Das, Salandi Colony, Near Salandi Bypass</t>
  </si>
  <si>
    <t>Bhadrak</t>
  </si>
  <si>
    <t>RANGE SCHOOL</t>
  </si>
  <si>
    <t>CBSE BALASORE/ODISHA</t>
  </si>
  <si>
    <t>VEER SURENDRA SAI UNIVERSITY OF TECHNOLOGY BURLA/ODISHA</t>
  </si>
  <si>
    <t>SOBHA | Site Execution (Under Planning Department) | Banglore  | May 2026 | Jul 2026 | 9 Weeks | Campus Internship
UltraTech Cement | Technical Intern | Bhubaneshwar, Odisha, India | May 2023 | Jun 2023 | 4.2857142857143 Weeks</t>
  </si>
  <si>
    <t>ESG Virtual Experience Program</t>
  </si>
  <si>
    <t>P25700591</t>
  </si>
  <si>
    <t>ADHYAYAN</t>
  </si>
  <si>
    <t>ARVIND</t>
  </si>
  <si>
    <t>ALTEKAR</t>
  </si>
  <si>
    <t>Adhyayan Arvind Altekar</t>
  </si>
  <si>
    <t>altekaradhyayan44@gmail.com</t>
  </si>
  <si>
    <t>p25700591@student.nicmar.ac.in</t>
  </si>
  <si>
    <t>08-Mar-2001</t>
  </si>
  <si>
    <t>English,Hindi, Marathi,Kannada</t>
  </si>
  <si>
    <t>7906 7200 1693</t>
  </si>
  <si>
    <t>ARVIND NARAYAN ALTEKAR</t>
  </si>
  <si>
    <t>B.COM</t>
  </si>
  <si>
    <t>GAYATRI ARVIND ALTEKAR</t>
  </si>
  <si>
    <t>B.A</t>
  </si>
  <si>
    <t>Plot No 40 Jadhav Park Rama Nand Nagar Kolhapur</t>
  </si>
  <si>
    <t>SM LOHIYA HIGH SCHOOL KOLHAPUR</t>
  </si>
  <si>
    <t>NEW COLLEGE KOLHAPUR</t>
  </si>
  <si>
    <t>NEW POLYTECHNIC KOLHAPUR</t>
  </si>
  <si>
    <t>DYPATIL COLLEGE OF ENGINEERING AND TECHNOLOGY KOLHAPUR</t>
  </si>
  <si>
    <t>AutoCAD,MS Office,MS Project,MS EXCELS POWER POINT</t>
  </si>
  <si>
    <t>Atal Real Tech Limited | Junior Engineer | Pune | Jun 2024 | May 2025 | 0Y 11M | 3</t>
  </si>
  <si>
    <t>SHUBHAM EPC PVT LTD | GRADUATE ENGINEERING TRAINEE | PUNE | Dec 2023 | May 2024 | 21.571428571429 Weeks</t>
  </si>
  <si>
    <t>P25700592</t>
  </si>
  <si>
    <t>Prathmesh Singh</t>
  </si>
  <si>
    <t>prathmesh080thakur@gmail.com</t>
  </si>
  <si>
    <t>p25700592@student.nicmar.ac.in</t>
  </si>
  <si>
    <t>04-May-2002</t>
  </si>
  <si>
    <t>2271 1307 4331</t>
  </si>
  <si>
    <t>DINESH SINGH</t>
  </si>
  <si>
    <t>KUSUM</t>
  </si>
  <si>
    <t>WARD SISTER</t>
  </si>
  <si>
    <t>ROOM NO. 704 NICMAR UNIVERSITY PUNE</t>
  </si>
  <si>
    <t>House No 13a/5 Chatrokhri Sundernagar Mandi (175018)</t>
  </si>
  <si>
    <t>DAYANAND ANGLO VEDIC PUBLIC SCHOOL SUNDERNAGAR MANDI HP</t>
  </si>
  <si>
    <t>HIMACHAL PRADESH TECHNICAL UNIVERSITY</t>
  </si>
  <si>
    <t>JAWAHAR LAL NEHRU GOVERNMENT ENGINEERING COLLEGE</t>
  </si>
  <si>
    <t>Satluj Jal Vidyut Nigam | Intern | Rampur, HP | Aug 2022 | Sep 2022 | 4.2857142857143 Weeks
BEE GEE BUILTECH | INTERN | MOHALI | Feb 2023 | Jun 2023 | 17 Weeks</t>
  </si>
  <si>
    <t>P25700593</t>
  </si>
  <si>
    <t>DHRUV</t>
  </si>
  <si>
    <t>CHALODE</t>
  </si>
  <si>
    <t>Dhruv Rajendra Chalode</t>
  </si>
  <si>
    <t>dhruvchalode@gmail.com</t>
  </si>
  <si>
    <t>p25700593@student.nicmar.ac.in</t>
  </si>
  <si>
    <t>19-Dec-2001</t>
  </si>
  <si>
    <t>MARATHI, HINDI, ENGLISH.</t>
  </si>
  <si>
    <t>2309 3981 9204</t>
  </si>
  <si>
    <t>RAJENDRA CHALODE</t>
  </si>
  <si>
    <t>SHOBHA PARANJE</t>
  </si>
  <si>
    <t>EX ADMINISTRATIVE OFFICER AT TECHNICAL EDUCATION DEPARTMENT MAHARASHTRA</t>
  </si>
  <si>
    <t>Whispering Winds Phase 1,Wing -A, Flat No.6 Baner Pashan Link Road -411021</t>
  </si>
  <si>
    <t>RIVERDALE HIGH SCHOOL</t>
  </si>
  <si>
    <t>AURANGABAD, MAHARASHTRA</t>
  </si>
  <si>
    <t>RJ INTERNATIONAL</t>
  </si>
  <si>
    <t>MARATHWADA MITRA MANDAL COLLEGE OF ARCHITECTURE</t>
  </si>
  <si>
    <t>AutoCAD,MS Office,MS Project,Primavera,Autodesk Sketchbook,Sketchup,Enscape,Revit,Photoshop,Excel,CostX,Procreate,Canva</t>
  </si>
  <si>
    <t>Basil Decor | Project Manager | Pune | May 2026 | Jul 2026 | 9.2857142857143 Weeks | Campus Internship
MVK associates | Architectural Intern  | Aurangabad, Maharashtra  | Jun 2024 | Sep 2024 | 17 Weeks</t>
  </si>
  <si>
    <t>Heritage and Documentation Workshop</t>
  </si>
  <si>
    <t>P25700594</t>
  </si>
  <si>
    <t>SHRIYA</t>
  </si>
  <si>
    <t>BAGARIA</t>
  </si>
  <si>
    <t>Shriya Bagaria</t>
  </si>
  <si>
    <t>shriyabagaria@gmail.com</t>
  </si>
  <si>
    <t>p25700594@student.nicmar.ac.in</t>
  </si>
  <si>
    <t>23-Nov-2000</t>
  </si>
  <si>
    <t>5165 8383 6125</t>
  </si>
  <si>
    <t>RAJESH BAGARIA</t>
  </si>
  <si>
    <t>RASHMI BAGARIA</t>
  </si>
  <si>
    <t>C-9, Third Floor, Power Emperia Rise, Laluram Colony, TP Nagar</t>
  </si>
  <si>
    <t>Korba</t>
  </si>
  <si>
    <t>DELHI PUBLIC SCHOOL, NTPC, JAMNIPALI, KORBA</t>
  </si>
  <si>
    <t>INSTITUTE OF DESIGN EDUCATION AND ARCHITECTURAL STUDIES, NAGPUR</t>
  </si>
  <si>
    <t>AutoCAD,MS Project,Report Writing,MS Excel,Sketchup</t>
  </si>
  <si>
    <t>Homelane | Design Associate | Mumbai | Feb 2025 | Jul 2025 | 0Y 4M | 3.45</t>
  </si>
  <si>
    <t>Scarlett Design Private Limited | Architectural Intern | Ahmedabad, Gujrat | Jul 2022 | Oct 2022 | 16.142857142857 Weeks
Design Cell | Architectural Intern | Raipur, Chhattisgarh | Mar 2022 | May 2022 | 11.428571428571 Weeks</t>
  </si>
  <si>
    <t>P25700595</t>
  </si>
  <si>
    <t>VIDHI</t>
  </si>
  <si>
    <t>SHET</t>
  </si>
  <si>
    <t>Vidhi Sanjay Shet</t>
  </si>
  <si>
    <t>vidhishet09@gmail.com</t>
  </si>
  <si>
    <t>p25700595@student.nicmar.ac.in</t>
  </si>
  <si>
    <t>English, Hindi, Marathi &amp; Konkani</t>
  </si>
  <si>
    <t>7895 5949 5045</t>
  </si>
  <si>
    <t>SANJAY SHET</t>
  </si>
  <si>
    <t>VANDANA SHET</t>
  </si>
  <si>
    <t>G-5, Saraswati Apartment ,Near Kamat Nursing Home , Durga-bhat, Ponda -Goa.</t>
  </si>
  <si>
    <t>A . J . DE ALMEIDA HIGH SCHOOL</t>
  </si>
  <si>
    <t>GOA BOARD OF SECONDARY AND HIGHER SECONDARY EDUCATION ,GOA</t>
  </si>
  <si>
    <t>ADARSH HIGHER SECONDARY</t>
  </si>
  <si>
    <t>GOA UNIVERSITY</t>
  </si>
  <si>
    <t>GOA COLLEGE OF ENGINEERING ,GOA</t>
  </si>
  <si>
    <t>Sobha Limited | Execution | Banglore | May 2026 | Jul 2026 | 9 Weeks | Campus Internship
Raj Housing Development Private Limited | Site Engineer | Ponda ,Goa | Jul 2023 | Sep 2023 | 7.7142857142857 Weeks</t>
  </si>
  <si>
    <t>Autocad</t>
  </si>
  <si>
    <t>P25700596</t>
  </si>
  <si>
    <t>SUSHMA</t>
  </si>
  <si>
    <t>Sushma Prasad Bhat</t>
  </si>
  <si>
    <t>sushmabhat1100@gmail.com</t>
  </si>
  <si>
    <t>p25700596@student.nicmar.ac.in</t>
  </si>
  <si>
    <t>9227 9172 6912</t>
  </si>
  <si>
    <t>PRASAD BHAT</t>
  </si>
  <si>
    <t>SULAKSHANA BHAT</t>
  </si>
  <si>
    <t>Flat No-B2-202, Empire Estate, Pimpri Chinchwad, Near Old Pune-Mumbai Highway.</t>
  </si>
  <si>
    <t>KAMALNAYAN BAJAJ HIGH SCHOOL</t>
  </si>
  <si>
    <t>MAHARASHTRA STATE BOARD OF SECONDARY &amp; HIGHER SECONDARY EDUCATION, PUNE</t>
  </si>
  <si>
    <t>JAYSHREE PERIWAL HIGH SCHOOL</t>
  </si>
  <si>
    <t>S.B PATIL COLLEGE OF ARCHITECTURE &amp; DESIGN, PUNE, MAHARASHTRA</t>
  </si>
  <si>
    <t>MS Project, Primavera, MS Office, Revit, ACC ( Autodesk Construction cloud ), BIM Coordination, Sketchup, Lumion, Figma, Photoshop, AutoCAD</t>
  </si>
  <si>
    <t>Morphogenesis | Project Architect | Pune, Maharashtra | Jul 2023 | Jun 2025 | 1Y 11M | 5.78</t>
  </si>
  <si>
    <t>Cushman &amp; Wakefield | Project Management Intern | Pune, Maharashtra, India | May 2026 | Jul 2026 | 8.7142857142857 Weeks | Campus Internship
Sandeep Shikre &amp; Associates | Trainee Architect | Pune, Maharashtra, India | Jun 2022 | Dec 2022 | 26.714285714286 Weeks</t>
  </si>
  <si>
    <t>Advanced Revit &amp; BIM Certification Course
IGBC AP Associate
Microsoft project
B.Arch 4th Year-Academic topper
Architectural Thesis  Competition 2024-Shortlisted in TOP 20
BIM + Revit Workshop-1 Day
Advance Graphic Design Course for Architects
9 Day Advance Portfolio and Presentation Design Course for Architects
Facade Design
Landscape Design for Architects
Site analysis &amp; Climate study
Sketchup Modelling
2 Day Parametric Modelling
Architectural Thesis workshop</t>
  </si>
  <si>
    <t>P25700597</t>
  </si>
  <si>
    <t>SAHANA</t>
  </si>
  <si>
    <t>VILASKUMAR</t>
  </si>
  <si>
    <t>MASHETTY</t>
  </si>
  <si>
    <t>Sahana Vilaskumar Mashetty</t>
  </si>
  <si>
    <t>sahanamashetty24@gmail.com</t>
  </si>
  <si>
    <t>p25700597@student.nicmar.ac.in</t>
  </si>
  <si>
    <t>24-Jan-2001</t>
  </si>
  <si>
    <t>5066 1168 2047</t>
  </si>
  <si>
    <t>RTD ENGINEER</t>
  </si>
  <si>
    <t>VIJAYLAXMI</t>
  </si>
  <si>
    <t>H No 1-1495/43/2_x000D_
MSK Mill Road_x000D_
Behind Central Bustand_x000D_
Bhagwati Nagar_x000D_
House Name - "Vilas Nivas"_x000D_
585102 - Pincode_x000D_
Plot No - 22_x000D_
Gulbarga, Karnataka</t>
  </si>
  <si>
    <t>SHARANABASAVESWAR RES. HIGH SCHOOL KALABURAGI</t>
  </si>
  <si>
    <t>KARNATAKA SECONDARY EDUCATION EXAMINATION BOARD KARNATAKA</t>
  </si>
  <si>
    <t>SBASAVESHWAR RESI PU COL, SHARANA NAGAR, GULBARGA 585103</t>
  </si>
  <si>
    <t>GOVT OF KARNATAKA</t>
  </si>
  <si>
    <t>POOJYA DODDAPPA APPA COLLEGE OF ENGINEERING, KALABURAGI</t>
  </si>
  <si>
    <t>AutoCAD,MS Office,MS Project,Primavera,MS Excel,MS Powerpoint,Lumion,Sketch up,Revit,Adobe photoshop</t>
  </si>
  <si>
    <t>RAINEO ARCHITECTS | ARCHITECT  | BANGLORE  | Jan 2024 | Jun 2025 | 1Y 5M | 3.01</t>
  </si>
  <si>
    <t>SHOBHA &amp; MAHESH ASSOCIATES | INTERN  | BANGLORE | Aug 2022 | Jan 2023 | 18 Weeks</t>
  </si>
  <si>
    <t>P25700598</t>
  </si>
  <si>
    <t>DHEERAJ</t>
  </si>
  <si>
    <t>MAHAJAN</t>
  </si>
  <si>
    <t>Dheeraj Satish Mahajan</t>
  </si>
  <si>
    <t>dhirajmahajan444@gmail.com</t>
  </si>
  <si>
    <t>p25700598@student.nicmar.ac.in</t>
  </si>
  <si>
    <t>7381 4685 2362</t>
  </si>
  <si>
    <t>AUTO DRIVER</t>
  </si>
  <si>
    <t>KARLA ROAD SWAGAT  COLONY SABDALE LAYOUT WARDHA</t>
  </si>
  <si>
    <t>AGRAGAMIHIGH SCHOOL WARDHA</t>
  </si>
  <si>
    <t>WARDHA/MAHARASHTRA</t>
  </si>
  <si>
    <t>VITHALRAO CHAMAT HIGH  SCHOOL NAGPUR</t>
  </si>
  <si>
    <t>NAGPUR /MAHARASHTRA</t>
  </si>
  <si>
    <t>DR BABASAHEB AMBEDKAR TECHNOLOGICAL  UNIVERSITY LONERE RAIGADH</t>
  </si>
  <si>
    <t>BAJAJ INSTITUTE OF TECHNOLOGY WARDHA /MAHARASHTRA</t>
  </si>
  <si>
    <t>P25700599</t>
  </si>
  <si>
    <t>RISHIKA</t>
  </si>
  <si>
    <t>Rishika Menon</t>
  </si>
  <si>
    <t>rishikamenon27@gmail.com</t>
  </si>
  <si>
    <t>p25700599@student.nicmar.ac.in</t>
  </si>
  <si>
    <t>English, Hindi, Bengali, Malayalam</t>
  </si>
  <si>
    <t>5755 1234 0060</t>
  </si>
  <si>
    <t>SADANANDA MANOJ KUMAR</t>
  </si>
  <si>
    <t>INDU MENON</t>
  </si>
  <si>
    <t>NICMAR, POST OFFICE, 25/1, NICMAR UNIVERSITY, N.I.A, BALEWADI RD, RAM NAGAR, BANER, PUNE, MAHARASHTRA 411045</t>
  </si>
  <si>
    <t>Flat No 2-D, Srinibas Mansion, Riverside Road, Burnpur, Asansol, West Bengal- 713325_x000D_</t>
  </si>
  <si>
    <t>Paschim Bardhaman</t>
  </si>
  <si>
    <t>BURNPUR RIVERSIDE SCHOOL</t>
  </si>
  <si>
    <t>CENTRAL BOARD OF SECONDARY EDUCATION, ASANSOL/WEST BENGAL</t>
  </si>
  <si>
    <t>SCHOOL OF PLANNING AND ARCHITECTURE, VIJAYAWADA/ANDHRA PRADESH</t>
  </si>
  <si>
    <t>AutoCAD,MS Office,MS Project,sketchup,revit,photoshop</t>
  </si>
  <si>
    <t>AGAMI REALTY | SITE EXECUTION AND CONTROL | BANDRA, MUMBAI | May 2026 | Jul 2026 | 7.8571428571429 Weeks | Campus Internship
Milestone Design Studio | Junior Architect | Bengalurtu | Sep 2023 | Dec 2023 | 10.428571428571 Weeks
Between Spaces | Junior Architect | Bangaluru | Jun 2023 | Sep 2023 | 15.571428571429 Weeks</t>
  </si>
  <si>
    <t>P25700600</t>
  </si>
  <si>
    <t>DHANAVATHULA</t>
  </si>
  <si>
    <t>UDAY SAI</t>
  </si>
  <si>
    <t>Dhanavathula Uday Sai Naik</t>
  </si>
  <si>
    <t>sainaik939@gmail.com</t>
  </si>
  <si>
    <t>p25700600@student.nicmar.ac.in</t>
  </si>
  <si>
    <t>4538 2100 8563</t>
  </si>
  <si>
    <t>DHANAVATHULA SRINIVAS</t>
  </si>
  <si>
    <t>RAILWAY EMPLOYEE</t>
  </si>
  <si>
    <t>DHANAVATHULA PATHINI BAI</t>
  </si>
  <si>
    <t>POORNANDAM PETA ,MOHAMMED BAIG STREET,VIJAYAWADA, ANDHRA PRDESH</t>
  </si>
  <si>
    <t>Krishna</t>
  </si>
  <si>
    <t>SRI CHAITANYA</t>
  </si>
  <si>
    <t>SRI CHAITANYA JR COLLAGE</t>
  </si>
  <si>
    <t>VELAGAPUDI RAMAKRISHNA SIDDHARTHA ENGINEERING COLLAGE</t>
  </si>
  <si>
    <t>AutoCAD,MS Office,MS Project,Primavera,ARC GIS,QGIS</t>
  </si>
  <si>
    <t>GARUDALYTICS PRIVATE LIMITED | GIS TRAINING /INTERNSHIP PROGRAM | VIJAYAWADA | Jul 2022 | Aug 2022 | 7.2857142857143 Weeks</t>
  </si>
  <si>
    <t>P25700601</t>
  </si>
  <si>
    <t>SUMUKH</t>
  </si>
  <si>
    <t>VATS</t>
  </si>
  <si>
    <t>Sumukh Vats</t>
  </si>
  <si>
    <t>sumukhvats788@gmail.com</t>
  </si>
  <si>
    <t>p25700601@student.nicmar.ac.in</t>
  </si>
  <si>
    <t>03-Jun-2002</t>
  </si>
  <si>
    <t>3021 0980 7245</t>
  </si>
  <si>
    <t>MANOJ VATS</t>
  </si>
  <si>
    <t>BUILDER</t>
  </si>
  <si>
    <t>MEENU VATS</t>
  </si>
  <si>
    <t>HNO 15 VPO MITRAON VILLAGE, NAJAFGARGH, SOUTH WEST DELHI</t>
  </si>
  <si>
    <t>MAXFORT SCHOOL</t>
  </si>
  <si>
    <t>SACHDEVA GLOBAL SCHOOL</t>
  </si>
  <si>
    <t>SHREE GURU GOBIND SINGH TRICENTENARY UNIVERSITY,GURUGRAM</t>
  </si>
  <si>
    <t>SHREE GURU GOBIND SINGH TRICENTENARY UNIVERSITY, GURUGRAM</t>
  </si>
  <si>
    <t>AutoCAD,MS Office,MS Project,MSP,ETABS,STAAD PRO</t>
  </si>
  <si>
    <t>Cushman and Wakefield  | Project Management Intern  | DLF CyberHub (Gurugram, Haryana) | May 2026 | Jul 2026 | 8.7142857142857 Weeks | Campus Internship
ACE Infracity Developers Pvt Ltd. | Site Trainee | Noida , sector 150 | Feb 2024 | Jun 2024 | 18.285714285714 Weeks
AIRPORT AUTHORITY OF INDIA. | Site trainee | New Delhi | Jul 2023 | Aug 2023 | 6 Weeks</t>
  </si>
  <si>
    <t>Construction Project Management
Construction Cost Estimating and Cost Control
EPFL- Smart Cities â€“ Management of Smart Urban
Investment Risk Management
Business Analysis &amp; Process Management
Google-Foundations Data, Data, Everywhere
The Construction Industry The Way Forward
Mastering bitumen for better roads and innovative</t>
  </si>
  <si>
    <t>P25700602</t>
  </si>
  <si>
    <t>Riya Singh</t>
  </si>
  <si>
    <t>riyasingh41911@gmail.com</t>
  </si>
  <si>
    <t>p25700602@student.nicmar.ac.in</t>
  </si>
  <si>
    <t>16-Dec-2001</t>
  </si>
  <si>
    <t>ENGLISH AND HINDI</t>
  </si>
  <si>
    <t>5339 2470 4706</t>
  </si>
  <si>
    <t>SANJAY SINGH</t>
  </si>
  <si>
    <t>SIYA SINGH</t>
  </si>
  <si>
    <t>WHITE HOUSE PG HINJEWADI PHASE 1</t>
  </si>
  <si>
    <t>Ward No 2 Infront Of Balram Ice Factory</t>
  </si>
  <si>
    <t>ST. ALOYSIUS HIGH SCHOOL, SHAHDOL</t>
  </si>
  <si>
    <t>BOARD OF SECONDARY EDUCATION, MADHYA PRADESH, BHOPAL</t>
  </si>
  <si>
    <t>DAV BURHAR PUBLIC SCHOOL PAKARIA BURHAR SHAHDOL, M.P.</t>
  </si>
  <si>
    <t>LAKSHMI NARAIN COLLEGE OF TECHNOLOGY, BHOPAL</t>
  </si>
  <si>
    <t>AutoCAD,MS Office,Ms excel,QGIS,Google earth Pro</t>
  </si>
  <si>
    <t>Sombansi Enviro Engg. Pvt. Ltd. | Graduate Engineer Trainee | Ghaziabad (U.P.) | May 2023 | Nov 2023 | 0Y 5M | 2.4
Deccan Technical Consultant LLP | Engineer- Projects | Bhopal (M.P.) | Dec 2023 | Jul 2025 | 1Y 7M | 3</t>
  </si>
  <si>
    <t>P25700603</t>
  </si>
  <si>
    <t>DIVYANSH</t>
  </si>
  <si>
    <t>Divyansh Gupta</t>
  </si>
  <si>
    <t>divyanshtushar11@gmail.com</t>
  </si>
  <si>
    <t>p25700603@student.nicmar.ac.in</t>
  </si>
  <si>
    <t>11-Apr-2001</t>
  </si>
  <si>
    <t>2044 4439 7245</t>
  </si>
  <si>
    <t>RAJESH KUMAR GUPTA</t>
  </si>
  <si>
    <t>PRAMILA GUPTA</t>
  </si>
  <si>
    <t>Choubey Colony Near Family Super Store</t>
  </si>
  <si>
    <t>Chhatarpur</t>
  </si>
  <si>
    <t>MARIA MATA CONVENT HIGH SCHOOL</t>
  </si>
  <si>
    <t>CENTRAL BOARD OF SECONDARY EDUCATION CHHATARPUR/MADHYA PRADESH</t>
  </si>
  <si>
    <t>MEDI-CAPS UNIVERSITY</t>
  </si>
  <si>
    <t>PATH HIGHWAYS | Trainee | Indore | Jan 2021 | Jan 2021 | 2 Weeks
RS Associate's | Civil Engineer | Indore | Oct 2023 | Oct 2024 | 52.285714285714 Weeks
Public Work Department | Intern | Chhatarpur | Jan 2022 | Apr 2022 | 17 Weeks</t>
  </si>
  <si>
    <t>P25700604</t>
  </si>
  <si>
    <t>MAHESHWARI</t>
  </si>
  <si>
    <t>AHIRE</t>
  </si>
  <si>
    <t>Maheshwari Ahire</t>
  </si>
  <si>
    <t>mhshwriahr01@gmail.com</t>
  </si>
  <si>
    <t>p25700604@student.nicmar.ac.in</t>
  </si>
  <si>
    <t>6790 8127 3141</t>
  </si>
  <si>
    <t>ASHOK AHIRE</t>
  </si>
  <si>
    <t>NAYANA</t>
  </si>
  <si>
    <t>64, NAYAN VILLA, RENUKA NAGAR, WADIBHOKAR ROAD, DHULE, MAHARASHTRA, 424002</t>
  </si>
  <si>
    <t>A/P Borvihir, Dhule, Maharashtra, 424311</t>
  </si>
  <si>
    <t>JAI HIND HIGH SCHOOL &amp; JUNIOR COLLEGE, DHULE</t>
  </si>
  <si>
    <t>SHRI NANASAHEB ZULAL BHILAJIRAO PATIL HIGHER SECONDARY SCHOOL, DHULE</t>
  </si>
  <si>
    <t>VEERMATA JIJABAI TECHNOLOGICAL INSTITUTE, MATUNGA, MUMBAI,400019</t>
  </si>
  <si>
    <t>Jones Lang LaSalle | Project Engineer | Mumbai | Jul 2023 | Dec 2024 | 1Y 5M | 4.5</t>
  </si>
  <si>
    <t>K H CONSTRUCTION, MUMBAI | INTERN | MUMBAI | Jun 2022 | Jul 2022 | 8.5714285714286 Weeks</t>
  </si>
  <si>
    <t>P25700605</t>
  </si>
  <si>
    <t>ARYAN</t>
  </si>
  <si>
    <t>ABHIJIT</t>
  </si>
  <si>
    <t>DIGHOLE</t>
  </si>
  <si>
    <t>Aryan Abhijit Dighole</t>
  </si>
  <si>
    <t>aryandighole@gmail.com</t>
  </si>
  <si>
    <t>p25700605@student.nicmar.ac.in</t>
  </si>
  <si>
    <t>07-Sep-2000</t>
  </si>
  <si>
    <t>2712 6145 7842</t>
  </si>
  <si>
    <t>VRUSHALI</t>
  </si>
  <si>
    <t>A-303, ASHTAVINAYAK TOWER, BEHIND HDFC BANK, THATTE NAGAR, GANGAPUR ROAD, NASHIK</t>
  </si>
  <si>
    <t>PLOT NO. 53, AKSHAY BUNGALOW, OPPOSITE YES BANK, KULKARNI BAUG, COLLEGE ROAD, NASHIK</t>
  </si>
  <si>
    <t>SYMBIOSIS SCHOOL</t>
  </si>
  <si>
    <t>CENTRAL BOARD OF SECONDARY EDUCATION, MAHARASHTRA</t>
  </si>
  <si>
    <t>K.V.N NAIK COLLEGE OF ARTS, COMMERCE AND SCIENCE</t>
  </si>
  <si>
    <t>HIGHER SECONDARY EDUCATION, MAHARASHTRA</t>
  </si>
  <si>
    <t>K.K. WAGH COLLEGE OF ENGINEERING EDUCATION AND RESEARCH</t>
  </si>
  <si>
    <t>AutoCAD, MS Office, MS Project, Primavera P6</t>
  </si>
  <si>
    <t>SOBHA LIMITED | SITE EXECUTION | SOBHA ATLANTIS, KOCHI, KERALA | May 2026 | Jul 2026 | 9 Weeks | Campus Internship</t>
  </si>
  <si>
    <t>Estimation and Costing
AUTOCAD
Finance for Non-finance managers</t>
  </si>
  <si>
    <t>P25700606</t>
  </si>
  <si>
    <t>BABARAOJI</t>
  </si>
  <si>
    <t>Gunjan Babaraoji Khandare</t>
  </si>
  <si>
    <t>khandaregunjankhandare@gmail.com</t>
  </si>
  <si>
    <t>p25700606@student.nicmar.ac.in</t>
  </si>
  <si>
    <t>24-Dec-1998</t>
  </si>
  <si>
    <t>6191 7004 0445</t>
  </si>
  <si>
    <t>SITE SUPERVISOR</t>
  </si>
  <si>
    <t>MAYAWATI</t>
  </si>
  <si>
    <t>SANT TUKDOJI WARD PIMPALGAON ROAD BEHIND COTTAGE HOSPITAL HINGANGHAT DISTRICT WARDHA</t>
  </si>
  <si>
    <t>MAHESH GYANPEETH HIGH SCHOOL</t>
  </si>
  <si>
    <t>GOVERNMENT POLYTECHNIC, JALGAON</t>
  </si>
  <si>
    <t>PROF RAM MEGHE COLLEGE OF ENGINEERING &amp; MANAGEMENT, BADNERA</t>
  </si>
  <si>
    <t>AutoCAD,MS Office,MS Project,Primavera,Advanced Excel Certification.,CERTIFIED POWER BI PROFESSIONAL (CBIP).</t>
  </si>
  <si>
    <t>PRAMUKH REAL ESTATE LLP | GRADUATE ENGINEER TRAINEE | VAPI | Dec 2021 | Sep 2024 | 2Y 9M | 1.44
SILVERBELL REALTY | PROJECT ENGINEER | VAPI | Nov 2024 | Feb 2025 | 0Y 3M | 3.12
DREAMBOAT PARTNERS | CHIEF PROJECT ENGINEER | VAPI | Feb 2025 | Jun 2025 | 0Y 3M | 5.28</t>
  </si>
  <si>
    <t>P25700607</t>
  </si>
  <si>
    <t>GREGORY</t>
  </si>
  <si>
    <t>JOHN</t>
  </si>
  <si>
    <t>Gregory John</t>
  </si>
  <si>
    <t>gregoyjohn911@gmail.com</t>
  </si>
  <si>
    <t>p25700607@student.nicmar.ac.in</t>
  </si>
  <si>
    <t>09-Nov-2003</t>
  </si>
  <si>
    <t>English, Tamil , Malayalam</t>
  </si>
  <si>
    <t>7911 1484 8347</t>
  </si>
  <si>
    <t>JOHN MATHEN</t>
  </si>
  <si>
    <t>JILLY JOHN</t>
  </si>
  <si>
    <t>108, Government Arts College Road, Race Course, Coimbatore, Tamil Nadu</t>
  </si>
  <si>
    <t>STANES ANGLO INDIAN HIGHER SECONDARY SCHOOL</t>
  </si>
  <si>
    <t>TAMIL NADU STATE BOARD</t>
  </si>
  <si>
    <t>AMRITA SCHOOL OF ENGINEERING</t>
  </si>
  <si>
    <t>Josmi Constructions | Trainee Engineer | Coimbatore | Jan 2025 | Jun 2025 | 25.714285714286 Weeks
URC Construction Private Limited | Intern | Chennai | Jun 2024 | Jun 2024 | 2.4285714285714 Weeks</t>
  </si>
  <si>
    <t>Sustainable Design Of Buildings
Principles Of Construction Management</t>
  </si>
  <si>
    <t>P25700608</t>
  </si>
  <si>
    <t>ISHITA</t>
  </si>
  <si>
    <t>SARAGADA</t>
  </si>
  <si>
    <t>Ishita Saragada</t>
  </si>
  <si>
    <t>ishitasaragada@gmail.com</t>
  </si>
  <si>
    <t>p25700608@student.nicmar.ac.in</t>
  </si>
  <si>
    <t>ENGLISH, TELUGU</t>
  </si>
  <si>
    <t>7910 2573 1200</t>
  </si>
  <si>
    <t>SURESH REDDY SARAGADA LATE</t>
  </si>
  <si>
    <t>EX-SERVICEMEN (NAVY)</t>
  </si>
  <si>
    <t>JAYA LAKSHMI SARAGADA</t>
  </si>
  <si>
    <t>BANK EMPLOYEE</t>
  </si>
  <si>
    <t>D. No 53-7-7/2, Atchi Vari Street_x000D_
Maddilapalem,Visakhapatnam</t>
  </si>
  <si>
    <t>SRI PRAKSH VIDYANIKETAN</t>
  </si>
  <si>
    <t>ANDHRA UNIVERSITY</t>
  </si>
  <si>
    <t>ANIL NEERUKONDA INSTITUTE OF TECHNOLOGY AND SCIENCES, VISAKHAPATNAM, ANDHRA PRADESH</t>
  </si>
  <si>
    <t>ASIAN PAINTS | Summer Intern - Project Sales | Chennai, Tamil Nadu | May 2026 | Jul 2026 | 8.7142857142857 Weeks | Campus Internship
SHAPOORJI PALLONJI CONSTRUCTION PRIVATE LIMITED | Intern â€“ Project Controls &amp; Commercial Operations at IIM Visakhapatnam  | VISAKHAPATNAM | Jul 2024 | Aug 2024 | 4.2857142857143 Weeks</t>
  </si>
  <si>
    <t>P25700609</t>
  </si>
  <si>
    <t>SURESHKUMAR</t>
  </si>
  <si>
    <t>Shubham Sureshkumar Prasad</t>
  </si>
  <si>
    <t>shubhamprasad338@gmail.com</t>
  </si>
  <si>
    <t>p25700609@student.nicmar.ac.in</t>
  </si>
  <si>
    <t>3106 9386 1891</t>
  </si>
  <si>
    <t>SURESHKUMAR PRASAD</t>
  </si>
  <si>
    <t>REETA PRASAD</t>
  </si>
  <si>
    <t>Tiranga Society, C-8, 3-16, Sector 25, Juinagar, Navi Mumbai</t>
  </si>
  <si>
    <t>CENTRAL BOARD OF SECONDARY EDUCATION ( CBSE )</t>
  </si>
  <si>
    <t>TERNA ENGINEERING COLLEGE, NERUL, NAVI-MUMBAI</t>
  </si>
  <si>
    <t>RIB CostX, Excel, AutoCAD, MS Project, Primavera, Revit</t>
  </si>
  <si>
    <t>BOXOFFICE SPACE | INTERN | Pune | May 2026 | Jul 2026 | 8.7142857142857 Weeks | Campus Internship
DIRECTORATE OF CONSTRUCTION, SERVICES AND ESTATE MANAGEMENT, DEPARTMENT OF ATOMIC ENERGY, GOVERNMENT OF INDIA | INTERN | MUMBAI | Dec 2022 | Jan 2023 | 4 Weeks
VIKAS CONSTRUCTION | Estimation &amp; Costing intern | Mumbai | Jan 2025 | Apr 2025 | 12.857142857143 Weeks</t>
  </si>
  <si>
    <t>Construction Cost Estimating and Cost Control 
Data Analysis
Project Planning and Execution Management
Project - Monitoring and Control
Project Management - Initiation and Planning
Project Management in  Construction</t>
  </si>
  <si>
    <t>P25700610</t>
  </si>
  <si>
    <t>LLOYD</t>
  </si>
  <si>
    <t>ALBAN</t>
  </si>
  <si>
    <t>MORAES</t>
  </si>
  <si>
    <t>Lloyd Alban Moraes</t>
  </si>
  <si>
    <t>lloydmrs007@gmail.com</t>
  </si>
  <si>
    <t>p25700610@student.nicmar.ac.in</t>
  </si>
  <si>
    <t>11-Dec-1996</t>
  </si>
  <si>
    <t>4347 9465 4807</t>
  </si>
  <si>
    <t>ABC</t>
  </si>
  <si>
    <t>LORRENE</t>
  </si>
  <si>
    <t>A-101,EMERALD,MAHAVIR UNIVERSE,OPP. DMART,CHILHAR ROAD,BOISAR(E)</t>
  </si>
  <si>
    <t>MORAES LLOYD ALBAN</t>
  </si>
  <si>
    <t>TARAPUR VIDYA MANDIR</t>
  </si>
  <si>
    <t>2015-Feb</t>
  </si>
  <si>
    <t>ST.JOHN COLLEGE OF ENGINEERING AND MANAGEMENT,PALGHAR/MAHARSHTRA</t>
  </si>
  <si>
    <t>AGAMI REALTY | SITE ENGINEER | BANDRA,MUMBAI | Dec 2020 | May 2025 | 4Y 5M | 4.2</t>
  </si>
  <si>
    <t>4 Years 6 Months</t>
  </si>
  <si>
    <t>Cherry Hill Interiors Pvt. Ltd. | Project Management Trainee | Banglore | May 2026 | Jul 2026 | 8.5714285714286 Weeks | Campus Internship
ADHIKARI RMC | QA/QC | BOISAR,MAHARASHTRA | Jun 2019 | Jul 2019 | 6.8571428571429 Weeks
K K BUILDERS | TRAINEE | PALGHAR,MAHARASHTRA | May 2016 | Jun 2016 | 4.2857142857143 Weeks</t>
  </si>
  <si>
    <t>APTECH MSP CERTIFICATION</t>
  </si>
  <si>
    <t>P25700611</t>
  </si>
  <si>
    <t>WAMAN</t>
  </si>
  <si>
    <t>Omkar Santosh Waman</t>
  </si>
  <si>
    <t>omkar.waman99@gmail.com</t>
  </si>
  <si>
    <t>p25700611@student.nicmar.ac.in</t>
  </si>
  <si>
    <t>9611 4444 4338</t>
  </si>
  <si>
    <t>SANTOSH RAMBHAU WAMAN</t>
  </si>
  <si>
    <t>SUREKHA SANTOSH WAMAN</t>
  </si>
  <si>
    <t>301/10,Celebration KH4,Sector 17,Kharghar,Navi Mumbai</t>
  </si>
  <si>
    <t>I.E.S.V.N.SULE GURUJI ENGLISH MEDIUM SCHOOL</t>
  </si>
  <si>
    <t>MAHARASHTRA STATE BOARD ,MUMBAI/MAHARSHTRA</t>
  </si>
  <si>
    <t>MAHARSHI DAYANAND COLLEGE OF ARTS, COMMERCE AND SCIENCE</t>
  </si>
  <si>
    <t>ANJUMAN-I-ISLAMS M.H.SABOO SIDDIK COLLEGE OF ENGINEERING,MUMBAI/MAHARASHTRA</t>
  </si>
  <si>
    <t>GIRISH ENTERPRISES PRIVATE LIMITED | TRAINEE CIVIL ENGINEER | Taloja, Navi Mumbai | Nov 2024 | Jun 2025 | 0Y 6M | 3</t>
  </si>
  <si>
    <t>CITY AND INDUSTRIAL DEVLOPMENT CORPORATION OF MAHARASHTRA LIMITED | INTERN | TALOJA, NAVI MUMBAI | Jun 2023 | Jun 2023 | 4.1428571428571 Weeks</t>
  </si>
  <si>
    <t>P25700612</t>
  </si>
  <si>
    <t>SANGMESHWAR</t>
  </si>
  <si>
    <t>SHAMBHU</t>
  </si>
  <si>
    <t>JALKOTE</t>
  </si>
  <si>
    <t>Sangmeshwar Shambhu Jalkote</t>
  </si>
  <si>
    <t>jalkotesangmeshwar@gmail.com</t>
  </si>
  <si>
    <t>p25700612@student.nicmar.ac.in</t>
  </si>
  <si>
    <t>3490 0542 7678</t>
  </si>
  <si>
    <t>SHAMBHU JALKOTE</t>
  </si>
  <si>
    <t>MAHADEVI JALKOTE</t>
  </si>
  <si>
    <t>R1/6 Ramesh Wande Nagar Near Mari Aai Mandir, Upper Village Kolshet</t>
  </si>
  <si>
    <t>KENDRIYA VIDYALA AFS THANE</t>
  </si>
  <si>
    <t>KENDRIYA VIDYALAYA AFS THANE</t>
  </si>
  <si>
    <t>A.P SHAH INSTITUTE OF TECHNOLOGY THANE</t>
  </si>
  <si>
    <t>AutoCAD,MS Office,MS Project,Primavera,BIM,Market Research &amp; Feasibility Support,Tender Documentation &amp; Vendor Coordination</t>
  </si>
  <si>
    <t>HARSH CONSTRUCTION PVT LTD | INTERN | THANE | May 2023 | Jul 2023 | 7.4285714285714 Weeks
ADITIYA ENTERPRISES | INTERN | MUMBAI | Dec 2021 | Jan 2023 | 57.857142857143 Weeks
GUBBI CIVIL ENGINEERS | INTERN | MUMBAI | Jun 2024 | Jun 2025 | 56.285714285714 Weeks</t>
  </si>
  <si>
    <t>Professional Drafting and Presentation
Universal Human Values
Finance for non Finance mangers
Six Sigma</t>
  </si>
  <si>
    <t>P25700613</t>
  </si>
  <si>
    <t>SARUMATHI</t>
  </si>
  <si>
    <t>Sarumathi C</t>
  </si>
  <si>
    <t>sarumathichinnaiyan32@gmail.com</t>
  </si>
  <si>
    <t>p25700613@student.nicmar.ac.in</t>
  </si>
  <si>
    <t>ENGLISH,TAMIL,HINDI</t>
  </si>
  <si>
    <t>2607 5741 3904</t>
  </si>
  <si>
    <t>CHINNAIYAN.S</t>
  </si>
  <si>
    <t>RAMAMIRTHAM.C</t>
  </si>
  <si>
    <t>615,SOUTH STREET,THIRUMANGALAKKOTAI WEST,ORATHANADU(TK),THANJAVUR(DT)</t>
  </si>
  <si>
    <t>BRINDHAVAN HIGHER SECONDARY SCHOOL</t>
  </si>
  <si>
    <t>STATE BOARD OF SCHOOL EXAMINATIONS,TAMILNADU</t>
  </si>
  <si>
    <t>SASTRA DEEMED TO BE UNIVERSITY,THANJAVUR</t>
  </si>
  <si>
    <t>AutoCAD, MS Office, MS Project, Primavera, Excel, ArcGIS, Power BI</t>
  </si>
  <si>
    <t>DRA HOMES AND DEVELOPERS | GET-CONTRACTS &amp; QS | CHENNAI | Jul 2024 | Feb 2025 | 0Y 6M | 2.16</t>
  </si>
  <si>
    <t>BECHTEL INDIA PRIVATE LIMITED | PROJECT CONTROLS | Gurgaon, HaryanaGurgaon,Haryana | May 2026 | Jul 2026 | 7.5714285714286 Weeks | Campus Internship
CHENNAI METROPOLITIAN DEVELOPMENT AUTHORITY-CMDA | SUMMER INTERN | CHENNAI | Dec 2023 | Mar 2024 | 14.857142857143 Weeks</t>
  </si>
  <si>
    <t>Shaping Urban Futures
Renewable Energy and Green Building  Entrepreneurship</t>
  </si>
  <si>
    <t>P25700614</t>
  </si>
  <si>
    <t>OKTE</t>
  </si>
  <si>
    <t>Ayush Okte</t>
  </si>
  <si>
    <t>ayushokte76@gmail.com</t>
  </si>
  <si>
    <t>p25700614@student.nicmar.ac.in</t>
  </si>
  <si>
    <t>06-Jul-2002</t>
  </si>
  <si>
    <t>Hindi,English or Marathi</t>
  </si>
  <si>
    <t>2187 4952 9582</t>
  </si>
  <si>
    <t>RATNAKAR OKTE</t>
  </si>
  <si>
    <t>SUNITA OKTE</t>
  </si>
  <si>
    <t>HOUSHE WIFE</t>
  </si>
  <si>
    <t>CM. RISE HIGH SCHOOL KE PAS GURAIYA USHARIYA WARD NO.20 CHHINDWARA</t>
  </si>
  <si>
    <t>GOVERNMENT HIGHER SECONDARY SCHOOL GURRAIYA CHHINDWARA</t>
  </si>
  <si>
    <t>GOVT. ADARSH MULTI PURPOSH HIGHER SECONDARY EXCELLENCE SCHOOL, CHHINDWARA</t>
  </si>
  <si>
    <t>RAJIV GANDHI PROUDYOGIKI VISHWAVIDYALAYA BHOPAL</t>
  </si>
  <si>
    <t>MALWA INSTITUTE OF TECHNOLOGY,INDORE MADHYA PRADESH</t>
  </si>
  <si>
    <t>DEV BHOOMI DEVELOPERS | SITE ENGINEER | CHHINDWARA | Jun 2023 | Dec 2023 | 0Y 6M | 1.8</t>
  </si>
  <si>
    <t>P25700615</t>
  </si>
  <si>
    <t>PANICKER</t>
  </si>
  <si>
    <t>Vishnu Sunil Panicker</t>
  </si>
  <si>
    <t>vishnus8005@gmail.com</t>
  </si>
  <si>
    <t>p25700615@student.nicmar.ac.in</t>
  </si>
  <si>
    <t>18-May-2001</t>
  </si>
  <si>
    <t>ENGLISH, HINDI, MARATHI, MALAYALAM</t>
  </si>
  <si>
    <t>8824 4047 2522</t>
  </si>
  <si>
    <t>SUNIL KUMAR C PANICKER</t>
  </si>
  <si>
    <t>SIMMY SUNIL PANICKER</t>
  </si>
  <si>
    <t>104, B-4 Nandkishor CHS LTD, Vrindavan Complex, Sukapur, New Panvel</t>
  </si>
  <si>
    <t>CHANGU KHANA THAKUR VIDYALAYA &amp; JR. COLLEGE</t>
  </si>
  <si>
    <t>PILLAI HOC COLLEGE OF ENGINEERING AND TECHNOLOGY, RASAYANI, MAHARASHTRA.</t>
  </si>
  <si>
    <t>Ajwani Infrastructure Pvt Ltd | Assistant resident Engineer | Navade, Taloja, Maharashtra | Dec 2023 | Jun 2025 | 1Y 6M | 2.71</t>
  </si>
  <si>
    <t>Cherry Hill Pvt Ltd | Management Trainee | Pune | May 2026 | Jul 2026 | 8.7142857142857 Weeks | Campus Internship
SIMSA Infraprojects PVT LTD | Jr. Engineer | Rasayani, Maharashtra  | Jun 2023 | Aug 2023 | 12.857142857143 Weeks
CITY AND INDUSTRIAL DEVELOPMENT CORPORATION OF MAHARASHTRA | INTERNSHIP TRAINEE | TALOJA, MAHARASHTRA. BHAMANDONGIRI | Jun 2022 | Jul 2022 | 4.2857142857143 Weeks
THAKUR INFRAPROJECTS PVT LTD | CIVIL SUPERVISOR | JASAI, URAN | Dec 2021 | Jan 2022 | 3.5714285714286 Weeks</t>
  </si>
  <si>
    <t>P25700617</t>
  </si>
  <si>
    <t>KALAMBE</t>
  </si>
  <si>
    <t>Devanshu Vikas Kalambe</t>
  </si>
  <si>
    <t>kalambedevanshu@gmail.com</t>
  </si>
  <si>
    <t>p25700617@student.nicmar.ac.in</t>
  </si>
  <si>
    <t>4931 0718 4976</t>
  </si>
  <si>
    <t>VIKAS KALAMBE</t>
  </si>
  <si>
    <t>SHUBHANGI KALAMBE</t>
  </si>
  <si>
    <t>53/B, Ramna Maruti Nagar</t>
  </si>
  <si>
    <t>TEJASWINI VIDYAMANDIR</t>
  </si>
  <si>
    <t>Panacea Civil India Pvt. ltd. | Site Engineer Intern | Pune | Jan 2025 | Jun 2025 | 25.714285714286 Weeks</t>
  </si>
  <si>
    <t>P25700618</t>
  </si>
  <si>
    <t>ANKUR</t>
  </si>
  <si>
    <t>KOLTE</t>
  </si>
  <si>
    <t>Ankur Sanjay Kolte</t>
  </si>
  <si>
    <t>kolteankur28@gmail.com</t>
  </si>
  <si>
    <t>p25700618@student.nicmar.ac.in</t>
  </si>
  <si>
    <t>28-Apr-2002</t>
  </si>
  <si>
    <t>9834 5479 0283</t>
  </si>
  <si>
    <t>SANJAY KOLTE</t>
  </si>
  <si>
    <t>DEEPALI KOLTE</t>
  </si>
  <si>
    <t>C808,Palm Springs,SB Patil College Road,Ravet,PCMC,Pune</t>
  </si>
  <si>
    <t>SONA I ENGLISH MEDIUM HIGH SCHOOL,PUNE</t>
  </si>
  <si>
    <t>BHARATI VIDYAPEETH'S COLLEGE OF ENGINEERING,LAVALE,PUNE</t>
  </si>
  <si>
    <t>AutoCAD,MS Office,MS Project,Primavera,Quantity Surveying Building Estimation BBS with Excel &amp;CAD</t>
  </si>
  <si>
    <t>PSC Infracon Pvt. Ltd. | Junior Engineer | Wakad,Pune | Jul 2024 | May 2025 | 0Y 9M | 2.71</t>
  </si>
  <si>
    <t>KOLTE-PATIL DEVELOPERS LTD. | INTERN | UNDRI,PUNE | Sep 2021 | Nov 2021 | 12.857142857143 Weeks
VANCON ENGINEERS | INTERN | PUNE | Jan 2023 | Feb 2023 | 4.1428571428571 Weeks</t>
  </si>
  <si>
    <t>Quantity Surveying Building Estimation BBS with EXCEL and CAD</t>
  </si>
  <si>
    <t>P25700619</t>
  </si>
  <si>
    <t>Chirag Kumar</t>
  </si>
  <si>
    <t>chiragpratibha1997@gmail.com</t>
  </si>
  <si>
    <t>p25700619@student.nicmar.ac.in</t>
  </si>
  <si>
    <t>23-Jan-1997</t>
  </si>
  <si>
    <t>9690 4789 1076</t>
  </si>
  <si>
    <t>RAVINDRA KUMAR</t>
  </si>
  <si>
    <t>PRATIBHA KUMARI</t>
  </si>
  <si>
    <t>E-1008, Fusion Homes, TechZone 4, Greater Noida West</t>
  </si>
  <si>
    <t>DAV PUBLIC SCHOOL, VASANT KUNJ</t>
  </si>
  <si>
    <t>MANIPAL UNIVERSITY JAIPUR, RAJASTHAN</t>
  </si>
  <si>
    <t>Pidilite Industries Ltd. | Summer Intern | Delhi NCR | May 2026 | Jun 2026 | 7.5714285714286 Weeks | Campus Internship</t>
  </si>
  <si>
    <t>P25700620</t>
  </si>
  <si>
    <t>Aditya Agrawal</t>
  </si>
  <si>
    <t>aditya.agrawal.1930@gmail.com</t>
  </si>
  <si>
    <t>p25700620@student.nicmar.ac.in</t>
  </si>
  <si>
    <t>03-Jan-2002</t>
  </si>
  <si>
    <t>7279 9916 6529</t>
  </si>
  <si>
    <t>ROOPESH AGRAWAL</t>
  </si>
  <si>
    <t>MAMTA AGRAWAL</t>
  </si>
  <si>
    <t>T-49, Shalin-3, New Vavol</t>
  </si>
  <si>
    <t>Gandhinagar</t>
  </si>
  <si>
    <t>HILLWOODS SCHOOL</t>
  </si>
  <si>
    <t>CBSE GANDHINAGAR/GUJARAT</t>
  </si>
  <si>
    <t>AHMEDABAD PUBLIC SCHOOL INTERNATIONAL</t>
  </si>
  <si>
    <t>CENTRE FOR ENVIRONMENTAL PLANNING AND TECHNOLOGY</t>
  </si>
  <si>
    <t>CENTRE FOR ENVIRONMENTAL PLANNING AND TECHNOLOGY, AHMEDABAD, GUJARAT</t>
  </si>
  <si>
    <t>AutoCAD,MS Office,Sketchup,STAAD Pro,Photoshop,Enscape</t>
  </si>
  <si>
    <t>Masin Projects Pvt. Ltd. | Intern - Quantum Analysis | Gurugram | May 2026 | Jul 2026 | 8.7142857142857 Weeks | Campus Internship
Prajukti Consultants Pvt. Ltd. | Structural Design | Gurugram | Jan 2023 | Apr 2023 | 16.857142857143 Weeks</t>
  </si>
  <si>
    <t>Human Resources Management Essentials
Finance for Non-financial managers
Ethics in Engineering Practice
DIGI QC
Data Analysis
Construction Equipment Maintenance &amp; Safety</t>
  </si>
  <si>
    <t>P25700621</t>
  </si>
  <si>
    <t>RISHAV</t>
  </si>
  <si>
    <t>Rishav Raj</t>
  </si>
  <si>
    <t>rishav0013@gmail.com</t>
  </si>
  <si>
    <t>p25700621@student.nicmar.ac.in</t>
  </si>
  <si>
    <t>03-Jun-2003</t>
  </si>
  <si>
    <t>3413 6652 2703</t>
  </si>
  <si>
    <t>PRAMOD KUMAR</t>
  </si>
  <si>
    <t>SANGITA DEVI</t>
  </si>
  <si>
    <t>NICMAR UNIVERSITY</t>
  </si>
  <si>
    <t>A/54, Matru Sadan, Mitramandal Colony_x000D_</t>
  </si>
  <si>
    <t>VIDYA NIKETAN (BIRLA PUBLIC SCH) PILANI RAJ</t>
  </si>
  <si>
    <t>PILANI, RAJASTHAN</t>
  </si>
  <si>
    <t>P. P. M. SCHOOL VENKATESHWAR NAGER</t>
  </si>
  <si>
    <t>MOHALI, PUNJAB</t>
  </si>
  <si>
    <t>AutoCAD,MS Office,MS Project,Primavera,ARC GIS,Open Roads,Revit,CostX,QGIS,3DsMax</t>
  </si>
  <si>
    <t>REHLANI INFRATECH PVT. LTD. | PROJECT SUPERVISOR | AJMER | May 2024 | Jul 2024 | 6.1428571428571 Weeks</t>
  </si>
  <si>
    <t>Ethics in Engineering Practice
Finance for Non-Financial Managers
Application of GIS &amp; Remote Sensing in Civil Engineering</t>
  </si>
  <si>
    <t>P25700622</t>
  </si>
  <si>
    <t>KETAN</t>
  </si>
  <si>
    <t>UPASE</t>
  </si>
  <si>
    <t>Yash Ketan Upase</t>
  </si>
  <si>
    <t>yashupase02@gmail.com</t>
  </si>
  <si>
    <t>p25700622@student.nicmar.ac.in</t>
  </si>
  <si>
    <t>English, Marathi, Hindi, Kannada</t>
  </si>
  <si>
    <t>6532 2821 1497</t>
  </si>
  <si>
    <t>KETAN UPASE</t>
  </si>
  <si>
    <t>BHAGYASHREE</t>
  </si>
  <si>
    <t>HIREMATH HOUSE, BEHIND SHREE GURU INDEPENDENT PU COLLEGE, OZA LAYOUT</t>
  </si>
  <si>
    <t>House No 68, Om Nilaya, 5th Cross  Swami Vivekanand Nagar</t>
  </si>
  <si>
    <t>LITTLE FLOWER CONVENT HIGH SCHOOL, SOLAPUR</t>
  </si>
  <si>
    <t>PUNE DIVISIONAL BOARD, SOLAPUR, MAHARASHTRA</t>
  </si>
  <si>
    <t>SANGAMESHWAR COLLEGE, SOLAPUR</t>
  </si>
  <si>
    <t>SHARNBASVA UNIVERSITY</t>
  </si>
  <si>
    <t>SHARNBASVA UNIVERSITY, KALABURAGI, KARNATAKA</t>
  </si>
  <si>
    <t>Rodic Consultants Pvt Ltd | Business Development | New Delhi | May 2026 | Jul 2026 | 8.5714285714286 Weeks | Campus Internship
Sakshi Enterprises | Intern | Jejuri, Pune | Mar 2024 | May 2024 | 8.5714285714286 Weeks</t>
  </si>
  <si>
    <t>ICCRIP Conference Certificate (Hospitallity Management)
Finance for Non- Financial Managers</t>
  </si>
  <si>
    <t>P25700623</t>
  </si>
  <si>
    <t>TRIPATHI</t>
  </si>
  <si>
    <t>Sejal . Tripathi</t>
  </si>
  <si>
    <t>p25700623@student.nicmar.ac.in</t>
  </si>
  <si>
    <t>25-Feb-2002</t>
  </si>
  <si>
    <t>6396 8316 8116</t>
  </si>
  <si>
    <t>SANJAY TRIPATHI</t>
  </si>
  <si>
    <t>POONAM TRIPATHI</t>
  </si>
  <si>
    <t>Kasaridih Borsi Road Mukt Nagar Durg</t>
  </si>
  <si>
    <t>Durg</t>
  </si>
  <si>
    <t>SRI SANKARA VIDYALAYA SECTOR-X BHILAI DURG CG</t>
  </si>
  <si>
    <t>SHRI SHANKARACHARYA VIDYALAYA AMDI NGR BHILAI CG</t>
  </si>
  <si>
    <t>CHHATTISGARH SWAMI VIVEKANAND TECHNICAL UNIVERSITY, BHILAI</t>
  </si>
  <si>
    <t>SHRI  SHANKARACHARYA TECHNICAL CAMPUS, BHILAI CHHATTISGARH</t>
  </si>
  <si>
    <t>Suryapriya Construction Pvt Ltd | Project Planning | Banglore | May 2026 | Jul 2026 | 8.7142857142857 Weeks | Campus Internship
BHILAI STEEL PLANT | Civil Engineer Trainee | BHILAI CHHATTISGARH | Jul 2023 | Aug 2023 | 3.7142857142857 Weeks
DESIGN CONSULTANT | Civil Engineer Trainee | BHILAI CHHATTISGARH | Jun 2023 | Jul 2023 | 2.5714285714286 Weeks
WATER RESOURCE DEPARTMENT | Civil Engineer Trainee | BHILAI CHHATTISGARH | Jun 2022 | Jul 2022 | 4.1428571428571 Weeks</t>
  </si>
  <si>
    <t>P25700624</t>
  </si>
  <si>
    <t>BHARATI</t>
  </si>
  <si>
    <t>Gayatri Mohan Bharati</t>
  </si>
  <si>
    <t>gayatribharti9371@gmail.com</t>
  </si>
  <si>
    <t>p25700624@student.nicmar.ac.in</t>
  </si>
  <si>
    <t>8927 9835 7212</t>
  </si>
  <si>
    <t>MOHAN BHARTI</t>
  </si>
  <si>
    <t>RASHMI BHARTI</t>
  </si>
  <si>
    <t>STAMP VENDOR</t>
  </si>
  <si>
    <t>Near Balaji Book Depo Gandhi Chowk Ward No.2 Gadchandur</t>
  </si>
  <si>
    <t>HOLY FAMILY CONVENT SCHOOL</t>
  </si>
  <si>
    <t>CENTRAL BOARD OF SECONDARY EDUCATION MAHARASHTRA</t>
  </si>
  <si>
    <t>INSPIRE JR. COLLEGE OF SCIENCE</t>
  </si>
  <si>
    <t>SECONDARY AND HIGHER SECONDARY EDUCATION ,PUNE</t>
  </si>
  <si>
    <t>G.H RAISONI COLLEGE OF ENGINEERING ,NAGPUR</t>
  </si>
  <si>
    <t>SOBHA | Planning intern | Bangalore | May 2026 | Jul 2026 | 9 Weeks | Campus Internship
R S CONSTRUCTION | TRAINEE | NAGPUR | Feb 2024 | Jun 2024 | 18.285714285714 Weeks</t>
  </si>
  <si>
    <t>P25700626</t>
  </si>
  <si>
    <t>Aishwarya P</t>
  </si>
  <si>
    <t>aishwaryapyarilal@gmail.com</t>
  </si>
  <si>
    <t>p25700626@student.nicmar.ac.in</t>
  </si>
  <si>
    <t>25-Sep-2001</t>
  </si>
  <si>
    <t>8931 7549 6390</t>
  </si>
  <si>
    <t>PYARILAL P</t>
  </si>
  <si>
    <t>SINDHU P</t>
  </si>
  <si>
    <t>Chithra Nivas, Chelambra, Malappuram</t>
  </si>
  <si>
    <t>NAVABHARATH CENT SCH PARAMBILPEEDIKA MALAPRM KL</t>
  </si>
  <si>
    <t>CENTRAL BOARD OF SECONDARY EDUCATION - KERALA</t>
  </si>
  <si>
    <t>GOVT. HIGHER SECONDARY SCHOOL CHELARI</t>
  </si>
  <si>
    <t>BOARD OF HIGHER SECONDARY EXAMINATIONS - KERALA</t>
  </si>
  <si>
    <t>FEDERAL INSTITUTE OF SCIENCE AND TECHNOLOGY - KERALA</t>
  </si>
  <si>
    <t xml:space="preserve">AutoCAD, MS Project, Primavera, ERP, Power BI, Revit </t>
  </si>
  <si>
    <t>Nina Percept Pvt Ltd ( A subsidiary of Pidilite Industries Ltd) | Executive - Project Planning, Monitoring &amp; Controls | Mumbai | Aug 2023 | Jun 2025 | 1Y 9M | 4.44</t>
  </si>
  <si>
    <t>Bechtel India Private Limited | Intern - Project Controls | Gurgaon | May 2026 | Jul 2026 | 7.5714285714286 Weeks | Campus Internship
Uralungal Labour Contract Co-operative Society (ULCCS) Ltd. | Trainee | Kerala | Oct 2022 | Oct 2022 | 1.2857142857143 Weeks</t>
  </si>
  <si>
    <t>AutoCAD: 2D and 3D
Waterproofing and Insulation
Quantity Surveying Elevate Course and Live Project
Leading AI Agents at Work</t>
  </si>
  <si>
    <t>P25700627</t>
  </si>
  <si>
    <t>SAURAV</t>
  </si>
  <si>
    <t>Saurav Sunil</t>
  </si>
  <si>
    <t>sauravsunil101@gmail.com</t>
  </si>
  <si>
    <t>p25700627@student.nicmar.ac.in</t>
  </si>
  <si>
    <t>ENGLISH,HINDI,MALAYALAM ,TAMIL</t>
  </si>
  <si>
    <t>7348 7884 5080</t>
  </si>
  <si>
    <t>SUNIL KUMAR VV</t>
  </si>
  <si>
    <t>SONA PV</t>
  </si>
  <si>
    <t>SREELAKAM _x000D_
Velippara Street No 4 , Karimbam (PO)_x000D_
Taliparamba.</t>
  </si>
  <si>
    <t>CHINMAYA VIDYALAYA  , TALIPARAMBA</t>
  </si>
  <si>
    <t>CENTRAL BOARD OF SECONDARY EDUCATION , KERALA</t>
  </si>
  <si>
    <t>MOOTHEDATH HIGHER SECONDARY SCHOOL , TALIPARAMBA</t>
  </si>
  <si>
    <t>VIMAL JYOTHI ENGINEERING COLLEGE , KERALA</t>
  </si>
  <si>
    <t>AutoCAD,MS Office,MS Project,Primavera,BIM,Revit,Navisworks</t>
  </si>
  <si>
    <t>MILLENNIUM ENGINEERS &amp; CONTRACTORS PVT. LTD. ( Project : Godrej Emerald Waters, Pune) | Summer Intern | Pimpri, Pune | May 2026 | Jul 2026 | 8.7142857142857 Weeks | Campus Internship
VR4BIM LLP | BIM MODELER - INTERN | KOCHI , KERALA | Dec 2024 | Feb 2025 | 12.571428571429 Weeks
ACADEMIC PROJECT | INFLUENCE OF SUGARCANE BAGASSE ASH IN SELF COMPACTING CONCRETE | KANNUR, KERALA | Jul 2023 | Jul 2024 | 52.285714285714 Weeks</t>
  </si>
  <si>
    <t>BIM LABS CERTIFIED BIM MODELLER IN ARCHITECTURE
Power Bi workshop</t>
  </si>
  <si>
    <t>P25700628</t>
  </si>
  <si>
    <t>KATA</t>
  </si>
  <si>
    <t>Ganesh Kumar Kata</t>
  </si>
  <si>
    <t>ganeshkumarkata@gmail.com</t>
  </si>
  <si>
    <t>p25700628@student.nicmar.ac.in</t>
  </si>
  <si>
    <t>16-Jan-2002</t>
  </si>
  <si>
    <t>4904 4786 3765</t>
  </si>
  <si>
    <t>KATA SIVAYYA</t>
  </si>
  <si>
    <t>KATA BHAGYA LAKSHMI</t>
  </si>
  <si>
    <t>Tarvanipeta, 4-10-20, Dr.B.R. Ambedkar Konaseema . Near Bus Stand.</t>
  </si>
  <si>
    <t>ST ANN'S (EM) HS MANDAPETA</t>
  </si>
  <si>
    <t>KAKINADA INSTITUTE OF ENGINEERING &amp; TECHNOLOGY KORANGI.</t>
  </si>
  <si>
    <t>JAWAHARLAL NEHRU TECHNOLOGICAL UNIVERSITY KAKINADA.</t>
  </si>
  <si>
    <t>ADITYA ENGINEERING COLLEGE SURAMPALEM</t>
  </si>
  <si>
    <t>AutoCAD,MS Office,MS Project,Primavera,Schedule &amp; Cost Awareness,Strategic Thinking,Presentation &amp; Reporting,Project Documentation,Stakeholder Coordination,Problem Solving,Project Planning,Project Monitoring &amp; Control</t>
  </si>
  <si>
    <t>Ap police housing corporation limited | Trainee  | Kakinada | Oct 2020 | Jan 2021 | 12.428571428571 Weeks
ULTRATECH CEMENT | INTERN | RAJAHMUNDRY  | Jul 2023 | Jul 2023 | 3 Weeks
WABAG | PLANNING  | CHENNAI | May 2026 | Jul 2026 | 7.8571428571429 Weeks</t>
  </si>
  <si>
    <t>Ethics in Engineering Practice ( NPTEL )
Finance for Non-Financial Managers ( Emory University )
ETABS Workshop by IIT Bombay
Primavera P6 Project Planning and Scheduling Masterclass
Associate Member Institute Of Engineers India ( AMIE )
21st Century Employability Skills Program - Advanced
Revit Architecture ( APSCHE )
Building Information Modelling ( L&amp;T EduTech )
Certified Associate In Project Management ( CAPM )</t>
  </si>
  <si>
    <t>P25700629</t>
  </si>
  <si>
    <t>JINIA</t>
  </si>
  <si>
    <t>DUTTA</t>
  </si>
  <si>
    <t>Jinia Dutta</t>
  </si>
  <si>
    <t>jinia.slg@gmail.com</t>
  </si>
  <si>
    <t>p25700629@student.nicmar.ac.in</t>
  </si>
  <si>
    <t>25-Aug-1999</t>
  </si>
  <si>
    <t>English, Hindi and Bengali</t>
  </si>
  <si>
    <t>7735 1683 2431</t>
  </si>
  <si>
    <t>PRATIM DUTTA</t>
  </si>
  <si>
    <t>SOMA DUTTA</t>
  </si>
  <si>
    <t>Ward No.27,Biplabi Ganesh Ghosh Sarani, South Babupara ,Siliguri</t>
  </si>
  <si>
    <t>Darjeeling</t>
  </si>
  <si>
    <t>ST. JOSEPH'S HIGH SCHOOL , MATIGARA</t>
  </si>
  <si>
    <t>INDIAN CERTIFICATE OF SECONDARY EXAMINATION ,SILIGURI ,WEST BENGAL</t>
  </si>
  <si>
    <t>INDIAN SCHOOL CERTIFICATE , SILIGURI, WEST BENGAL</t>
  </si>
  <si>
    <t>BHARATI VIDYAPEETH (DEEMED TO BE UNIVERSITY)</t>
  </si>
  <si>
    <t>BHARATI VIDYAPEETH (DEEMED TO BE UNIVERSITY) COLLEGE OF ARCHITECTURE , PUNE ,MAHARASHTRA</t>
  </si>
  <si>
    <t>AutoCAD,MS Office,MS Project,Primavera P6, Revit,Navisworks,Sketchup,Lumion,Twinmotion,Adobe Photoshop,Adobe InDesign</t>
  </si>
  <si>
    <t>Green Architecture Consulting Engineers Pvt. Ltd. | Architect | Siliguri , West Bengal | Nov 2022 | Jun 2025 | 2Y 7M | 5.28</t>
  </si>
  <si>
    <t>Cherry Hill Interiors Pvt. Ltd. | Project Intern | Hyderabad | May 2026 | Jul 2026 | 8.5714285714286 Weeks | Campus Internship
Habib Modara Art and Architecture | Trainee Architect | Bahrain | Jul 2022 | Sep 2022 | 12.714285714286 Weeks
GREEN ARCHITECTURE CONSULTING ENGINEERS PVT. LTD. | TRAINEE ARCHITECT | SILIGURI, WEST BENGAL | Jul 2021 | Dec 2021 | 23.857142857143 Weeks</t>
  </si>
  <si>
    <t>Council of Architecture</t>
  </si>
  <si>
    <t>P25700630</t>
  </si>
  <si>
    <t>THAMBAN</t>
  </si>
  <si>
    <t>Navya Thamban</t>
  </si>
  <si>
    <t>navyathamban253@gmail.com</t>
  </si>
  <si>
    <t>p25700630@student.nicmar.ac.in</t>
  </si>
  <si>
    <t>ENGLISH,MALAYALAM,HINDI,TAMIL</t>
  </si>
  <si>
    <t>8300 4079 2816</t>
  </si>
  <si>
    <t>PV THAMBAN</t>
  </si>
  <si>
    <t>PWD CONTRACTOR</t>
  </si>
  <si>
    <t>GEETHA O</t>
  </si>
  <si>
    <t>KAVYA NIVAS , ONAKKUNNU, Karivellur, PO:Karivellur</t>
  </si>
  <si>
    <t>ST. MARY'S HIGH SCHOOL FOR GIRLS , PAYYANNUR</t>
  </si>
  <si>
    <t>BOARD OF PUBLIC EXAMINATIONS , KERALA</t>
  </si>
  <si>
    <t>AVS GOVT. HIGHER SECONDARY SCHOOL KARIVELLUR</t>
  </si>
  <si>
    <t>BOARD OF HIGHER SECONDARY EXAMINATIONS , KERALA</t>
  </si>
  <si>
    <t>COCHIN UNIVERSITY OF SCIENCE AND TECHNOLOGY , KERALA</t>
  </si>
  <si>
    <t>AutoCAD,MS Office,MS Project,Primavera,REVIT,SUMO,STAAD pro</t>
  </si>
  <si>
    <t>Sobha Limited | Summer Intern | Thiruvananthapuram, Kerala | May 2026 | Jul 2026 | 9 Weeks | Campus Internship
KSCSTE-NATPAC | Project Student-Traffic Management &amp; Transportation Planning | Ernakulam | Aug 2023 | Apr 2024 | 34.857142857143 Weeks
KOCHI MUNICIPAL CORPORATION | Intern | Ernakulam | May 2023 | May 2023 | 2 Weeks</t>
  </si>
  <si>
    <t>Course on AutoCAD Essential
Master Certification in BIM</t>
  </si>
  <si>
    <t>P25700631</t>
  </si>
  <si>
    <t>AVAGADDA</t>
  </si>
  <si>
    <t>LIKITH</t>
  </si>
  <si>
    <t>Avagadda Likith Karthikeya</t>
  </si>
  <si>
    <t>likithkarthikeya.avagadda@gmail.com</t>
  </si>
  <si>
    <t>p25700631@student.nicmar.ac.in</t>
  </si>
  <si>
    <t>06-Dec-2003</t>
  </si>
  <si>
    <t>ENGLISH ,TELUGU ,HINDI</t>
  </si>
  <si>
    <t>7885 7857 2155</t>
  </si>
  <si>
    <t>AVAGADDA SURYA RAO</t>
  </si>
  <si>
    <t>AVAGADDA JAMUNA</t>
  </si>
  <si>
    <t>DOOR NO. 39-8-36/5,MURALINAGAR,</t>
  </si>
  <si>
    <t>H No. 1-32,pulagalipalem,near Ramalayam,Pendhurthi</t>
  </si>
  <si>
    <t>APOORVA HIGH SCHOOL</t>
  </si>
  <si>
    <t>BOARD OF SECONDRY EDUCATION ANDHRA PRADESH</t>
  </si>
  <si>
    <t>ANDHRA UNIVERSITY COLLEGE OF ENGINEERING</t>
  </si>
  <si>
    <t>ANDHRA UNIVERSITY COLLEGE OF ENGINEERING ANDHRA PRADESH</t>
  </si>
  <si>
    <t>AutoCAD,MS Office,MS Project,Primavera,Staad.pro</t>
  </si>
  <si>
    <t>VISHWANADH AVENUES  IND PVT,LTD | Intern | Visakhapatnam,Andhra Pradesh | May 2024 | Jun 2024 | 4.2857142857143 Weeks</t>
  </si>
  <si>
    <t>NATIONAL CADET CORPS
Total Station Training Program
AUTOCAD</t>
  </si>
  <si>
    <t>P25700632</t>
  </si>
  <si>
    <t>NIYATI</t>
  </si>
  <si>
    <t>VENUGOPAL</t>
  </si>
  <si>
    <t>Niyati Venugopal Shetty</t>
  </si>
  <si>
    <t>niyatishetty01@gmail.com</t>
  </si>
  <si>
    <t>p25700632@student.nicmar.ac.in</t>
  </si>
  <si>
    <t>21-Jan-2001</t>
  </si>
  <si>
    <t>English, Hindi, Marathi, Tulu</t>
  </si>
  <si>
    <t>9167 9551 6641</t>
  </si>
  <si>
    <t>VENUGOPAL SHIVANNA SHETTY</t>
  </si>
  <si>
    <t>SAPNA VENUGOPAL SHETTY</t>
  </si>
  <si>
    <t>4/57, Runwal Park, Near Marketyard Last Bus Depot. Jawaharlal Road, Gultekadi, Pune, Maharashtra</t>
  </si>
  <si>
    <t>ST. ANNE'S HIGH SCHOOL</t>
  </si>
  <si>
    <t>S.M. CHOKSEY HIGH SCHOOL AND JUNIOR COLLEGE</t>
  </si>
  <si>
    <t>MARATHWADA MITRA MANDAL'S COLLEGE OF ARCHITECTURE (MMCOA),MAHARASHTRA,PUNE</t>
  </si>
  <si>
    <t>AutoCAD, Revit, Navisworks, Archicad, Sketchup, Lumion, D5 Render, Primavera P6, MS Project, CostX, MS Office, Adobe Photoshop, Adobe InDesign, Adobe Illustrator</t>
  </si>
  <si>
    <t>Alkove-Design | Junior Architect | Pune | Sep 2024 | Jun 2025 | 0Y 9M | 2.52</t>
  </si>
  <si>
    <t>Cherry Hill Interiors Pvt. Ltd. | Site Execution - Project Management &amp; Coordination | Bengaluru | May 2026 | Jul 2026 | 8.5714285714286 Weeks | Campus Internship
d6thD design studio | Architectural Intern | Ahmedabad | Jun 2023 | Nov 2023 | 20.142857142857 Weeks</t>
  </si>
  <si>
    <t>P25700633</t>
  </si>
  <si>
    <t>KRITHIKA</t>
  </si>
  <si>
    <t>Krithika R</t>
  </si>
  <si>
    <t>p25700633@student.nicmar.ac.in</t>
  </si>
  <si>
    <t>English, Kannada, Tamil, Hindi</t>
  </si>
  <si>
    <t>8894 5206 7659</t>
  </si>
  <si>
    <t>RAJAN M</t>
  </si>
  <si>
    <t>APCQCO</t>
  </si>
  <si>
    <t>BANU T</t>
  </si>
  <si>
    <t>#625, 15th Cross, BDA Layout Lingarajapuram  Bangalore North,St Thomas Town, Bangalore-560084, Karnataka</t>
  </si>
  <si>
    <t>ST CHARLES HIGH SCHOOL</t>
  </si>
  <si>
    <t>ST ANNE'S GIRLS PU COLLEGE</t>
  </si>
  <si>
    <t>REVA UNIVERSITY, BENGALURU, KARNATAKA</t>
  </si>
  <si>
    <t>AutoCAD,MS Office,MS Project,Primavera,POWER BI,STAAD PRO</t>
  </si>
  <si>
    <t>VESTIAN GLOBAL WORKSPACE SERVICES PVT LTD | Graduate Engineer -Trainee  | Bangalore ,Karnataka | Aug 2023 | Jun 2025 | 1Y 10M | 4.6</t>
  </si>
  <si>
    <t>DEBRIQUE CREATIVE LABS PRIVATE LIMITED  | INTERN-Supply Chain Management Team | CHENNAI, TAMILNADU | May 2026 | Jul 2026 | 8.7142857142857 Weeks | Campus Internship
VESTIAN GLOBAL WORKSPACE SERVICES PVT LTD | INTERN  | BANGALORE, KARNATAKA  | Mar 2023 | Jul 2023 | 20 Weeks
L&amp;T CONSTRUCTION | INTERN  | BANGALORE  | Jul 2022 | Aug 2022 | 4.5714285714286 Weeks</t>
  </si>
  <si>
    <t>Coursera-Managing Project Risks and Changes
Coursera-Initiating and Planning Projects
Coursera-Budgeting and Scheduling Projects</t>
  </si>
  <si>
    <t>P25700634</t>
  </si>
  <si>
    <t>SAIRAJ</t>
  </si>
  <si>
    <t>Sairaj Ashish Kadam</t>
  </si>
  <si>
    <t>sairajkadam910@gmail.com</t>
  </si>
  <si>
    <t>p25700634@student.nicmar.ac.in</t>
  </si>
  <si>
    <t>19-Feb-2004</t>
  </si>
  <si>
    <t>9726 1023 0689</t>
  </si>
  <si>
    <t>ASHISH KADAM</t>
  </si>
  <si>
    <t>PRAJAKTA KADAM</t>
  </si>
  <si>
    <t>601; GAURISHANKAR BLDG ; SHANTIVAN ; BORIVALI EAST.</t>
  </si>
  <si>
    <t>B.D.D Chawl No.11; Room No. 50 ; Dr. G.M Bhosle Marg ; Near Jambori Maidan.</t>
  </si>
  <si>
    <t>NARAYANA E-TECHNO</t>
  </si>
  <si>
    <t>NARAYANA</t>
  </si>
  <si>
    <t>DR. VISHWANATH KARAD</t>
  </si>
  <si>
    <t>MIT-WPU PUNE / MAHARASHTRA</t>
  </si>
  <si>
    <t>SHREE CONTRACTOR | JR. SITE ENGINEER  | MUMBAI | Jan 2025 | Jun 2025 | 22.714285714286 Weeks</t>
  </si>
  <si>
    <t>P25700635</t>
  </si>
  <si>
    <t>DETH</t>
  </si>
  <si>
    <t>Hari Deth</t>
  </si>
  <si>
    <t>harideth666@gmail.com</t>
  </si>
  <si>
    <t>p25700635@student.nicmar.ac.in</t>
  </si>
  <si>
    <t>31-May-2001</t>
  </si>
  <si>
    <t>English,Malayalam,Hindi,Tamil</t>
  </si>
  <si>
    <t>6388 6394 3968</t>
  </si>
  <si>
    <t>GURUDATHAN.V</t>
  </si>
  <si>
    <t>BANK MANAGER(CURRENTLY RETIRED)</t>
  </si>
  <si>
    <t>SUNITHA.V</t>
  </si>
  <si>
    <t>White Pearl,nellicode,vadasserikonam P.O Varkala</t>
  </si>
  <si>
    <t>HARIDETH</t>
  </si>
  <si>
    <t>CENTRAL BOARD OF SECONDARY EDUCATION-KERALA</t>
  </si>
  <si>
    <t>MARIAN ENGINEERING COLLEGE</t>
  </si>
  <si>
    <t>AutoCAD,MS Office,MS Project,Planswift,MS Excel</t>
  </si>
  <si>
    <t>Bond interiors International | Quantity surveyor-Estimator | Thiruvananthapuram  | Jul 2023 | Apr 2025 | 1Y 9M | 2.4</t>
  </si>
  <si>
    <t>P25700636</t>
  </si>
  <si>
    <t>FURQUANZIYA</t>
  </si>
  <si>
    <t>SHAKEEL</t>
  </si>
  <si>
    <t>Furquanziya Shakeel Shaikh</t>
  </si>
  <si>
    <t>furquanshaikh3130@gmail.com</t>
  </si>
  <si>
    <t>p25700636@student.nicmar.ac.in</t>
  </si>
  <si>
    <t>22-Nov-2001</t>
  </si>
  <si>
    <t>6959 9604 4285</t>
  </si>
  <si>
    <t>SHAKEEL SHAIKH</t>
  </si>
  <si>
    <t>PARVEEN SHAIKH</t>
  </si>
  <si>
    <t>FL-01 UTKARSH NAGAR, BEHIND SHAKUNTALA NIKAM UDYAN, GOKHALENAGAR, PUNE</t>
  </si>
  <si>
    <t>Behind National Enterprises, Methwada Road, Maheshwar</t>
  </si>
  <si>
    <t>Khargone</t>
  </si>
  <si>
    <t>D.A.V PUBLIC SCHOOL</t>
  </si>
  <si>
    <t>CBSE PUNE MAHARASHTRA</t>
  </si>
  <si>
    <t>CBSE ,PUNE, MAHARASHTRA</t>
  </si>
  <si>
    <t>MIT ACADEMY OF ENGINEERING, ALANDI, PUNE</t>
  </si>
  <si>
    <t>AutoCAD,MS Office,REVIT,QGIS</t>
  </si>
  <si>
    <t>CQRA PVT LTD | Management Trainee | Pune | Jan 2025 | Jun 2025 | 19.857142857143 Weeks
MIllennium Engineers and Contractors PVT LTD | Site Intern | Lohegoan, Pune | Jun 2024 | Jul 2024 | 4.1428571428571 Weeks</t>
  </si>
  <si>
    <t>NPTEL Air Pollution and Control
Basics of Financial Management
Revit for Architecture</t>
  </si>
  <si>
    <t>P25700637</t>
  </si>
  <si>
    <t>WAGHMARE</t>
  </si>
  <si>
    <t>Kunal Rajendra Waghmare</t>
  </si>
  <si>
    <t>kunalwaghmare.301091@gmail.com</t>
  </si>
  <si>
    <t>p25700637@student.nicmar.ac.in</t>
  </si>
  <si>
    <t>6038 5343 9663</t>
  </si>
  <si>
    <t>FLAT NO.1708. R16- A BUILDING REPUBLIC MULSHI PUNE MARUNGI</t>
  </si>
  <si>
    <t>Aatipati Ward, Allipur,</t>
  </si>
  <si>
    <t>ST. JOHN'S SCHOOL ALLIPUR</t>
  </si>
  <si>
    <t>ACHARYA SHRIMANNARAYAN POLYTECHNIC, PIPRI, WARDHA</t>
  </si>
  <si>
    <t>ST.VINCENT PALLOTTI COLLEGE OF ENGINEERING AND TECHNOLOGY , NAGPUR</t>
  </si>
  <si>
    <t>AutoCAD,MS Office,MS Project,Primavera,Naviswork,Revit Architecture,CostX</t>
  </si>
  <si>
    <t>Revit Architecture
Naviswork
Primavera,</t>
  </si>
  <si>
    <t>P25700638</t>
  </si>
  <si>
    <t>Vivek Dilip Deshmukh</t>
  </si>
  <si>
    <t>deshmukhvivek098@gmail.com</t>
  </si>
  <si>
    <t>p25700638@student.nicmar.ac.in</t>
  </si>
  <si>
    <t>4034 3937 2176</t>
  </si>
  <si>
    <t>GOVERMENT CONTRACTOR</t>
  </si>
  <si>
    <t>Sane Guruji Nagar, Khadki, Akola</t>
  </si>
  <si>
    <t>MOUNT CARMEL HIGH SCHOOL AKOLA</t>
  </si>
  <si>
    <t>MAHARASHTRA STATE BOARD OF SECONDARY AND HIGHER SECONDARY EDUCATION ,PUNE</t>
  </si>
  <si>
    <t>SUDHAKARRAO NAIK ART,SCIENCE &amp; UMASHANKAR KHETAN COMMERCE JR.COLLAGE AKOLA</t>
  </si>
  <si>
    <t>COLLAGE OF ENGINEERING AND TECHNOLOGY AKOLA/ MAHARASHTRA</t>
  </si>
  <si>
    <t>MS Office,MS Project,Primavera,Revit,CostX</t>
  </si>
  <si>
    <t>Chandrahas Technologies Private Limited  | Site Execution &amp; Planning  | Akola  | May 2026 | Jul 2026 | 8.7142857142857 Weeks | Campus Internship
SHRI.BRAHMACHAITANYA INFRASTRUCTURE PVT.LTD | INTERN  | AKOLA | May 2024 | Jun 2024 | 4.4285714285714 Weeks</t>
  </si>
  <si>
    <t>P25700639</t>
  </si>
  <si>
    <t>SUSHANT</t>
  </si>
  <si>
    <t>Sushant Manohar Mane</t>
  </si>
  <si>
    <t>03sushmane@gmail.com</t>
  </si>
  <si>
    <t>p25700639@student.nicmar.ac.in</t>
  </si>
  <si>
    <t>21-Mar-2003</t>
  </si>
  <si>
    <t>ENGLIS ,HINDI,MARATHI</t>
  </si>
  <si>
    <t>9115 0801 2367</t>
  </si>
  <si>
    <t>MANOHAR HARIBHAU MANE</t>
  </si>
  <si>
    <t>SANGITA MANOHAR MANE</t>
  </si>
  <si>
    <t>MANE  CHAL  ,NAGRAJ COLONEY ,100FT ROAD , VISHRAMBAG , SANGLI</t>
  </si>
  <si>
    <t>SAVARKAR SCHOOL , SANGLI</t>
  </si>
  <si>
    <t>WILLINGDONE COLLEGE OF SCINCE &amp; ART , SANGLI</t>
  </si>
  <si>
    <t>APPASAHEB COLLGE OF ARCHITECTURE ,SANGLI</t>
  </si>
  <si>
    <t>AutoCAD,MS Office,MS Project,SKETCHUP,V-RAY,PHOTOSHOP,LUMION,COSTX</t>
  </si>
  <si>
    <t>IMARAT ARCHITECT | INTERN ARCHITECT  | CHANDIGRAH | Jan 2024 | Apr 2024 | 13 Weeks</t>
  </si>
  <si>
    <t>P25700640</t>
  </si>
  <si>
    <t>SHELAR</t>
  </si>
  <si>
    <t>Vivek Deepak Shelar</t>
  </si>
  <si>
    <t>vivekshelar02@gmail.com</t>
  </si>
  <si>
    <t>p25700640@student.nicmar.ac.in</t>
  </si>
  <si>
    <t>English, Marathi &amp; Hindi</t>
  </si>
  <si>
    <t>5324 7042 4629</t>
  </si>
  <si>
    <t>DEEPAK SHELAR</t>
  </si>
  <si>
    <t>VARSHA SHELAR</t>
  </si>
  <si>
    <t>27, Laxmi Nagar, Abhay College Road, Behind Cotton Market Yard, Dhule</t>
  </si>
  <si>
    <t>JAI HIND HIGH SCHOOL, DHULE</t>
  </si>
  <si>
    <t>MAHARASTRA STATE BOARD OF SECONDARY AND HIGHER SECONDARY EDUCATION, PUNE</t>
  </si>
  <si>
    <t>BAPUSAHEB SHIVAJIRAO DEORE POLYTECHNIC, DHULE</t>
  </si>
  <si>
    <t>DEEMED TO BE UNIVERSITY, PUNE</t>
  </si>
  <si>
    <t>BHARATI VIDYAPEETH DEEMED TO BE UNIVERSITY COLLEGE OF ENGINEERING, KATRAJ, PUNE.</t>
  </si>
  <si>
    <t>AutoCAD,MS Office,MS Project,Primavera,Revit Architecture,cost X</t>
  </si>
  <si>
    <t>Jogeshwari Constrution, Dhule | Intern  | Dhule | Jun 2020 | Jul 2020 | 2.8571428571429 Weeks
Jogeshwari Construction, Dhule | Intern | Dhule | Jul 2024 | Feb 2025 | 34.142857142857 Weeks</t>
  </si>
  <si>
    <t>Primavera
Cost X Estimation &amp; Costing
AutoCad</t>
  </si>
  <si>
    <t>P25700641</t>
  </si>
  <si>
    <t>ALOK</t>
  </si>
  <si>
    <t>Alok Kumar</t>
  </si>
  <si>
    <t>alok31maykumar@gmail.com</t>
  </si>
  <si>
    <t>p25700641@student.nicmar.ac.in</t>
  </si>
  <si>
    <t>3012 8640 6461</t>
  </si>
  <si>
    <t>VIJAY KUMAR</t>
  </si>
  <si>
    <t>SANDHYA</t>
  </si>
  <si>
    <t>Hanuman Colony, Near Primary School, Ramnagar Road, Kashipur</t>
  </si>
  <si>
    <t>Udham Singh Nagar</t>
  </si>
  <si>
    <t>TULARAM RAJARAM SARASWATI VIDHYA MANDIR INTER COLLEGE</t>
  </si>
  <si>
    <t>BOARD OF SCHOOL EDUCATION UTTARAKHAND</t>
  </si>
  <si>
    <t>TEERTHANKAR MAHAVIR UNIVERSITY</t>
  </si>
  <si>
    <t>TEERTHANKAR MAHAVIR UNIVERSITY, MORADABAD (UTTAR PRADESH)</t>
  </si>
  <si>
    <t>MS Office,MS Project,Presentation Skill,Excellent Communication,Ability to work under pressure,Willingness to travel for project requirements</t>
  </si>
  <si>
    <t>Artius Interior Products Private Limited | Project Engineer  | Gurugram  | Sep 2023 | Jun 2025 | 1Y 9M | 3.8</t>
  </si>
  <si>
    <t>Cherry Hill Interiors Pvt. Ltd. | Site Execution  | Gurugram  | May 2026 | Jul 2026 | 8.7142857142857 Weeks | Campus Internship
EMAAR INDIA | INTERN  | GURUGRAM  | Jul 2022 | Sep 2022 | 10.571428571429 Weeks</t>
  </si>
  <si>
    <t>Data, Data, Everywhere
Foundation of Project Management</t>
  </si>
  <si>
    <t>P25700642</t>
  </si>
  <si>
    <t>Atul Krishna</t>
  </si>
  <si>
    <t>atulkrishna282001@gmail.com</t>
  </si>
  <si>
    <t>p25700642@student.nicmar.ac.in</t>
  </si>
  <si>
    <t>English, Hindi, Arabic, Malayalam</t>
  </si>
  <si>
    <t>4550 8669 4887</t>
  </si>
  <si>
    <t>K V SURESH KUMAR</t>
  </si>
  <si>
    <t>SALINI SURESH</t>
  </si>
  <si>
    <t>5A Vadakunatham Towers, Peringavu, Thrissur</t>
  </si>
  <si>
    <t>LEADERS PRIVATE SCHOOL, SHARJAH</t>
  </si>
  <si>
    <t>CENTRAL BOARD OF SECONDARY EDUCATION - DUBAI</t>
  </si>
  <si>
    <t>LEADERS PRIVATE SCHOOL</t>
  </si>
  <si>
    <t>FEDERAL INSTITUTE OF SCIENCE AND TECHNOLOGY</t>
  </si>
  <si>
    <t>SOBHA LIMITED | SITE EXECUTION INTERN | KERALA | May 2026 | Jul 2026 | 9 Weeks | Campus Internship
Saad Trading and Consultants FZC LLC | Site Engineer | Dubai | Mar 2025 | Jul 2025 | 20.857142857143 Weeks</t>
  </si>
  <si>
    <t>P25700643</t>
  </si>
  <si>
    <t>KABRA</t>
  </si>
  <si>
    <t>Pratik Dinesh Kabra</t>
  </si>
  <si>
    <t>pratikkabra26@gmail.com</t>
  </si>
  <si>
    <t>p25700643@student.nicmar.ac.in</t>
  </si>
  <si>
    <t>ENGLISH, HINDI, MARWARI, MARATHI</t>
  </si>
  <si>
    <t>5628 6365 9927</t>
  </si>
  <si>
    <t>DINESH KABRA</t>
  </si>
  <si>
    <t>SAVITRI KABRA</t>
  </si>
  <si>
    <t>'Pratik' House, Near Rampuri Scool, Camp Area, Gadchiroli</t>
  </si>
  <si>
    <t>PLATINUM JUBILEE SCHOOL AND JUNIOR COLLEGE</t>
  </si>
  <si>
    <t>MAHARASHTRA STATE BOARD SSC</t>
  </si>
  <si>
    <t>NIRALA JUNIOR COLLEGE</t>
  </si>
  <si>
    <t>MAHARASHTRA STATE BOARD HSC</t>
  </si>
  <si>
    <t>AutoCAD,MS Project,STAAD.Pro</t>
  </si>
  <si>
    <t>RamaCivil India Construction Pvt. Ltd. | Intern | Jaipur | May 2024 | Jun 2024 | 6.2857142857143 Weeks</t>
  </si>
  <si>
    <t>Finance for Non-Financial Managers
Construction Cost Estimating and Cost Control
Leadership and organizational behavior
NAVARITIH: Certificate Course on Innovative Construction Technologies</t>
  </si>
  <si>
    <t>P25700644</t>
  </si>
  <si>
    <t>Sahil Sunil Naik</t>
  </si>
  <si>
    <t>p25700644@student.nicmar.ac.in</t>
  </si>
  <si>
    <t>6751 4051 4223</t>
  </si>
  <si>
    <t>SUNIL NAIK</t>
  </si>
  <si>
    <t>VISHAKHA NAIK</t>
  </si>
  <si>
    <t>2204,TOWER 3, GODREJ HILLSIDE 2, MAHALUNGE, PUNE</t>
  </si>
  <si>
    <t>Naik House, Yavatmal, Maharashtra India</t>
  </si>
  <si>
    <t>FREE METHODIST ENGLISH MEDIUM SCHOOL, YAVATMAL, MAHARASHTRA INDIA</t>
  </si>
  <si>
    <t>SECONDARY STATE BOARD OF MAHARASHTRA</t>
  </si>
  <si>
    <t>SHRI NIRALA VIDYALAYA NAGPUR  MAHARASHTRA INDIA</t>
  </si>
  <si>
    <t>HIGHER SECONDARY BOARD OF MAHARASHTRA</t>
  </si>
  <si>
    <t>VISHWAKARMA INSTITUTE OF INFORMATION TECHNOLOGY PUNE MAHARASHTRA INDIA</t>
  </si>
  <si>
    <t>AutoCAD,MS Office,MS Project,Primavera,Live 3D homes,revit,Autocad</t>
  </si>
  <si>
    <t>Clancy Global | Project Coordinate | PUNE | May 2026 | Jul 2026 | 8.7142857142857 Weeks | Campus Internship
LOGASS CONSTRUCTIONS | CIVIL INTERN(SITE ENGINEER INTERN) | PUNE | Dec 2024 | May 2025 | 21.571428571429 Weeks</t>
  </si>
  <si>
    <t>P25700645</t>
  </si>
  <si>
    <t>Yash Manish Gandhi</t>
  </si>
  <si>
    <t>yashmgandhi99@gmail.com</t>
  </si>
  <si>
    <t>p25700645@student.nicmar.ac.in</t>
  </si>
  <si>
    <t>ENGLISH,HINDI,MARATHI,MARWADI</t>
  </si>
  <si>
    <t>3038 2071 8382</t>
  </si>
  <si>
    <t>FLAT NO 08, D1 BUILDING, SURYAPRABHA GARDENS, IN FRONT OF THE LIGHTHOUSE, BIBWEWADI, PUNE 37</t>
  </si>
  <si>
    <t>ASHISH SUPER MARKET, MARKET YARD ROAD,A/P-KADA, TALUKA-ASHTI, DIST-BEED.</t>
  </si>
  <si>
    <t>VARDHAMAN MAHAVIR ENGLISH SCHOOL KADA</t>
  </si>
  <si>
    <t>P M MUNOT JR. COLLEGE KADA</t>
  </si>
  <si>
    <t>BRACTS VISHWAKARMA INSTITUTE OF INFORMATION TECHNOLOGY, KONDHWA, PUNE</t>
  </si>
  <si>
    <t>Orbisoul Properties | Jr. Site Engineer | TMV Colony, Mukund Nagar, Swargate, Pune-411037 | Jun 2024 | Jun 2025 | 1Y 0M | 1.8</t>
  </si>
  <si>
    <t>MAJESTIQUE LANDMARKS | JR. SITE ENGINEER | HANDEWADI, PUNE | Jul 2023 | Dec 2023 | 21.857142857143 Weeks</t>
  </si>
  <si>
    <t>P25700646</t>
  </si>
  <si>
    <t>GATTEPALLI</t>
  </si>
  <si>
    <t>Rohan Gattepalli</t>
  </si>
  <si>
    <t>rohangattepalli0402@gmail.com</t>
  </si>
  <si>
    <t>p25700646@student.nicmar.ac.in</t>
  </si>
  <si>
    <t>04-Feb-2002</t>
  </si>
  <si>
    <t>English, Hindi, Telugu and Tamil</t>
  </si>
  <si>
    <t>4571 5251 9133</t>
  </si>
  <si>
    <t>RAMANANDA SAGAR</t>
  </si>
  <si>
    <t>REAL ESTATE BUSINESS</t>
  </si>
  <si>
    <t>HEMA</t>
  </si>
  <si>
    <t>5-8-147, KISHANPURA</t>
  </si>
  <si>
    <t>TEJASWI HIGH SCHOOL</t>
  </si>
  <si>
    <t>SRI PREMNADH JUNIOR COLLEGE</t>
  </si>
  <si>
    <t>VNB CONSTRUCTIONS | In Plant Trainee | Kadapa, Andhra Pradesh | Aug 2022 | Sep 2022 | 2.5714285714286 Weeks
L&amp;T CONSTRUCTION | TRAINEE | CHENNAI | Jul 2023 | Aug 2023 | 1.5714285714286 Weeks</t>
  </si>
  <si>
    <t>P25700647</t>
  </si>
  <si>
    <t>AMMAR</t>
  </si>
  <si>
    <t>MOHAMMED IMRAN</t>
  </si>
  <si>
    <t>PARIHAR</t>
  </si>
  <si>
    <t>Ammar Mohammed Imran Parihar</t>
  </si>
  <si>
    <t>ammar.i.parihar@gmail.com</t>
  </si>
  <si>
    <t>p25700647@student.nicmar.ac.in</t>
  </si>
  <si>
    <t>4752 6837 2118</t>
  </si>
  <si>
    <t>MOHAMMED IMRAN PARIHAR</t>
  </si>
  <si>
    <t>TABASSUM PARIHAR</t>
  </si>
  <si>
    <t>Flat No 1401 Lodha Bel Air Tower C Patel Estate Road Jogeshwari West</t>
  </si>
  <si>
    <t>LEARNERS' ACADEMY BANDRA WEST MUMBAI</t>
  </si>
  <si>
    <t>ZAGDU SINGH CHARITABLE TRUST'S THAKUR POLYTECHNIC</t>
  </si>
  <si>
    <t>RIZVI COLLEGE OF ENGINEERING MUMBAI, MAHARASHTRA</t>
  </si>
  <si>
    <t>Contracts Management, Contracts Administration, Project Coordination, Stakeholder Management, Procurement Process, MS Project, Primavera, MS Office</t>
  </si>
  <si>
    <t>Mace Project and Cost Management Private Limited | Project Administrator (GET - Contracts and Procurement) | Mumbai  | Apr 2023 | Jun 2025 | 2Y 2M | 3.6</t>
  </si>
  <si>
    <t>Ahluwalia Contracts (India) Limited | Contracts | Mumbai  | May 2026 | Jun 2026 | 8.1428571428571 Weeks | Campus Internship
Mace Project and Cost Management Private Limited | Project Management  | Mumbai  | Nov 2022 | Apr 2023 | 23.285714285714 Weeks</t>
  </si>
  <si>
    <t>Course on MS Project
Proficient in AutoCAD for Civil Engineers and Architects</t>
  </si>
  <si>
    <t>P25700648</t>
  </si>
  <si>
    <t>ARNOV</t>
  </si>
  <si>
    <t>HITESH</t>
  </si>
  <si>
    <t>GOYAL</t>
  </si>
  <si>
    <t>Arnov Hitesh Goyal</t>
  </si>
  <si>
    <t>arnovgoyal04@gmail.com</t>
  </si>
  <si>
    <t>p25700648@student.nicmar.ac.in</t>
  </si>
  <si>
    <t>5906 4243 0438</t>
  </si>
  <si>
    <t>HITESH GOYAL</t>
  </si>
  <si>
    <t>BINDU GOYAL</t>
  </si>
  <si>
    <t>528, ULTIMA HOSTEL, NICMAR UNIVERSITY, N.I.A, BALEWADI RD, RAM NAGAR, BANER</t>
  </si>
  <si>
    <t>4A, Pragya Apartment, Ravishankar Sankul, Bhatar Char Rasta</t>
  </si>
  <si>
    <t>DELHI PUBLIC SCHOOL SURAT</t>
  </si>
  <si>
    <t>CENTRAL BOARD OF SECONDARY EDUCATION, SURAT, GUJARAT</t>
  </si>
  <si>
    <t>PANDIT DEENDAYAL ENERGY UNIVERSITY, GANDHINAGAR GUJARAT</t>
  </si>
  <si>
    <t>Impact Infraheight Pvt.Ltd | Site execution Intern | Pune | May 2026 | Jul 2026 | 8.7142857142857 Weeks | Campus Internship
Sardar Vallabhbhai National Institute of Technology | Intern | Surat | Jan 2025 | Apr 2025 | 17 Weeks</t>
  </si>
  <si>
    <t>P25700649</t>
  </si>
  <si>
    <t>YARAMATI</t>
  </si>
  <si>
    <t>Yaramati Gangadhar</t>
  </si>
  <si>
    <t>yaramatigangadhar3@gmail.com</t>
  </si>
  <si>
    <t>p25700649@student.nicmar.ac.in</t>
  </si>
  <si>
    <t>17-Nov-2003</t>
  </si>
  <si>
    <t>5207 4163 1031</t>
  </si>
  <si>
    <t>YARAMATI VENKATARAO</t>
  </si>
  <si>
    <t>YARAMATI VARALAKSHMI</t>
  </si>
  <si>
    <t>H NO:2-1,KORUPROLU VILLAGE,S RAYAVARAM MANDAL,ANAKAPALLE DISTRICT</t>
  </si>
  <si>
    <t>Anakapalli</t>
  </si>
  <si>
    <t>Z P HIGH SCHOOL - KORUPROLU,VISAKHAPATNAM DISTRICT</t>
  </si>
  <si>
    <t>BOARD OF SECONDARY EDUCATION ANDHRA PRADESH,INDIA</t>
  </si>
  <si>
    <t>SRI PRAKASH JUNIOR COLLEGE</t>
  </si>
  <si>
    <t>BOARD OF INTERMEDIATE EDUCATION ANDHRA PRADESH,INDIA</t>
  </si>
  <si>
    <t>JAWAHARLAL NEHRU TECHNOLOGY UNIVERSITY KAKINADA</t>
  </si>
  <si>
    <t>GAYATRI VIDYA PARISHAD COLLEGE OF ENGINEERING(AUTONOMOUS)</t>
  </si>
  <si>
    <t>AutoCAD,MS Office,MS Project,Primavera,REVIT,STAAD.Pro</t>
  </si>
  <si>
    <t>ZYETA INTERIORS PVT.LTD. | Project Management Intern(Project Coordination and Documentation) | Bangalore | May 2026 | Jul 2026 | 8.5714285714286 Weeks | Campus Internship
ITD Cementation India Limited | INTERN | Rambilli,Visakhapatnam  Andhra Pradesh | Jun 2024 | Jun 2024 | 4.1428571428571 Weeks
PANCHAYAT RAJ DEPARTMENT | INTERN | PAYAKARAOPETA, ANDHRA PRADESH | May 2023 | Jun 2023 | 2.7142857142857 Weeks</t>
  </si>
  <si>
    <t>P25700650</t>
  </si>
  <si>
    <t>SURYAVANSHI</t>
  </si>
  <si>
    <t>Shubham Sanjay Suryavanshi</t>
  </si>
  <si>
    <t>suryavanshishubham459@gmail.com</t>
  </si>
  <si>
    <t>p25700650@student.nicmar.ac.in</t>
  </si>
  <si>
    <t>ENGLISH, HINDI &amp; MARATHI</t>
  </si>
  <si>
    <t>2849 7794 5799</t>
  </si>
  <si>
    <t>SANJAY VENKATI SURYAVANSHI</t>
  </si>
  <si>
    <t>KOMAL SANJAY SURYAVANSHI</t>
  </si>
  <si>
    <t>A WING 403 ATHARVA APPARMENT, NEAR DEEPANGAN TOWER, UMRALA ROAD, SAMEL PADA, NALLASOPARA WEST</t>
  </si>
  <si>
    <t>B WING 001 KAILASH DHAM, PLEASANT PARK, NEAR DON BOSCO HIGH SCHOOL, MIRA ROAD EAST</t>
  </si>
  <si>
    <t>SACRED HEART HIGH SCHOOL</t>
  </si>
  <si>
    <t>VIDHYAVARDHINI'S BHAUSAHEB VARTAK POLYTECHNIC,  VASAI WEST, MAHARASHTRA</t>
  </si>
  <si>
    <t>VIVA INSTITUTE OF TECHNOLOGY, VIRAR EAST, MAHARASHTRA</t>
  </si>
  <si>
    <t>P25700651</t>
  </si>
  <si>
    <t>THAWKAR</t>
  </si>
  <si>
    <t>SAWARI</t>
  </si>
  <si>
    <t>KHOGENDRA</t>
  </si>
  <si>
    <t>Thawkar Sawari Khogendra</t>
  </si>
  <si>
    <t>sawri3015@gmail.com</t>
  </si>
  <si>
    <t>p25700651@student.nicmar.ac.in</t>
  </si>
  <si>
    <t>8265 3418 1426</t>
  </si>
  <si>
    <t>MADHURI</t>
  </si>
  <si>
    <t>Sahara Nest, Damodar Colony, Bhangarwadi, Lonavala,</t>
  </si>
  <si>
    <t>AUXILIUM CONVENT HIGH SCHOOL</t>
  </si>
  <si>
    <t>MAHARASHTRA STATE EDUCATION BOARD</t>
  </si>
  <si>
    <t>RYEWOOD INTERNATIONAL  JUNIOR COLLEGE</t>
  </si>
  <si>
    <t>ADA'S MINERVA COLLEGE OF ARCHITECTURE</t>
  </si>
  <si>
    <t>AutoCAD,MS Office,Sketchup,Lumion,Photoshop,Canva</t>
  </si>
  <si>
    <t>Associated  Planners Lonavala | Intern  | Lonavala | Jul 2024 | Oct 2024 | 17.428571428571 Weeks</t>
  </si>
  <si>
    <t>P25700652</t>
  </si>
  <si>
    <t>SHYAMENAHALLI</t>
  </si>
  <si>
    <t>POOJITHA</t>
  </si>
  <si>
    <t>NATARAJ</t>
  </si>
  <si>
    <t>Shyamenahalli Poojitha Nataraj</t>
  </si>
  <si>
    <t>poojithanataraj3222@gmail.com</t>
  </si>
  <si>
    <t>p25700652@student.nicmar.ac.in</t>
  </si>
  <si>
    <t>03-Feb-2002</t>
  </si>
  <si>
    <t>ENGLISH,HINDI,MARATHI AND KANNADA</t>
  </si>
  <si>
    <t>4205 1039 0395</t>
  </si>
  <si>
    <t>MAMATHA</t>
  </si>
  <si>
    <t>SANSKRUTI APPT FLAT NO 20 NEAR GOKUL HOTEL ABOVE SHIVAM GENERAL STORE</t>
  </si>
  <si>
    <t>ST.SEBASTIAN HIGH SCHOOL AND JR. COLLEGE</t>
  </si>
  <si>
    <t>SHREE MANGESH MEMORIAL COLLEGE</t>
  </si>
  <si>
    <t>PUNE / MAHARASTRA</t>
  </si>
  <si>
    <t>DESIGN ACCORD CONSULTANTS | INTERN ARCHITECT | DELHI | Jun 2024 | Oct 2024 | 21.285714285714 Weeks</t>
  </si>
  <si>
    <t>P25700653</t>
  </si>
  <si>
    <t>SNEHAL</t>
  </si>
  <si>
    <t>BABAR</t>
  </si>
  <si>
    <t>Snehal Santosh Babar</t>
  </si>
  <si>
    <t>snehalbabar9696@gmail.com</t>
  </si>
  <si>
    <t>p25700653@student.nicmar.ac.in</t>
  </si>
  <si>
    <t>8591 9157 6234</t>
  </si>
  <si>
    <t>PLOT AGENCY</t>
  </si>
  <si>
    <t>CHEF</t>
  </si>
  <si>
    <t>Ganesh Nagar, 3rd Lane, Ichalkaranji</t>
  </si>
  <si>
    <t>HIRA-RAM GIRLS HIGHSCHOOL</t>
  </si>
  <si>
    <t>SANJAY GHODAWAT POLYTECHNIC ,ATIGRE KOLHAPUR</t>
  </si>
  <si>
    <t>SHARAD INSTITUTE OF TECHNOLOGY COLLEGE OF ENGINEERING, YADRAV</t>
  </si>
  <si>
    <t>M/s. V. S. Lingras Roads &amp; Building Contractror | Trainee Engineer | Kolhapur | Nov 2024 | Jul 2025 | 0Y 7M | 1.2</t>
  </si>
  <si>
    <t>MAHABHARAT CONSTRUCTION CORPORATION | Civil Intern | Kolhapur | Dec 2023 | Apr 2024 | 17.714285714286 Weeks</t>
  </si>
  <si>
    <t>Auto Cad, Revit</t>
  </si>
  <si>
    <t>P25700654</t>
  </si>
  <si>
    <t>SOURAV</t>
  </si>
  <si>
    <t>Sourav Das</t>
  </si>
  <si>
    <t>sourav.das2025@hotmail.com</t>
  </si>
  <si>
    <t>p25700654@student.nicmar.ac.in</t>
  </si>
  <si>
    <t>08-Dec-1996</t>
  </si>
  <si>
    <t>English, Bengali, Hindi</t>
  </si>
  <si>
    <t>9866 3763 6001</t>
  </si>
  <si>
    <t>NIRMAL KANTI DAS</t>
  </si>
  <si>
    <t>MADHUMITA DAS</t>
  </si>
  <si>
    <t>49/23 Rabindra Sarani_x000D_
Rishra</t>
  </si>
  <si>
    <t>GOSPEL HOME SCHOOL</t>
  </si>
  <si>
    <t>2004-Mar</t>
  </si>
  <si>
    <t>ELITTE INSTITUTE OF ENGINEERING &amp; MANAGEMENT, GHOLA, KOLKATA</t>
  </si>
  <si>
    <t>MAULANA ABDUL KALAM AZAD UNIVERSITY OF TECHNOLOGY, WEST BENGAL</t>
  </si>
  <si>
    <t>SUPREME KNOWLEDGE FOUNDATION GROUP OF INSTITUTION, HOOGHLY, WEST BENGAL</t>
  </si>
  <si>
    <t>Oishi International | Junior Engineer | Odisha (Sonepur) | Mar 2022 | Mar 2024 | 2Y 0M | 2.8
BCPL Railway Infrastructure ltd. | Assistant Project Manager | Odisha (Anugul) | Apr 2024 | Jan 2025 | 0Y 9M | 3.85</t>
  </si>
  <si>
    <t>Royal Infraconstru ltd | Trainee | Birbhum (Ilambazar) | Jan 2019 | Jan 2019 | 1.8571428571429 Weeks</t>
  </si>
  <si>
    <t>P25700655</t>
  </si>
  <si>
    <t>SAMRUTWAR</t>
  </si>
  <si>
    <t>Samrutwar Pranay Ashok</t>
  </si>
  <si>
    <t>pranaysamrutwar130@gmail.com</t>
  </si>
  <si>
    <t>p25700655@student.nicmar.ac.in</t>
  </si>
  <si>
    <t>21-May-2002</t>
  </si>
  <si>
    <t>7944 3067 1864</t>
  </si>
  <si>
    <t>GOV. SERVANT</t>
  </si>
  <si>
    <t>SUDHA SAMRUTWARPLOT NO. 14</t>
  </si>
  <si>
    <t>Plot No.14,gopal Krishna Nagari,DP Road,Pandharkawada</t>
  </si>
  <si>
    <t>DR.YARDY ENGLISH HIGH SCHOOL,UMRI</t>
  </si>
  <si>
    <t>SECONDARY AND HIGHER SECONDARY EDUCATION,PUNE</t>
  </si>
  <si>
    <t>BDP COLLOGE OF SCIENCE,PARWA</t>
  </si>
  <si>
    <t>SAVITRIBAI PHULE PUNE UNIVERSITY ,PUNE</t>
  </si>
  <si>
    <t>AISSMS COLLOGE OF ENGINEERING ,PUNE</t>
  </si>
  <si>
    <t>ADVETKUNAL ENTERPRISES PVT . LTD | site engineering | pune | Dec 2022 | Jan 2023 | 4.1428571428571 Weeks</t>
  </si>
  <si>
    <t>P25700656</t>
  </si>
  <si>
    <t>BRAVIMRAJ</t>
  </si>
  <si>
    <t>BAJIRAO</t>
  </si>
  <si>
    <t>Bravimraj Bajirao Desai</t>
  </si>
  <si>
    <t>bravimraj05@gmail.com</t>
  </si>
  <si>
    <t>p25700656@student.nicmar.ac.in</t>
  </si>
  <si>
    <t>19-Oct-2001</t>
  </si>
  <si>
    <t>2356 5697 3119</t>
  </si>
  <si>
    <t>TRACK MAINTENANCE, ENGINEERING DEPARTMENT, INDIAN RAILWAYS</t>
  </si>
  <si>
    <t>BHAGYASHRI</t>
  </si>
  <si>
    <t>Row Bangalow No. 3, Anand Garden, Bapuram Nagar, Kalamba, Kolhapur.</t>
  </si>
  <si>
    <t>NEW ENGLISH MEDIUM SCHOOL KOLHAPUR</t>
  </si>
  <si>
    <t>Shree Datta Developers | Junior Site Engineer | Kolhapur | Jul 2024 | Jun 2025 | 0Y 11M | 1.08</t>
  </si>
  <si>
    <t>P25700657</t>
  </si>
  <si>
    <t>YEOLE</t>
  </si>
  <si>
    <t>SURAJ</t>
  </si>
  <si>
    <t>Yeole Suraj Naresh</t>
  </si>
  <si>
    <t>surajnyeole89@gmail.com</t>
  </si>
  <si>
    <t>p25700657@student.nicmar.ac.in</t>
  </si>
  <si>
    <t>23-Nov-1994</t>
  </si>
  <si>
    <t>5883 3132 6190</t>
  </si>
  <si>
    <t>NARESH VASUDEORAO YEOLE</t>
  </si>
  <si>
    <t>HEMLATA NARESH YEOLE</t>
  </si>
  <si>
    <t>226B, Santoshi Nagar, Hudkeshwar Road</t>
  </si>
  <si>
    <t>MAHARASHTRA STATE BOARD, NAGPUR/MAHARASHTRA</t>
  </si>
  <si>
    <t>MAJOR HEMANT JAKATE VIDYANIKETAN</t>
  </si>
  <si>
    <t>2012-Feb</t>
  </si>
  <si>
    <t>GURU NANAK INSTITUTE OF ENGINEERING &amp; MANAGEMENT</t>
  </si>
  <si>
    <t>Vijay Nirman Company Pvt Ltd | Junior Engineer | Nanded and Washim Maharashtra  | Jan 2018 | Oct 2021 | 3Y 9M | 3
Delhi Integrated Multi Modal Transit System Ltd. (DIMTS) | Assistant Engineer | Surat Gujarat | Oct 2021 | Aug 2023 | 1Y 9M | 5</t>
  </si>
  <si>
    <t>5 Years 7 Months</t>
  </si>
  <si>
    <t>Hill International  | Intern | Mumbai (Thane) | May 2026 | Jul 2026 | 8.7142857142857 Weeks | Campus Internship</t>
  </si>
  <si>
    <t>Be 10X AI Course
BIM Professional Course for Civil Engineers</t>
  </si>
  <si>
    <t>P25700658</t>
  </si>
  <si>
    <t>PARDHI</t>
  </si>
  <si>
    <t>PRANAP</t>
  </si>
  <si>
    <t>SURYAPRAKASH</t>
  </si>
  <si>
    <t>Pardhi Pranap Suryaprakash</t>
  </si>
  <si>
    <t>pranappardhi05@gmail.com</t>
  </si>
  <si>
    <t>p25700658@student.nicmar.ac.in</t>
  </si>
  <si>
    <t>11-May-2002</t>
  </si>
  <si>
    <t>5639 2796 7865</t>
  </si>
  <si>
    <t>Appaji Nagar, Angur Bagicha Gondia</t>
  </si>
  <si>
    <t>VIVEK MANDIR HIGH SCHOOL GONDIA</t>
  </si>
  <si>
    <t>MAHARASTRA STATE BOARD OF SECONDARY AND HIGHER SECONDARY EDUCATION , PUNE</t>
  </si>
  <si>
    <t>GOVERMENT POLYTECHNIC ,NAGPUR</t>
  </si>
  <si>
    <t>AN AUTONOMOUS (AFILLATED TO RASHTRASANT TUKADOJI MAHARAJ NAGPUR UNIVERSITY , NAGPUR)</t>
  </si>
  <si>
    <t>G. H. RAISONI COLLEGE OF ENGINEERING AND MANAGMENT ,NAGPUR</t>
  </si>
  <si>
    <t xml:space="preserve"> MS Office, MS Project, PRIMAVERA , NAVISWORKS, COST X , REVIT , AUTOCAD </t>
  </si>
  <si>
    <t>Goa State Infrastructure Development Corporation Limited | Intern | Goa Medical College Bambolim Goa  | May 2026 | Jul 2026 | 8.7142857142857 Weeks | Campus Internship
M/s. MAYUR W. BODANE Govt Civil Contractor &amp; Building Material Suppliers | Graduate Engineer Trainee | Sakoli  | Dec 2024 | May 2025 | 21.571428571429 Weeks</t>
  </si>
  <si>
    <t xml:space="preserve">Excel Using AI Workshop
Certificate of Appreciation - Gh Raisoni Nagpur </t>
  </si>
  <si>
    <t>P25700659</t>
  </si>
  <si>
    <t>ADARSH NAIDU</t>
  </si>
  <si>
    <t>GADE</t>
  </si>
  <si>
    <t>Adarsh Naidu Gade</t>
  </si>
  <si>
    <t>gadeadarshnaidu@gmail.com</t>
  </si>
  <si>
    <t>p25700659@student.nicmar.ac.in</t>
  </si>
  <si>
    <t>3324 1014 2286</t>
  </si>
  <si>
    <t>GADE RAMU</t>
  </si>
  <si>
    <t>GADE PRASANTHI</t>
  </si>
  <si>
    <t>K JOGAMPETA VILLAGE GOLUGONDA POST GOLUGONDA MANDAL ANAKAPALLI DISTRICT ANDHRA PRADESH 531084</t>
  </si>
  <si>
    <t>SASI ENGLISH MEDIUM HIGH SCHOOL</t>
  </si>
  <si>
    <t>SASI NEW GEN JUNIOR COLLEGE</t>
  </si>
  <si>
    <t>BOARD OF INTERMEDIATE   EDUCATION ANDHRA PRADESH</t>
  </si>
  <si>
    <t>ANIL NEERKONDA INSTITUTE OF TECHNOLOGY AND SCIENCES ANDHRA PRADESH</t>
  </si>
  <si>
    <t>AutoCAD,MS Office,MS Project,Primavera,ARC GIS,REVIT,STAAD,CostX,BIM</t>
  </si>
  <si>
    <t>L V Naidu Constructions | Junior Site Engineer | Bheemunipatnam-Narsipatnam Road In Anakapalli District, ANDHRA PRADESH | May 2023 | May 2023 | 2.4285714285714 Weeks</t>
  </si>
  <si>
    <t>AutoCAD
A Two Week Value added Course on Building Information Modelling
NPTEL On Introduction to Civil Engineering Profession
Ethics in Engineering Practice
Construction Project Management
Project Management - Initiation and Planning
Finance for Non- Financial Managers</t>
  </si>
  <si>
    <t>P25700660</t>
  </si>
  <si>
    <t>KRANISHA</t>
  </si>
  <si>
    <t>Kranisha S</t>
  </si>
  <si>
    <t>keerthisuresh1504@gmail.com</t>
  </si>
  <si>
    <t>p25700660@student.nicmar.ac.in</t>
  </si>
  <si>
    <t>15-Apr-2004</t>
  </si>
  <si>
    <t>3379 5662 7041</t>
  </si>
  <si>
    <t>SURESH C</t>
  </si>
  <si>
    <t>SUGUNA N</t>
  </si>
  <si>
    <t>87/10H, Majeeth Teru, Harur.</t>
  </si>
  <si>
    <t>Dharmapuri</t>
  </si>
  <si>
    <t>JAYAM VIDHYALAYA MATRIC HR SEC SCHOOL HARUR DHARMAPURI</t>
  </si>
  <si>
    <t>SRI SIVASUBRAMANIYA NADAR COLLEGE OF ENGINEERING, TAMIL NADU</t>
  </si>
  <si>
    <t>AutoCAD,MS Office,MS Project,Primavera,BIM,Revit</t>
  </si>
  <si>
    <t>DLF HOME DEVELOPERS LIMITED | Trainee | Chennai,Tamil Nadu | May 2026 | Jun 2026 | 8.1428571428571 Weeks | Campus Internship
LARSEN &amp;TOUBRO LIMITED | Trainee | Chennai,Tamil Nadu | Jul 2024 | Jul 2024 | 4.2857142857143 Weeks</t>
  </si>
  <si>
    <t>P25700661</t>
  </si>
  <si>
    <t>SHASHANK</t>
  </si>
  <si>
    <t>Shashank N</t>
  </si>
  <si>
    <t>shashank.n.civil22@gmail.com</t>
  </si>
  <si>
    <t>p25700661@student.nicmar.ac.in</t>
  </si>
  <si>
    <t>14-Jun-2000</t>
  </si>
  <si>
    <t>ENGLISH, TAMIL , HINDI</t>
  </si>
  <si>
    <t>5571 9062 3818</t>
  </si>
  <si>
    <t>NAGANDRA BABU VS</t>
  </si>
  <si>
    <t>SUMATHI S</t>
  </si>
  <si>
    <t>No.3, 7th Floor, 3rd Block, Pace Prana Apartments, Padikuppam Road, Anna Nagar West, Chennai - 600040</t>
  </si>
  <si>
    <t>SMT. DURGADEVI CHOUDHARY VIVEKANANDA VIDYALAYA</t>
  </si>
  <si>
    <t>VELAMMAL MATRICULATION HIGHER SECONDARY SCHOOL</t>
  </si>
  <si>
    <t>RAJALAKSHMI ENGINEERING COLLEGE, TAMILNADU</t>
  </si>
  <si>
    <t>AutoCAD,MS Office,MS Project,Primavera,CostX,PowerBI</t>
  </si>
  <si>
    <t>Larsen &amp; Toubro Limited | Site Planning Engineer | Chennai, Tamil Nadu | Oct 2022 | Jun 2025 | 2Y 8M | 7.2</t>
  </si>
  <si>
    <t>KPMG Global Services Private Limited | Business Consulting - Capital Projects | Bangalore | May 2026 | Jul 2026 | 9.5714285714286 Weeks | Campus Internship
WATER RESOURCES DEPARTMENT, GOVERNMENT OF TAMILNADU | TRAINEE ENGINEER | CHENNAI | Nov 2019 | Nov 2019 | 0.57142857142857 Weeks
INTEGRAL COACH FACTORY, CHENNAI | JUNIOR SITE ENGINEER | CHENNAI | Oct 2021 | Oct 2021 | 1 Weeks</t>
  </si>
  <si>
    <t>NPTEL - Introduction to Civil Engineering profession
Indian Construction Project Management Fundamentals - Udemy
Essentials of Project Planning and Control (EPPC) 2.0' - L&amp;T programme
BCG - Introduction to Strategy Consulting Job Simulation
NPTEL - Ethics in Engineering Practice</t>
  </si>
  <si>
    <t>P25700662</t>
  </si>
  <si>
    <t>RANE</t>
  </si>
  <si>
    <t>Soham Ravindra Rane</t>
  </si>
  <si>
    <t>sohamrane8810@gmail.com</t>
  </si>
  <si>
    <t>p25700662@student.nicmar.ac.in</t>
  </si>
  <si>
    <t>25-Feb-2003</t>
  </si>
  <si>
    <t>5975 4417 1691</t>
  </si>
  <si>
    <t>RAVINDRA VASANT RANE</t>
  </si>
  <si>
    <t>POONAM RAVINDRA RANE</t>
  </si>
  <si>
    <t>At Pohi Post Kalamb Tal Karjat Dist Raigad Neral</t>
  </si>
  <si>
    <t>L.A.E.S ENGLISH HIGH SCHOOL</t>
  </si>
  <si>
    <t>MAHARASHTRA STATE BOARD OF  SECONDARY AND  HIGHER SECONDARY EDUCATION PUNE</t>
  </si>
  <si>
    <t>G.V ACHARYA POLYTECHNIC SHELU MAHARASHTRA</t>
  </si>
  <si>
    <t>PILLAI HOC OF ENGINEERING AND TECHNOLOGY</t>
  </si>
  <si>
    <t>AutoCAD,MS Office,MS Project,Primavera,Revit Structure,Stadpro</t>
  </si>
  <si>
    <t>CIDCO Mass Housing Project | Site Engineer | Taloja | Jun 2022 | Aug 2022 | 8.7142857142857 Weeks</t>
  </si>
  <si>
    <t>P25700663</t>
  </si>
  <si>
    <t>SHIRSAT</t>
  </si>
  <si>
    <t>Omkar Dilip Shirsat</t>
  </si>
  <si>
    <t>shirsatomkar2220@yahoo.com</t>
  </si>
  <si>
    <t>p25700663@student.nicmar.ac.in</t>
  </si>
  <si>
    <t>30-Aug-2025</t>
  </si>
  <si>
    <t>3839 5845 9603</t>
  </si>
  <si>
    <t>DILIP SHIRSAT</t>
  </si>
  <si>
    <t>VAISHALI SHIRSAT</t>
  </si>
  <si>
    <t>HOUSE  WIFE</t>
  </si>
  <si>
    <t>Patil Vasti, Ranmala, Uruli Kanchan, Haveli, Pune</t>
  </si>
  <si>
    <t>MAHATMA GANDHI VIDHYALAYA, URULI KANCHAN, PUNE.</t>
  </si>
  <si>
    <t>MAHARASTRA STATE BOARD OF SECONDARY AND HIGHER EDUCATION, PUNE</t>
  </si>
  <si>
    <t>CUSROW WADIA INSTITUE OF TECHNOLOGY</t>
  </si>
  <si>
    <t>DR. D Y PATIL SCHOOL OF ENGINEERING AND TECHNOLOGY , CHARHOLI BK., LOHEGAON, PUNE.</t>
  </si>
  <si>
    <t>Ucon PT Structural System Private Limited | Junior Engineer | Pune | Jan 2025 | Apr 2025 | 16.285714285714 Weeks
SAI CONSTRUCTION |  TRAINEE ENGINEER | PUNE | Jan 2024 | Jan 2024 | 4.2857142857143 Weeks
Nirman Civil Engineers | Junior Site Engineer | Pune | Sep 2021 | Oct 2022 | 56.428571428571 Weeks</t>
  </si>
  <si>
    <t>P25700664</t>
  </si>
  <si>
    <t>SRIVAS</t>
  </si>
  <si>
    <t>SAMA</t>
  </si>
  <si>
    <t>Srivas Sama Reddy</t>
  </si>
  <si>
    <t>srivvass.reddy@gmail.com</t>
  </si>
  <si>
    <t>p25700664@student.nicmar.ac.in</t>
  </si>
  <si>
    <t>22-Sep-2002</t>
  </si>
  <si>
    <t>english, telugu, hindi</t>
  </si>
  <si>
    <t>8210 9569 3952</t>
  </si>
  <si>
    <t>RAJPAL REDDY</t>
  </si>
  <si>
    <t>SARASWATHI REDDY</t>
  </si>
  <si>
    <t>2-4-14/A, Upperpally, Rajendra Nagar, 500048</t>
  </si>
  <si>
    <t>OAKRIDGE INTERNATIONAL SCHOOL</t>
  </si>
  <si>
    <t>CBSE, HYDERABAD</t>
  </si>
  <si>
    <t>CBSE ,HYDERABAD</t>
  </si>
  <si>
    <t>VELLORE INSTITUTE OF TECHNOLOGY CHENNAI</t>
  </si>
  <si>
    <t>MS Project,Primavera, Autocad, MS Office, Revit, Cost X</t>
  </si>
  <si>
    <t>M Arunachalam projects and infrastructure | PM - intern  | chennai | May 2026 | Jul 2026 | 8.2857142857143 Weeks | Campus Internship</t>
  </si>
  <si>
    <t>primnavera</t>
  </si>
  <si>
    <t>P25700665</t>
  </si>
  <si>
    <t>PRIYANSHI</t>
  </si>
  <si>
    <t>VISHWANG</t>
  </si>
  <si>
    <t>MEHTA</t>
  </si>
  <si>
    <t>Priyanshi Vishwang Mehta</t>
  </si>
  <si>
    <t>mehta.priyanshi01@gmail.com</t>
  </si>
  <si>
    <t>p25700665@student.nicmar.ac.in</t>
  </si>
  <si>
    <t>17-Sep-2001</t>
  </si>
  <si>
    <t>ENGLISH, HINDI, GUJARATI, MARATHI</t>
  </si>
  <si>
    <t>6681 5815 1380</t>
  </si>
  <si>
    <t>SONIYA</t>
  </si>
  <si>
    <t>Siddhi ABC Chsl, Vasant Nagri, Vasai Road East 401208.</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</si>
  <si>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</si>
  <si>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</si>
  <si>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</si>
  <si>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</si>
  <si>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</si>
  <si>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AutoCAD,MS Office,MS Project,Primavera,BIM revit,Earned Value Management (EVM),Project Co-ordination,Quantity Estimation using Cost X,Canva,Adobe Creative Suite,SketchUp,Lumion</t>
  </si>
  <si>
    <t>REZA KABUL ARCHITECTS |  Architect | Design Planning, Project Co-ordination and Consulting | Bandra, Mumbai. | May 2024 | Jun 2025 | 1Y 0M | 3.36</t>
  </si>
  <si>
    <t>Masters Management Consultants (India) Private Limited | Project Management Intern | Mumbai | May 2026 | Jul 2026 | 8.5714285714286 Weeks | Campus Internship
KNS ARCHITECTS | Intern, Architecture Student | ANDHERI AND WORLI, MUMBAI | Nov 2022 | May 2023 | 24 Weeks</t>
  </si>
  <si>
    <t>National Quiz by The Times of India
Ms office - MSCIT
TSAP - EPOCH - Art Installation
Sustainable practice Workshop at IDAC Expo, Mumbai
HIRAY - TARASH - Project Design Competition
MU Ideas Interior Design Competition by Mumbai University
National Workshop cum Training on Project Management from IIT Kharagpur using Primavera P6
NICMAR- UDHBAV- IDENTITY Logo Design
Coursera _ Finance for Non-Financial Managers
NPTEL course _ Ethics in Engineering Pratice</t>
  </si>
  <si>
    <t>P25700666</t>
  </si>
  <si>
    <t>KANKALE</t>
  </si>
  <si>
    <t>Om Sanjay Kankale</t>
  </si>
  <si>
    <t>omkankale2004@gmail.com</t>
  </si>
  <si>
    <t>p25700666@student.nicmar.ac.in</t>
  </si>
  <si>
    <t>17-Feb-2004</t>
  </si>
  <si>
    <t>3547 7240 3142</t>
  </si>
  <si>
    <t>SANJAY KANKALE</t>
  </si>
  <si>
    <t>PRITI KANKALE</t>
  </si>
  <si>
    <t>Rathinagar, Amravati, In Front Of Water Tank</t>
  </si>
  <si>
    <t>CBSE, AMRAVATI, MAHARASHTRA</t>
  </si>
  <si>
    <t>BHAGYASHRI JUNIOR COLLEGE, AMRAVATI, MAHARASHTRA</t>
  </si>
  <si>
    <t>HSC, AMRAVATI, MAHARASHTRA</t>
  </si>
  <si>
    <t>DR. VISHWANATH KARAD MIT - WORLD PEACE UNIVERSITY</t>
  </si>
  <si>
    <t>DR. VISHWANATH KARAD MIT - WORLD PEACE UNIVERSITY, KOTHRUD, PUNE, MAHARASHTRA</t>
  </si>
  <si>
    <t>AutoCAD,MS Project,Primavera,Revit</t>
  </si>
  <si>
    <t>MILLENNIUM ENGINEERS &amp; CONTRACTORS PVT. LTD. (Project : Godrej Emerald Waters, Pune) | SUMMER INTERN | PUNE | May 2026 | Jul 2026 | 8.7142857142857 Weeks | Campus Internship
Shree Govinda Infra | Site Engineer | Amravati | Jan 2025 | Apr 2025 | 14.571428571429 Weeks
KRISHNARPAN ENGINEERS, BUILDERS &amp; LAND DEVELOPERS | Site Engineer &amp; Auto CAD Software Technician  | AMRAVATI | Jun 2023 | Aug 2023 | 9.1428571428571 Weeks</t>
  </si>
  <si>
    <t>P25700667</t>
  </si>
  <si>
    <t>NANDALAL</t>
  </si>
  <si>
    <t>BAGAL</t>
  </si>
  <si>
    <t>Devendra Nandalal Bagal</t>
  </si>
  <si>
    <t>devendranbagal2003@gmail.com</t>
  </si>
  <si>
    <t>p25700667@student.nicmar.ac.in</t>
  </si>
  <si>
    <t>06-Feb-2003</t>
  </si>
  <si>
    <t>2732 7396 4167</t>
  </si>
  <si>
    <t>BHAVANA</t>
  </si>
  <si>
    <t>Plot No. 41, Chandraprabha, Audumber Colony, Dondaicha, Dist. Dhule.</t>
  </si>
  <si>
    <t>ROTARY ENGLISH SCHOOL</t>
  </si>
  <si>
    <t>GOVERNMENT POLYTECHNIC DHULE, DHULE</t>
  </si>
  <si>
    <t>AutoCAD,STAAD.Pro,3ds Max</t>
  </si>
  <si>
    <t>LJR Constructions LLP | Construction Management Intern | Dhayari, Pune | May 2026 | Jul 2026 | 8.7142857142857 Weeks | Campus Internship
Infraking Consulting Engineers Pvt. Ltd. | Civil Engineering Intern | Mundhwa, Pune | Dec 2023 | Jan 2024 | 4.4285714285714 Weeks</t>
  </si>
  <si>
    <t>P25700668</t>
  </si>
  <si>
    <t>KIRTAN</t>
  </si>
  <si>
    <t>Kirtan Haresh Patel</t>
  </si>
  <si>
    <t>kirtanp081998@gmail.com</t>
  </si>
  <si>
    <t>p25700668@student.nicmar.ac.in</t>
  </si>
  <si>
    <t>18-Aug-1998</t>
  </si>
  <si>
    <t>English, Hindi, Gujarati, Marathi</t>
  </si>
  <si>
    <t>7337 0289 5516</t>
  </si>
  <si>
    <t>HARESH PATEL</t>
  </si>
  <si>
    <t>DHARMISTHA PATEL</t>
  </si>
  <si>
    <t>C/22, Laxmi Krupa Bldg., Daftary Road, Pushpa Park, Malad -(East)</t>
  </si>
  <si>
    <t>MAHARASHTRA STATE BOARD OF SECONDARY AND HIGHER SECONDARY EDUCATION, PUNE/    MUMBAI DIVISIONAL BOARD</t>
  </si>
  <si>
    <t>K. J. SOMAIYA POLYTECHNIC,  MUMBAI/ MAHARASHTRA</t>
  </si>
  <si>
    <t>DATTA MEGHE COLLEGE OF ENGINEERING,  NAVI MUMBAI/  MAHARASHTRA</t>
  </si>
  <si>
    <t>AutoCAD,MS Office,MS Project,ETabs,Revit</t>
  </si>
  <si>
    <t>Dev Construction | Jr. Site Engineer | Kalwa, Thane | Jun 2024 | Jun 2025 | 1Y 0M | 2.52</t>
  </si>
  <si>
    <t>RRC Ventures Private Limited | Site Supervisor | Mumbai | Dec 2022 | Jan 2023 | 4.4285714285714 Weeks
City And Industrial Development Corporation of Maharashtra Limited, CIDCO | Site Supervisor | Navi Mumbai | Jun 2022 | Jul 2022 | 7 Weeks</t>
  </si>
  <si>
    <t>P25700669</t>
  </si>
  <si>
    <t>DEBI</t>
  </si>
  <si>
    <t>JENA</t>
  </si>
  <si>
    <t>Debi Prasad Jena</t>
  </si>
  <si>
    <t>debiprasad.dpj@gmail.com</t>
  </si>
  <si>
    <t>p25700669@student.nicmar.ac.in</t>
  </si>
  <si>
    <t>12-Apr-1999</t>
  </si>
  <si>
    <t>4057 5674 4660</t>
  </si>
  <si>
    <t>AKSHYAYA KUMAR JENA</t>
  </si>
  <si>
    <t>ODISHA TRANSPORT DEPARTMENT</t>
  </si>
  <si>
    <t>LATE SOVARANI JENA</t>
  </si>
  <si>
    <t>Plot No 10,Phase 2, Sweety Housing Complex ,Ganganagar ,Unit6</t>
  </si>
  <si>
    <t>ST.XAVIER'S HIGH SCHOOL</t>
  </si>
  <si>
    <t>MOTHER'S PUBLIC SCHOOL</t>
  </si>
  <si>
    <t>AutoCAD,MS Office,MS Project,Primavera,Solidworks,Python,SQL</t>
  </si>
  <si>
    <t>RAJPUTANA CUSTOM MOTORCYCLES | TRAINEE | JAIPUR,RAJASTHAN | Jun 2019 | Jun 2019 | 0.71428571428571 Weeks
Hindustan Coca-Cola Beverages Pvt.Ltd | Trainee | Khorda, Odisha | Dec 2018 | Dec 2018 | 4 Weeks
SAIL Rourkela Steel Plant | Trainee | Rourkela,Odisha | Jun 2019 | Jun 2019 | 2 Weeks</t>
  </si>
  <si>
    <t>P25700670</t>
  </si>
  <si>
    <t>BASAVARAJA</t>
  </si>
  <si>
    <t>B T</t>
  </si>
  <si>
    <t>Basavaraja B T</t>
  </si>
  <si>
    <t>basavarajbt333@gmail.com</t>
  </si>
  <si>
    <t>p25700670@student.nicmar.ac.in</t>
  </si>
  <si>
    <t>7202 4228 7915</t>
  </si>
  <si>
    <t>B THIPPESHA</t>
  </si>
  <si>
    <t>PADMAVATHI</t>
  </si>
  <si>
    <t>K E B Badavane Near Welcome Board,Nayakanahatti,challekere Taluk,chitradurga District</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</si>
  <si>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</si>
  <si>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</si>
  <si>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</si>
  <si>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</si>
  <si>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</si>
  <si>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AutoCAD,MS Office,MS Project,Primavera,Auto plotter,QGIS,REVIT,STAADPRO</t>
  </si>
  <si>
    <t>ROTER LEHMANN PARTNER PVT.LTD. | GEOSPATIAL ENGINEER | BANGLORE | Apr 2025 | May 2025 | 2.7142857142857 Weeks
INFRA SUPPORT ENGINEERING CONSULTANTS PVT.LTD | 3rd Party Inspection | HUBLI,DHARWAD | Feb 2025 | Apr 2025 | 8.4285714285714 Weeks</t>
  </si>
  <si>
    <t>COURSERA IN MUNCIPAL SOLID WASTE MANAGEMENT IN DEVELOPING COUNTRIES</t>
  </si>
  <si>
    <t>P25700671</t>
  </si>
  <si>
    <t>NANDHA KUMARAN</t>
  </si>
  <si>
    <t>Nandha Kumaran S</t>
  </si>
  <si>
    <t>dgnandy88063@gmail.com</t>
  </si>
  <si>
    <t>p25700671@student.nicmar.ac.in</t>
  </si>
  <si>
    <t>23-Aug-2004</t>
  </si>
  <si>
    <t>Tamil,English</t>
  </si>
  <si>
    <t>7282 3645 9804</t>
  </si>
  <si>
    <t>SUNDARAMOORTHY R</t>
  </si>
  <si>
    <t>SUBASHINI S</t>
  </si>
  <si>
    <t>No.192 , 4th Street , Nehru Nagar , Anna Nagar , Ch-600040</t>
  </si>
  <si>
    <t>ANNA UNIVERSITY , TAMILNADU</t>
  </si>
  <si>
    <t>SRI SAI RAM ENGINEERING COLLEGE , TAMILNADU</t>
  </si>
  <si>
    <t>AutoCAD,REVIT,SKETCHUP</t>
  </si>
  <si>
    <t>Prestige Estates Projects Ltd | Site Execution + Control | Banglore | May 2026 | Jul 2026 | 8.5714285714286 Weeks | Campus Internship
LEXI CREW ENTERPRISES | SOFTWARE TRAINER  | MEDAVAKKAM,CHENNAI | May 2024 | Jun 2024 | 4.4285714285714 Weeks
VASIYAM HOMES PVT LTD | Site Supervisor | Medavakkam,Chennai | Feb 2024 | Feb 2024 | 2.2857142857143 Weeks</t>
  </si>
  <si>
    <t>P25700672</t>
  </si>
  <si>
    <t>SHEFALI</t>
  </si>
  <si>
    <t>SHAILENDRA</t>
  </si>
  <si>
    <t>Shefali Shailendra Gaikwad</t>
  </si>
  <si>
    <t>shefaligaikwad6@gmail.com</t>
  </si>
  <si>
    <t>p25700672@student.nicmar.ac.in</t>
  </si>
  <si>
    <t>09-Apr-2000</t>
  </si>
  <si>
    <t>8171 4575 4279</t>
  </si>
  <si>
    <t>SHARMILA</t>
  </si>
  <si>
    <t>D-9 Mohit Building, Barlota Nagar, Mamurdi, Dehuroad Pune</t>
  </si>
  <si>
    <t>ST. JUDE HIGH SCHOOL</t>
  </si>
  <si>
    <t>PUNE MAHARASHTRA</t>
  </si>
  <si>
    <t>DR D Y PATIL PRATISHTHAN'S Y.B PATIL POLYTECHNIC AKURDI PUNE</t>
  </si>
  <si>
    <t>PIMPRI CHINCHWAD COLLEGE OF ENGINEERING AND RESEARCH,RAVET PUNE</t>
  </si>
  <si>
    <t>AutoCAD,MS Office,MS Project,Primavera,3D MAX,Autodesk Civil 3D,BIM,REVIT</t>
  </si>
  <si>
    <t>VIJAY CONSTRUCTION | SITE ENGINEER | DEHUROAD PUNE  | Oct 2022 | Nov 2022 | 4.7142857142857 Weeks
NP Venture | Site Engineer | Pune | Dec 2019 | Dec 2019 | 0.85714285714286 Weeks</t>
  </si>
  <si>
    <t>Basics of Remote Sensing and GIS
NPTEL Ethics in Engineering Practice
Coursera Finance for Non finance Manager</t>
  </si>
  <si>
    <t>P25700673</t>
  </si>
  <si>
    <t>NEELAPALA</t>
  </si>
  <si>
    <t>ANANTHA SAI</t>
  </si>
  <si>
    <t>Neelapala Anantha Sai Ganesh</t>
  </si>
  <si>
    <t>neelapalagani@gmail.com</t>
  </si>
  <si>
    <t>p25700673@student.nicmar.ac.in</t>
  </si>
  <si>
    <t>31-May-2002</t>
  </si>
  <si>
    <t>3935 4551 3614</t>
  </si>
  <si>
    <t>NEELAPALA CHANDRA SEKHAR</t>
  </si>
  <si>
    <t>CENTRAL GOVERNMENT EMPLOYEE</t>
  </si>
  <si>
    <t>NEELAPALA GEETHA</t>
  </si>
  <si>
    <t>1/1720 YERRAMUKKAPALLI, KADAPA, Andhra Pradesh</t>
  </si>
  <si>
    <t>BOARD OF SECONDARY EDUCATION KADAPA ANDHRA PRADESH</t>
  </si>
  <si>
    <t>BOARD OF INTERMEDIATE EDUCATION KADAPA ANDHRA PRADESH</t>
  </si>
  <si>
    <t>AutoCAD,MS Office,MS Project,Primavera,Sketch Up,revit</t>
  </si>
  <si>
    <t>KCVR INFRA PROJECT PRIVATE LIMITED | SITE SUPERVISOR INTERN | ANANTAPUR | Aug 2022 | Sep 2022 | 4.1428571428571 Weeks</t>
  </si>
  <si>
    <t>RURAL WATER RESOURCES MANAGEMENT BY NPTEL
SAFETY IN CONSTRUCTION BY NPTEL</t>
  </si>
  <si>
    <t>P25700674</t>
  </si>
  <si>
    <t>Abhishek Atul Deshmukh</t>
  </si>
  <si>
    <t>abhishekcoc1994@gmail.com</t>
  </si>
  <si>
    <t>p25700674@student.nicmar.ac.in</t>
  </si>
  <si>
    <t>23-Feb-2004</t>
  </si>
  <si>
    <t>7113 7199 3172</t>
  </si>
  <si>
    <t>ATUL DESHMUKH</t>
  </si>
  <si>
    <t>MANISHA DESHMUKH</t>
  </si>
  <si>
    <t>BEHIND SHANTI MARKET, SAHYADRI COLONY, ROOM NO.34, ULHASNAGAR-1, 421001</t>
  </si>
  <si>
    <t>CENTURY RAYON HIGH SCHOOL, SHAHAD</t>
  </si>
  <si>
    <t>S. H. JONDHALE POLYTECHNIC, DOMBIVLI (W)</t>
  </si>
  <si>
    <t>J. Kumar Infraprojects Ltd. | Intern | Mumbai | May 2026 | Jul 2026 | 9.7142857142857 Weeks | Campus Internship</t>
  </si>
  <si>
    <t>P25700675</t>
  </si>
  <si>
    <t>GOKULA KRISHNAN</t>
  </si>
  <si>
    <t>Gokula Krishnan . K</t>
  </si>
  <si>
    <t>gokuldsk@gmail.com</t>
  </si>
  <si>
    <t>p25700675@student.nicmar.ac.in</t>
  </si>
  <si>
    <t>19-Apr-2001</t>
  </si>
  <si>
    <t>ENGLISH, TAMIL</t>
  </si>
  <si>
    <t>3127 7308 8444</t>
  </si>
  <si>
    <t>KARUNAKARAN DS</t>
  </si>
  <si>
    <t>REPORTER</t>
  </si>
  <si>
    <t>SHANTHI K</t>
  </si>
  <si>
    <t>35,kaspa A Main Road, Ambur</t>
  </si>
  <si>
    <t>Vellore</t>
  </si>
  <si>
    <t>BETHEL MATRIC HIGHER SECONDARY SCHOOL</t>
  </si>
  <si>
    <t>ADHIYAMAAN COLLEGE OF ENGINEERING,HOSUR</t>
  </si>
  <si>
    <t>AutoCAD,MS Office,sketchup,photoshop,enscape</t>
  </si>
  <si>
    <t>CRR ARCHITECTS | JUNIOR ARCHITECT | CHENNAI | Sep 2023 | Jul 2025 | 1Y 10M | 0.2</t>
  </si>
  <si>
    <t>Stiffeners Property Valuers &amp; Consultants India Pvt. Ltd. | Valuation  Engineer - Intern | Chennai | May 2026 | Jul 2026 | 9.4285714285714 Weeks | Campus Internship
Vivacious Designs | Intern | Jaipur | Jul 2022 | Nov 2022 | 16.857142857143 Weeks</t>
  </si>
  <si>
    <t>P25700676</t>
  </si>
  <si>
    <t>PRAJWAL</t>
  </si>
  <si>
    <t>VINAYAK</t>
  </si>
  <si>
    <t>KHADE</t>
  </si>
  <si>
    <t>Prajwal Vinayak Khade</t>
  </si>
  <si>
    <t>prajwal7027@gmail.com</t>
  </si>
  <si>
    <t>p25700676@student.nicmar.ac.in</t>
  </si>
  <si>
    <t>25-Jun-2003</t>
  </si>
  <si>
    <t>5261 5645 5581</t>
  </si>
  <si>
    <t>VINAYAK KHADE</t>
  </si>
  <si>
    <t>SUNITA KHADE</t>
  </si>
  <si>
    <t>Ambika Sadan, Wakeshwar Road ,Vaduj</t>
  </si>
  <si>
    <t>SEVAGIRI ENGLISH MEDIUM SCHOOL, VADUJ</t>
  </si>
  <si>
    <t>CHH. SHIVAJI JUNIOR COLLEGE, VADUJ</t>
  </si>
  <si>
    <t>SPPU UNIVERSITY</t>
  </si>
  <si>
    <t>VIDYA PRATISHTHAN, BARAMATI</t>
  </si>
  <si>
    <t>AutoCAD,MS Office,MS Project,Primavera,msexcel</t>
  </si>
  <si>
    <t>SHIR SHIRSAI BUILDERS &amp; DEVELOPERS | INTERN | JALOCHI ROAD BARAMATI | Jan 2024 | Feb 2024 | 5 Weeks</t>
  </si>
  <si>
    <t>P25700677</t>
  </si>
  <si>
    <t>PATE</t>
  </si>
  <si>
    <t>Saurav Dilip Pate</t>
  </si>
  <si>
    <t>saurav.pate99@gmail.com</t>
  </si>
  <si>
    <t>p25700677@student.nicmar.ac.in</t>
  </si>
  <si>
    <t>ENGLISH ,HINDI,MARATHI</t>
  </si>
  <si>
    <t>4386 1025 9285</t>
  </si>
  <si>
    <t>3,bhoite NAGAR JALGAON</t>
  </si>
  <si>
    <t>R.R. VIDYALAYA JALGAON</t>
  </si>
  <si>
    <t>SECONDARY AND HIGHER SECOUNDARY EDUCATION, PUNE</t>
  </si>
  <si>
    <t>M.J COLLAGE, JALGAON</t>
  </si>
  <si>
    <t>GOVERMENT COLLAGE OF ENGINEERING, JALGAON</t>
  </si>
  <si>
    <t>AutoCAD,MS Office,MS Project,Primavera,Sketchup,Lumion,Python,Excel,Tableau,Power bi</t>
  </si>
  <si>
    <t>MUKESH PATIL (Goverment Contractor) | Site Engineer  | Jalgaon | Sep 2023 | Jun 2025 | 1Y 9M | 1.6</t>
  </si>
  <si>
    <t>PUBLIC WORK DEPARTMENT GOVERMENT OF MAHARASHTRA | TRAINEE | JALGAON | Dec 2019 | Jan 2020 | 3.5714285714286 Weeks
GOVERMENT CONTRACTOR | TRAINEE | JALGAON | Apr 2022 | May 2022 | 5 Weeks
tejraj Group  | Engineering Department Intern (Contract &amp; Procurement, Site Execution &amp; Project Monitoring) | PUNE MH  | May 2026 | Jul 2026 | 8.7142857142857 Weeks</t>
  </si>
  <si>
    <t>AutoCAD 2d
Geographic Information System (GIS)
Brilliance Foundation (Quantity Surveying,Biling and Autocad 2d)
GCOEJ (SPORTFORD CERTIFACATE WINNER BADMINTION)
Info PLANET (C Programming)
SUNBEAM CERTIFICATE (PreCat-Preparatory Course For Entrance)
CDAC (PG DIPLOMA IN BIG DATA ANALYTICS)</t>
  </si>
  <si>
    <t>P25700678</t>
  </si>
  <si>
    <t>HEMANT</t>
  </si>
  <si>
    <t>HINGE</t>
  </si>
  <si>
    <t>Purva Hemant Hinge</t>
  </si>
  <si>
    <t>hingepurva@gmail.com</t>
  </si>
  <si>
    <t>p25700678@student.nicmar.ac.in</t>
  </si>
  <si>
    <t>6335 4371 1284</t>
  </si>
  <si>
    <t>HEMANT HINGE</t>
  </si>
  <si>
    <t>NITA HINGE</t>
  </si>
  <si>
    <t>ASHIRWAD APPT NEAR HYDERABAD GARAGE JATHARPETH AKOLA.</t>
  </si>
  <si>
    <t>SCHOOL OF SCHOLARS.</t>
  </si>
  <si>
    <t>MAHARASHTRA STATE BOARD OF SECONDARY AND HIGHER SECONDARY EDUCATION , PUNE.</t>
  </si>
  <si>
    <t>BHARTI VIDYAPEETH JAWAHARLAL NEHRU INSTITUTE OF TECHNOLOGY AND SCIENCE ,PUNE.</t>
  </si>
  <si>
    <t>SINHGAD INSTITUTE OF TECHNOLOGY AND SCIENCE, PUNE.</t>
  </si>
  <si>
    <t>Primavera,REVIT,AutoCAD,MS Project,MS Office</t>
  </si>
  <si>
    <t>GODREJ PROPERTIES LTD. | Operations Intern. | Pune | May 2026 | Jul 2026 | 8.7142857142857 Weeks | Campus Internship
DBR STRUCTURES | TRAINEE | NAGPUR | Dec 2023 | Jan 2024 | 2.8571428571429 Weeks
SWASTIK DEVELOPERS | TRAINEE | PUNE | Aug 2021 | Sep 2021 | 5.5714285714286 Weeks</t>
  </si>
  <si>
    <t>P25700679</t>
  </si>
  <si>
    <t>SWARAJ</t>
  </si>
  <si>
    <t>BALWADKAR</t>
  </si>
  <si>
    <t>Swaraj Kiran Balwadkar</t>
  </si>
  <si>
    <t>swarajbalwadkar91@gmail.com</t>
  </si>
  <si>
    <t>p25700679@student.nicmar.ac.in</t>
  </si>
  <si>
    <t>03-Jul-2003</t>
  </si>
  <si>
    <t>4164 5358 7385</t>
  </si>
  <si>
    <t>KIRAN BALWADKAR</t>
  </si>
  <si>
    <t>CHHAYA BALWADKAR</t>
  </si>
  <si>
    <t>401 Vinayak Mohan Nagar Baner Pune 411045</t>
  </si>
  <si>
    <t>DR. AC HIGH SCHOOL</t>
  </si>
  <si>
    <t>LAXMANROA APTE</t>
  </si>
  <si>
    <t>MIT WPU PUNE MAHARASHTRA</t>
  </si>
  <si>
    <t>P25700680</t>
  </si>
  <si>
    <t>VEERESH</t>
  </si>
  <si>
    <t>NAVALGUNDMATH</t>
  </si>
  <si>
    <t>Veeresh P Navalgundmath</t>
  </si>
  <si>
    <t>veereshveeresh68015@gmail.com</t>
  </si>
  <si>
    <t>p25700680@student.nicmar.ac.in</t>
  </si>
  <si>
    <t>ENGLISH, KANNADA AND HINDI</t>
  </si>
  <si>
    <t>3481 3878 8645</t>
  </si>
  <si>
    <t>PRABHURAJ B NAVALGUNDMATH</t>
  </si>
  <si>
    <t>SUNITA P NAVALGUNDMATH</t>
  </si>
  <si>
    <t>Veerapur Road Near Basav Mantap, Hubballi</t>
  </si>
  <si>
    <t>SUKRUTI PUBLIC SCHOOL, HUBBALLI</t>
  </si>
  <si>
    <t>KARNATAKA SECONDARY EDUCATION EXAMINATION BOARD, HUBBALLI</t>
  </si>
  <si>
    <t>C.I MUNAVALLI POLYTECHNIC , HUBBALLI</t>
  </si>
  <si>
    <t>KLE TECHNOLOGICAL UNIVERSITY, HUBBALLI</t>
  </si>
  <si>
    <t>KLE TECHNOLOGICAL UNIVERSITY, HUBALLI</t>
  </si>
  <si>
    <t>AutoCAD,MS Office,Primavera,Revit,3dsmax,Googlesketchup</t>
  </si>
  <si>
    <t>Bangalore Metro Rail Corporation Limited (BMRCL) | Construction Engineering Intern | Bangalore, Karnataka | May 2026 | Jun 2026 | 8.4285714285714 Weeks | Campus Internship
NHAI , R&amp;C COMPANY | INTERN | HUBBALLI NHAI 48 | Jan 2025 | Mar 2025 | 8.4285714285714 Weeks</t>
  </si>
  <si>
    <t>Google SketchUp
3dsmax
Revit
Auto CADD</t>
  </si>
  <si>
    <t>P25700681</t>
  </si>
  <si>
    <t>GANPAT</t>
  </si>
  <si>
    <t>KHODAKE</t>
  </si>
  <si>
    <t>Vaibhav Ganpat Khodake</t>
  </si>
  <si>
    <t>v.g.khodake@gmail.com</t>
  </si>
  <si>
    <t>p25700681@student.nicmar.ac.in</t>
  </si>
  <si>
    <t>25-May-2001</t>
  </si>
  <si>
    <t>5967 8169 8309</t>
  </si>
  <si>
    <t>HEAD OF THE DEPARTMENT (PROFESSOR)</t>
  </si>
  <si>
    <t>S.NO. 22/1/8, BUCHADEWASTI Near BARNE CRUSHER</t>
  </si>
  <si>
    <t>LAXMIBAI NANDGUDE HIGHSCHOOL</t>
  </si>
  <si>
    <t>JSPM'S RAJARSHRI SHAHU COLLEGE OF ENGINEERING, TATHAWADE, PUNE</t>
  </si>
  <si>
    <t>Project Management, Infrastructure Project Management, Contract Documentation, Business Development, Operations Consultant, Construction Risk Assessment Primavera P6, Microsoft Project, AutoCAD, Revit Architecture, Revit Navisworks, Microsoft Excel, Micro</t>
  </si>
  <si>
    <t>Rodic Consultants Private Limited | Operations Intern (Chief Operating office Intern)  | Mumbai | May 2026 | Jul 2026 | 8.7142857142857 Weeks | Campus Internship</t>
  </si>
  <si>
    <t>NASSCOM
Professional diploma in Civil Cad
NATIONAL LEVEL POST GRADUATE RESEARCH SYMPOSIUM (NLPGRS)-2026 Certificate of Appreciation
Coursera Linear Regression &amp; Predictive Modeling with SPSS
Coursera Data Analysis
Coursera Finance for Non-Financial Managers</t>
  </si>
  <si>
    <t>P25700682</t>
  </si>
  <si>
    <t>SUMANTH</t>
  </si>
  <si>
    <t>VALLAPA</t>
  </si>
  <si>
    <t>Sumanth Pradeep Vallapa</t>
  </si>
  <si>
    <t>sumanthpv30@gmail.com</t>
  </si>
  <si>
    <t>p25700682@student.nicmar.ac.in</t>
  </si>
  <si>
    <t>ENGLISH,KANNADA,HINDI,TELUGU</t>
  </si>
  <si>
    <t>9222 1874 5379</t>
  </si>
  <si>
    <t>PRADEEP GANGAIAH</t>
  </si>
  <si>
    <t>RASHMI PRADEEP</t>
  </si>
  <si>
    <t>No. 492, Next To Dead End, 3rd Floor, Sir M Vishveshwaraiah Main Rd, Pattanagere, RR Nagar, Bengaluru, Karnataka</t>
  </si>
  <si>
    <t>NATIONAL PUBLIC SCHOOL, BANASHANKARI</t>
  </si>
  <si>
    <t>PARIVARTHANA SCHOOL AND PU COLLEGE,SRIRANGAPATNA</t>
  </si>
  <si>
    <t>SJB SCHOOL OF ARCHITECTURE AND PLANNING, BENGALURU</t>
  </si>
  <si>
    <t>AutoCAD,SKETCHUP,LUMION,ENSCAPE,REVIT</t>
  </si>
  <si>
    <t>Purvankara Limited | Construction Management Intern – Project Execution &amp; Cross-Functional Operations | Bengaluru | May 2026 | Jul 2026 | 8.2857142857143 Weeks | Campus Internship
Genesis Architecture | Intern as Junior Architect  | BTM layout, Bengaluru  | Jan 2025 | Apr 2025 | 15.428571428571 Weeks</t>
  </si>
  <si>
    <t>P25700683</t>
  </si>
  <si>
    <t>CHETAN</t>
  </si>
  <si>
    <t>Chetan Mahesh Patil</t>
  </si>
  <si>
    <t>chetancmpatil@gmail.com</t>
  </si>
  <si>
    <t>p25700683@student.nicmar.ac.in</t>
  </si>
  <si>
    <t>3418 0868 9933</t>
  </si>
  <si>
    <t>MAHESH LALCHAND PATIL</t>
  </si>
  <si>
    <t>AARTI MAHESH PATIL</t>
  </si>
  <si>
    <t>PLOT NO.7, WAGHULDE NAGAR, NEAR S.M.I.T COLLEGE</t>
  </si>
  <si>
    <t>H 48, Kathora</t>
  </si>
  <si>
    <t>PROGRESSIVE ENGLISH MEDIUM SCHOOL</t>
  </si>
  <si>
    <t>G.H.RAISONI INSTITUTE OF ENGINEERING AND MANAGEMENT, JALGAON, MAHARASHTRA.</t>
  </si>
  <si>
    <t>KAVAYITRI BAHINABAI CHAUDHARI NORTH MAHARASHTRA UNIVERSITY JALGAON, MAHARASHTRA.</t>
  </si>
  <si>
    <t>AutoCAD,MS Office,MS Project,Revit,Naviswork,Lumion,Enscape</t>
  </si>
  <si>
    <t>Indovance Pvt.Ltd | Design Engineer | pune | Sep 2024 | Mar 2025 | 0Y 5M | 3</t>
  </si>
  <si>
    <t>UNIQUE CIVIL | INTERN BIM MODELER | PUNE | Apr 2024 | Sep 2024 | 21.857142857143 Weeks</t>
  </si>
  <si>
    <t>Naviswork
AutoCAD 2D &amp; 3D
Revit Architecture and Structure</t>
  </si>
  <si>
    <t>P25700684</t>
  </si>
  <si>
    <t>ELDHOSE</t>
  </si>
  <si>
    <t>MATHEW</t>
  </si>
  <si>
    <t>Eldhose K Mathew</t>
  </si>
  <si>
    <t>eldhosekmathew718@gmail.com</t>
  </si>
  <si>
    <t>p25700684@student.nicmar.ac.in</t>
  </si>
  <si>
    <t>10-Aug-2000</t>
  </si>
  <si>
    <t>ENGLISH,HINDI,MALAYALAM,TAMIL</t>
  </si>
  <si>
    <t>3631 9436 1614</t>
  </si>
  <si>
    <t>K.G.MATHEW</t>
  </si>
  <si>
    <t>RETIRED SECRETARY - COOPERATIVE BANK NEDUNGAPRA</t>
  </si>
  <si>
    <t>SAGILI ITTOOP</t>
  </si>
  <si>
    <t>RETIRED FIRST GRADE OVERSEER - KERALA IRRIGATION DEPARTMENT</t>
  </si>
  <si>
    <t>Kochery House Nedungapra P O, Perumbavoor</t>
  </si>
  <si>
    <t>JAWAHAR NAVODAYA VIDYALAYA NERIMANGALAM, ERNAKULAM</t>
  </si>
  <si>
    <t>CRESCENT PUBLIC SCHOOL ALUVA</t>
  </si>
  <si>
    <t>MUTHOOT INSTITUTE OF TECHNOLOGY AND SCIENCE</t>
  </si>
  <si>
    <t>AutoCAD,MS Office,MS Project,Primavera,Autodesk Revit,ETABS</t>
  </si>
  <si>
    <t>Sobha Limited | Planning Engineer | Bangalore | Dec 2022 | Jun 2025 | 2Y 5M | 3.44</t>
  </si>
  <si>
    <t>Advance Training Programme on Geographical
ETABS - Structural 3D Analysis
Revit &amp; Total Station</t>
  </si>
  <si>
    <t>P25700685</t>
  </si>
  <si>
    <t>PUJAN</t>
  </si>
  <si>
    <t>Pujan Tushar Patil</t>
  </si>
  <si>
    <t>pujanpatil1410@gmail.com</t>
  </si>
  <si>
    <t>p25700685@student.nicmar.ac.in</t>
  </si>
  <si>
    <t>14-Oct-2003</t>
  </si>
  <si>
    <t>2824 6292 4781</t>
  </si>
  <si>
    <t>54,Ram Vihar , Mayur Colony ,Deopur, Dhule</t>
  </si>
  <si>
    <t>CHAVARA HIGH SCHOOL</t>
  </si>
  <si>
    <t>NASHIK DIVISIONAL BORAD, MAHARASHTRA</t>
  </si>
  <si>
    <t>ZULAL BHILAJIRAO PATIL COLLEGE DHULE</t>
  </si>
  <si>
    <t>SHRI VILE PARLE KELAVANI MANDAL INSITITUTE OF TECHNOLOGY DHULE</t>
  </si>
  <si>
    <t>AutoCAD,MS Office,MS Project,3DSMax,Revit,VRay</t>
  </si>
  <si>
    <t>ANP Corp | Software Systems Intern – Design &amp; Coordination | Balewadi High Street, Baner, Pune, Maharashtra | May 2026 | Jul 2026 | 8.7142857142857 Weeks | Campus Internship
Indian Institute of Technology Indore | Intern | Geohazards Lab, IIT Indore, Simrol, Indore â€“ 453552, Madhya Pradesh | Mar 2025 | Jun 2025 | 12.571428571429 Weeks</t>
  </si>
  <si>
    <t>AutoCad Essentials
Revit Architecture
STAAD. Pro
Essential in Max of engineers for institutes</t>
  </si>
  <si>
    <t>P25700686</t>
  </si>
  <si>
    <t>SIDDHANT</t>
  </si>
  <si>
    <t>MOHEKAR</t>
  </si>
  <si>
    <t>Siddhant Pramod Mohekar</t>
  </si>
  <si>
    <t>mohekarsiddhant8@gmail.com</t>
  </si>
  <si>
    <t>p25700686@student.nicmar.ac.in</t>
  </si>
  <si>
    <t>17-Apr-1999</t>
  </si>
  <si>
    <t>7454 8201 6089</t>
  </si>
  <si>
    <t>PRAMOD MOHEKAR</t>
  </si>
  <si>
    <t>MADHURI MOHEKAR</t>
  </si>
  <si>
    <t>Ash 302, Rosalie Lx, Godrej Hill Road, Khadakpada, Kalyan West</t>
  </si>
  <si>
    <t>RCTS P.M.M ROTARY SCHOOL AMBERNATH</t>
  </si>
  <si>
    <t>NEW ENGLISH HIGH SCHOOL AND JUNIOR COLLEGE, ULHASNAGAR</t>
  </si>
  <si>
    <t>DILKAP RESEARCH INSTITUTE OF ENGINEERING, NERAL</t>
  </si>
  <si>
    <t>Biltrax Construction Data | Analyst | Navi Mumbai | Mar 2023 | Aug 2024 | 1Y 4M | 3
Wrench Solutions | Implementation Engineer(Planning) | Mumbai | Feb 2025 | Jun 2025 | 0Y 3M | 4.11</t>
  </si>
  <si>
    <t>Sribal Construction Company | Contracts and Procurement Engineer | Bangalore | May 2026 | Jul 2026 | 8.7142857142857 Weeks | Campus Internship</t>
  </si>
  <si>
    <t>P25700687</t>
  </si>
  <si>
    <t>DURGESH</t>
  </si>
  <si>
    <t>THAKUR</t>
  </si>
  <si>
    <t>Anand Durgesh Thakur</t>
  </si>
  <si>
    <t>adthak98@gmail.com</t>
  </si>
  <si>
    <t>p25700687@student.nicmar.ac.in</t>
  </si>
  <si>
    <t>03-Jun-1998</t>
  </si>
  <si>
    <t>9682 5233 0184</t>
  </si>
  <si>
    <t>DURGESH DEVIDAS THAKUR</t>
  </si>
  <si>
    <t>GRADUATE</t>
  </si>
  <si>
    <t>RATNA DURGESH THAKUR</t>
  </si>
  <si>
    <t>GOKUL NAGAR NANDURA ROAD KHAMGAON</t>
  </si>
  <si>
    <t>AK NATIONAL HEIGH SCHOOL KHAMGAON</t>
  </si>
  <si>
    <t>THE MAHARASHTRA STATE BOARD OF SECONDARY AND HIGHER SECONDARY EDUCATION</t>
  </si>
  <si>
    <t>MAULI JR COLLEGE SHEGAON</t>
  </si>
  <si>
    <t>SINHGAD COLLEGE OF ENGINEERING PUNE</t>
  </si>
  <si>
    <t>GURU CONSTRUCTIONS | SITE ENGINEER | KHAMGAON  | Jul 2021 | Aug 2023 | 112.57142857143 Weeks</t>
  </si>
  <si>
    <t>P25700688</t>
  </si>
  <si>
    <t>Abhishek Gokul Thakur</t>
  </si>
  <si>
    <t>abhishekgokulthakur@gmail.com</t>
  </si>
  <si>
    <t>p25700688@student.nicmar.ac.in</t>
  </si>
  <si>
    <t>8552 3289 6053</t>
  </si>
  <si>
    <t>Plot No.112, Lane No.7, Surewadi, Jadhavwadi, Harsul, Aurangabad</t>
  </si>
  <si>
    <t>SENT LAWRENCE MARATHI HIGH SCHOOL, AURANGABAD</t>
  </si>
  <si>
    <t>SHRI SHIVAJI SCIENCE COLLEGE, AMRAVATI</t>
  </si>
  <si>
    <t>Sobha Limited | Site execution intern | Bengaluru  | May 2026 | Jul 2026 | 9 Weeks | Campus Internship
Jogeshwari Construction | Civil Intern | Dhule, Maharashtra | Sep 2024 | Mar 2025 | 29.285714285714 Weeks</t>
  </si>
  <si>
    <t>P25700689</t>
  </si>
  <si>
    <t>ROSHAN</t>
  </si>
  <si>
    <t>SHIKHARE</t>
  </si>
  <si>
    <t>Roshan Suresh Shikhare</t>
  </si>
  <si>
    <t>roshanshikhare084@gmail.com</t>
  </si>
  <si>
    <t>p25700689@student.nicmar.ac.in</t>
  </si>
  <si>
    <t>3289 3982 0672</t>
  </si>
  <si>
    <t>SURESH SHIKHARE</t>
  </si>
  <si>
    <t>Near Desai Wada, Gandhi Chowk, Minche</t>
  </si>
  <si>
    <t>SHRI BALVANTRAO YADAV HIGH SCHOOL, PETH VADGAON</t>
  </si>
  <si>
    <t>SANJAY GHODAWAT POLYTECHNIC, ATIGRE</t>
  </si>
  <si>
    <t>TATYASAHEB KORE INSTITUTE OF ENGINEERING AND TECHNOLOGY, WARANANAGAR</t>
  </si>
  <si>
    <t>AutoCAD,MS Office,MS Project,Primavera,Staad pro,Etaab,CostX</t>
  </si>
  <si>
    <t>SSPA Consulting Engineers |  Structural Design Intern | Pune, Kothrud | Jan 2025 | Apr 2025 | 12.857142857143 Weeks</t>
  </si>
  <si>
    <t>Revit and Staad pro
NSPC
coursera certificate</t>
  </si>
  <si>
    <t>P25700690</t>
  </si>
  <si>
    <t>ARSHAD</t>
  </si>
  <si>
    <t>AYYUB</t>
  </si>
  <si>
    <t>MULANI</t>
  </si>
  <si>
    <t>Arshad Ayyub Mulani</t>
  </si>
  <si>
    <t>mulaniaaofficial@gmail.com</t>
  </si>
  <si>
    <t>p25700690@student.nicmar.ac.in</t>
  </si>
  <si>
    <t>07-Apr-2003</t>
  </si>
  <si>
    <t>6831 7647 6505</t>
  </si>
  <si>
    <t>RETIRED GOVERNMENT DEPUTY ENGINEER</t>
  </si>
  <si>
    <t>AFROJ</t>
  </si>
  <si>
    <t>FLAT NO.H - 303 _x000D_
THIRD FLOOR_x000D_
AMIT BLOOMFIELD_x000D_
BLOCK SECTOR NEAR NAWALE HOSPITAL ROAD, PUNE - BANGLORE HIGHWAY _x000D_
AMBEGAON BK _x000D_</t>
  </si>
  <si>
    <t>Plot No.15,16, Survey No.65/1, Padmavati Nagar Road, Near Airport, Bhadkamkar Nagar, Phaltan -415523</t>
  </si>
  <si>
    <t>MUDHOJI HIGH SCHOOL AND JUNIOR COLLEGE, PHALTAN</t>
  </si>
  <si>
    <t>KOLHAPUR DIVISIONAL BOARD</t>
  </si>
  <si>
    <t>RIZVI COLLEGE OF ARCHITECTURE, MUMBAI, MAHARASHTRA</t>
  </si>
  <si>
    <t>AutoCAD,MS Office,MS Project,Primavera,SketchUp,Rhinoceros 3D,Revit,Archicad,Grasshopper,Dynamo,Lumion,Twinmotion,Enscape,V-Ray,D5 Render,Adobe Photoshop,Adobe Illustrator,Adobe InDesign,Canva,Velux Daylight Visualizer,Model making (physical),CostX</t>
  </si>
  <si>
    <t>AGORA Designers Pvt. Ltd. | Intern Architect | Deccan Gymkhana, Pune | Jan 2024 | May 2024 | 17.571428571429 Weeks</t>
  </si>
  <si>
    <t>Completed â€œShared Heritageâ€ program, Rizvi College of Architecture, Mumbai
Completed â€œProject Admin (Scholar)â€, digiQC Academy â€“ Focus on project administration, documentation, and quality processes
Completed â€œHuman Resources Management Essentialsâ€, Coursera (Johns Hopkins University)
Completed â€œFinance for Non-Financial Managersâ€, Coursera (Emory University)
Completed â€œData Analysisâ€, Coursera (SP Jain Institute of Management &amp; Research)
Completed â€œBusiness Analytics with Excel: Elementary to Advanced Excelâ€, Coursera (Johns Hopkins University)</t>
  </si>
  <si>
    <t>P25700691</t>
  </si>
  <si>
    <t>DHARMENDRA</t>
  </si>
  <si>
    <t>AHIR</t>
  </si>
  <si>
    <t>Vedant Dharmendra Ahir</t>
  </si>
  <si>
    <t>ar.ahirvedant@gmail.com</t>
  </si>
  <si>
    <t>p25700691@student.nicmar.ac.in</t>
  </si>
  <si>
    <t>28-Sep-2002</t>
  </si>
  <si>
    <t>8684 2174 4261</t>
  </si>
  <si>
    <t>DEVELOPER, CIVIL CONTRACTOR.</t>
  </si>
  <si>
    <t>A-302, Jai Sai Dham Society, Sodawala Lane, Borivali West, Mumbai-400092</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</si>
  <si>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</si>
  <si>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</si>
  <si>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</si>
  <si>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</si>
  <si>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AutoCAD,MS Office,MS Project,Primavera,Revit,Photoshop,Endscape,Twinmotion,Sketchup</t>
  </si>
  <si>
    <t>A+ Architects +Planners | Intern Architect | Borivali East, Mumbai | Jan 2024 | Jun 2024 | 25.857142857143 Weeks</t>
  </si>
  <si>
    <t>P25700692</t>
  </si>
  <si>
    <t>MOUNIKA</t>
  </si>
  <si>
    <t>KURMA</t>
  </si>
  <si>
    <t>Mounika Kurma</t>
  </si>
  <si>
    <t>kurma.mounikaaa@gmail.com</t>
  </si>
  <si>
    <t>p25700692@student.nicmar.ac.in</t>
  </si>
  <si>
    <t>2884 3353 5250</t>
  </si>
  <si>
    <t>MOSES KURMA</t>
  </si>
  <si>
    <t>SIRISHA KURMA</t>
  </si>
  <si>
    <t>F - 603, VTP BELAIR, BLUEWATERS TOWNSHIP, PUNE, MAHARASHTRA</t>
  </si>
  <si>
    <t>21-11-61/A, G3, M S Towers, 3rd Lane, Beside SBI ATM, Madhuranagar, Vijayawada, NTR District, Andhra Pradesh</t>
  </si>
  <si>
    <t>SEVENTH DAY ADVENTIST HIGH SCHOOL</t>
  </si>
  <si>
    <t>ANDHRA LOYOLA COLLEGE</t>
  </si>
  <si>
    <t>CHRIST ( DEEMED TO BE UNIVERSITY)</t>
  </si>
  <si>
    <t>CHRIST ( DEEMED TO BE UNIVERSITY), BANGALORE, KARNATAKA</t>
  </si>
  <si>
    <t>AutoCAD,MS Office,MS Project,Primavera,Adobe Photoshop,canva</t>
  </si>
  <si>
    <t>Kamala Farms | Project Operations Intern | Hyderabad | May 2026 | Jul 2026 | 8.7142857142857 Weeks | Campus Internship
Manipal Health Enterprises Private Limited | Project Management &amp; Project Controls | Bangalore | Dec 2023 | Jul 2024 | 30.428571428571 Weeks
S V Associates | Site Execution + Control | Guntur | May 2023 | Jun 2023 | 4.2857142857143 Weeks
S V K CONSTRUCTIONS | Site Execution + Control | Vijayawada | May 2022 | Jun 2022 | 4.1428571428571 Weeks</t>
  </si>
  <si>
    <t>P25700693</t>
  </si>
  <si>
    <t>Vedant Pandharinath Gunjal</t>
  </si>
  <si>
    <t>gunjalvedant5@gmail.com</t>
  </si>
  <si>
    <t>p25700693@student.nicmar.ac.in</t>
  </si>
  <si>
    <t>05-Apr-2002</t>
  </si>
  <si>
    <t>2616 2908 8058</t>
  </si>
  <si>
    <t>Gunjal Vasti, Kelwad KH, Taluka Rahata, Dist. Ahmadnagar.</t>
  </si>
  <si>
    <t>ABHINAV AADRASH HIGH SCHOOL</t>
  </si>
  <si>
    <t>P.DR.V.V.PATIL,POLYTECHNIC , LONI.</t>
  </si>
  <si>
    <t>AutoCAD,MS Office,MS Project,Primavera,sketchup,googleearthpro,Civil3D</t>
  </si>
  <si>
    <t>Aware Constructions | Site Engineer  | Ahmednagar | Jun 2022 | Dec 2022 | 26.142857142857 Weeks</t>
  </si>
  <si>
    <t>P25700695</t>
  </si>
  <si>
    <t>BHAURAHA</t>
  </si>
  <si>
    <t>Durgesh Bhauraha</t>
  </si>
  <si>
    <t>durgeshmishra584@gmail.com</t>
  </si>
  <si>
    <t>p25700695@student.nicmar.ac.in</t>
  </si>
  <si>
    <t>15-Jul-1995</t>
  </si>
  <si>
    <t>4805 8932 3772</t>
  </si>
  <si>
    <t>ASHOK KUMAR</t>
  </si>
  <si>
    <t>2/38 Sector B Priyadarshini Coloney</t>
  </si>
  <si>
    <t>MONTFORT INTER COLLEGE</t>
  </si>
  <si>
    <t>BOARD OF HIGH SCHOOL AND INTERMEDIATE EDUCATION, U.P</t>
  </si>
  <si>
    <t>2010-Jul</t>
  </si>
  <si>
    <t>DR APJ ABDUL KALAM TECHNICAL UNIVERSITY</t>
  </si>
  <si>
    <t>KRISHNA INSTITUTE OF ENGINEERING AND TECHNOLOGY GHAJIABAD UTTARPRADESH</t>
  </si>
  <si>
    <t>MAA BHAVANI CONSTRUCTION | SITE ENGINEER | RAEBARELI UTTARPRADESH | Jun 2018 | Jan 2020 | 1Y 6M | 2.4
M/S JMD INFRASTRUCTURE | CONSULTING ENGINEER | AYODHYA AND RAEBARELI | Feb 2020 | Jun 2022 | 2Y 4M | 3.8</t>
  </si>
  <si>
    <t>3 Years 11 Months</t>
  </si>
  <si>
    <t>autocad ,revit ,staad.</t>
  </si>
  <si>
    <t>P25700696</t>
  </si>
  <si>
    <t>NITESH</t>
  </si>
  <si>
    <t>LAGASHETTY</t>
  </si>
  <si>
    <t>Nitesh A Lagashetty</t>
  </si>
  <si>
    <t>lagashettynitesh@gmail.com</t>
  </si>
  <si>
    <t>p25700696@student.nicmar.ac.in</t>
  </si>
  <si>
    <t>7635 3725 8985</t>
  </si>
  <si>
    <t>H NO 2-907-78-39 MG ROAD NEELAMBIKA NILAYA NEAR SGN COLLEGE LAXMI NAGAR MB NAGAR GULBARGA KALABURAGI</t>
  </si>
  <si>
    <t>KARNATAKA SECONDARY EDUCATION EXAMINATION BOARD, KALABURAGI, KARNATAKA.</t>
  </si>
  <si>
    <t>S BASAVESWAR RESI PU COLLEGE SHARANA NAGAR</t>
  </si>
  <si>
    <t>DEPARTMENT OF PRE-UNIVERSITY EDUCATION KALABURAGI KARNATAKA</t>
  </si>
  <si>
    <t>POOJYA DODDAPPA APPA COLLEGE OF ENGINEERING KALABURAGI KARNATAKA</t>
  </si>
  <si>
    <t>Suryapriya Construction Pvt Ltd | QA/QC intern | Bengaluru | May 2026 | Jul 2026 | 8.7142857142857 Weeks | Campus Internship
HARKUD SHREE BUILDERS | Site Engineer | JAMSHETTY LAYOUT AND NEAR SAI MANDIR KALBURAGI. | Feb 2025 | May 2025 | 12.714285714286 Weeks</t>
  </si>
  <si>
    <t>AUTOCAD CIVIL</t>
  </si>
  <si>
    <t>P25700697</t>
  </si>
  <si>
    <t>BANDE</t>
  </si>
  <si>
    <t>Ritesh Satish Bande</t>
  </si>
  <si>
    <t>riteshbande32@gmail.com</t>
  </si>
  <si>
    <t>p25700697@student.nicmar.ac.in</t>
  </si>
  <si>
    <t>20-Aug-2003</t>
  </si>
  <si>
    <t>ENGLISH,HINDI,MARATHI,KANNADA</t>
  </si>
  <si>
    <t>9250 0918 8353</t>
  </si>
  <si>
    <t>SATISH BANDE</t>
  </si>
  <si>
    <t>RUPALI BANDE</t>
  </si>
  <si>
    <t>32, KuberLaxmi Vihar Near IMS School Jule Solapur</t>
  </si>
  <si>
    <t>EXTERNAL STUDENT (FORM 17)</t>
  </si>
  <si>
    <t>MAHARASHTRA STATE BOARD OF SECONDARY AND HIGHER EDUCATION,PUNE,MAHARASHTRA</t>
  </si>
  <si>
    <t>DIPLOMA IN CIVIL  ENGINEERING</t>
  </si>
  <si>
    <t>A.G.PATIL POLYTECHNIC INSTITUTE , SOLAPUR</t>
  </si>
  <si>
    <t>WALCHAND  INSTITUTE OF TECHNOLOGY</t>
  </si>
  <si>
    <t>RATNAKAR BIRAJDAR ENGINEERS. |  INTERN PROJECT MANAGER | SOLAPUR | Dec 2024 | Apr 2025 | 20 Weeks
Sponsored by Punyashlok Ahilyadevi Holkar Solapur University ,Solapur | Traffic Surveyor | Solapur | Dec 2023 | Feb 2024 | 8.8571428571429 Weeks</t>
  </si>
  <si>
    <t>P25700698</t>
  </si>
  <si>
    <t>KSHITIJ</t>
  </si>
  <si>
    <t>JALGAONKAR</t>
  </si>
  <si>
    <t>Kshitij Manohar Jalgaonkar</t>
  </si>
  <si>
    <t>kshitijjalgaonkar@gmail.com</t>
  </si>
  <si>
    <t>p25700698@student.nicmar.ac.in</t>
  </si>
  <si>
    <t>23-Dec-1999</t>
  </si>
  <si>
    <t>5134 7059 9837</t>
  </si>
  <si>
    <t>MANSEE</t>
  </si>
  <si>
    <t>House No. 582 Rohidas Wadi, Umbarle, Tal- Dapoli, Dist- Ratnagiri</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</si>
  <si>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</si>
  <si>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</si>
  <si>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</si>
  <si>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</si>
  <si>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E I Technologies Private Limited | Assistant Engineer | Bangalore | Jul 2023 | Jul 2025 | 1Y 11M | 2.82</t>
  </si>
  <si>
    <t>Avishkar Developrers | Site Engineer (Trainee) | Dapoli | Dec 2021 | Jan 2022 | 7.4285714285714 Weeks
Avishkar Developrers | Site Engineer (Trainee) | Dapoli | Jun 2021 | Jul 2021 | 8.5714285714286 Weeks</t>
  </si>
  <si>
    <t>P25700699</t>
  </si>
  <si>
    <t>ARNAV</t>
  </si>
  <si>
    <t>VINAY</t>
  </si>
  <si>
    <t>MULGAONKAR</t>
  </si>
  <si>
    <t>Arnav Vinay Mulgaonkar</t>
  </si>
  <si>
    <t>arnavmulgaonkar@gmail.com</t>
  </si>
  <si>
    <t>p25700699@student.nicmar.ac.in</t>
  </si>
  <si>
    <t>12-Nov-2003</t>
  </si>
  <si>
    <t>english, hindi, marathi</t>
  </si>
  <si>
    <t>5100 7496 8615</t>
  </si>
  <si>
    <t>VINAY MULGAONKAR</t>
  </si>
  <si>
    <t>MEGHNA MULGAONKAR</t>
  </si>
  <si>
    <t>ACCENT TRAINER</t>
  </si>
  <si>
    <t>1903, Ashwa Platinum , Din Dayal Upadhyay Marg, Mulund West</t>
  </si>
  <si>
    <t>V.P.M.'S INTERNATIONAL SCHOOL</t>
  </si>
  <si>
    <t>COUNCIL FOR THE INDIAN SCHOOL CERTIFICATE EXAMINATIONS , NEW DELHI</t>
  </si>
  <si>
    <t>WAMAN RAO MURANJAN JUNIOR COLLEGE OF SCIENCE &amp; COMMERCE</t>
  </si>
  <si>
    <t>MAHARASTRA STATE BOARD OF SECONDARY AND HIGHER EDUCATION , PUNE</t>
  </si>
  <si>
    <t>DATTA MEGHE COLLEGE OF ENGINEERING , AIROLI</t>
  </si>
  <si>
    <t>IDEASEse | Intern | Kharghar, Navi Mumbai | Jan 2025 | Feb 2025 | 8.2857142857143 Weeks</t>
  </si>
  <si>
    <t>P25700700</t>
  </si>
  <si>
    <t>CHARUDATTA</t>
  </si>
  <si>
    <t>JOSHI</t>
  </si>
  <si>
    <t>Prathamesh Charudatta Joshi</t>
  </si>
  <si>
    <t>prathameshjoshi424@gmail.com</t>
  </si>
  <si>
    <t>p25700700@student.nicmar.ac.in</t>
  </si>
  <si>
    <t>31-Aug-2000</t>
  </si>
  <si>
    <t>5740 8577 4933</t>
  </si>
  <si>
    <t>CHARUDATTA ANANT JOSHI</t>
  </si>
  <si>
    <t>PLOT NO-20, NIRANJAN HOUSING SOCIETY, KATRAJ-KONDHWA ROAD</t>
  </si>
  <si>
    <t>821 C Ward Chougule Lane Kagal Dist- Kolhapur</t>
  </si>
  <si>
    <t>HOLYDEN ENGLISH MEDIUM SCHOOL, KAGAL</t>
  </si>
  <si>
    <t>MAHARASHTRA STATE BOARD OF SECONDARY AND HIGHER EDUCATION,KOLHAPUR.</t>
  </si>
  <si>
    <t>GOVERNMENT POLYTECHNIC KOLHAPUR. MAHARASHTRA</t>
  </si>
  <si>
    <t>SHIVAJI UNIVERSITY, KOLHAPUR.</t>
  </si>
  <si>
    <t>TATYASAHEB KORE INSTITUTE OF ENGINEERING AND TECHNOLOGY KOLHAPUR. MAHARASHTRA</t>
  </si>
  <si>
    <t>Construction Point.Pvt.Ltd | Junior Planning Engineer | Pune Maharashtra. | Sep 2024 | Jul 2025 | 0Y 9M | 2.64</t>
  </si>
  <si>
    <t>Goa State Infrastructure Development Corporation | Summer Intern- Site Execution | Goa | May 2026 | Jul 2026 | 8.7142857142857 Weeks | Campus Internship
Disha Construction | Civil- Supervisor Intern | Kagal Dist- Kolhapur | Jan 2021 | Mar 2021 | 8.5714285714286 Weeks</t>
  </si>
  <si>
    <t>P25700701</t>
  </si>
  <si>
    <t>SAILEE</t>
  </si>
  <si>
    <t>AJIT</t>
  </si>
  <si>
    <t>SALI</t>
  </si>
  <si>
    <t>Sailee Ajit Sali</t>
  </si>
  <si>
    <t>saileesali1107@gmail.com</t>
  </si>
  <si>
    <t>p25700701@student.nicmar.ac.in</t>
  </si>
  <si>
    <t>11-Jul-2002</t>
  </si>
  <si>
    <t>Hindi, English, Marathi</t>
  </si>
  <si>
    <t>6749 4208 4735</t>
  </si>
  <si>
    <t>AJIT SALI</t>
  </si>
  <si>
    <t>REVENUE DEPT.</t>
  </si>
  <si>
    <t>MANISHA SALI</t>
  </si>
  <si>
    <t>JUDICAIL OFFICER</t>
  </si>
  <si>
    <t>1302, JM Road , Shivajinagar, Pune-411005</t>
  </si>
  <si>
    <t>ST. ANNE'S HIGH SCHOOL, PUNE</t>
  </si>
  <si>
    <t>BHARTI VIDYAPEETH'S JAWAHARLAL NEHRU INSTITUE OF  TECHNOLOGY ( POLYTECHNIC),PUNE</t>
  </si>
  <si>
    <t>SINHGAD INSTITUE OF TECHNOLOGY AND SCIENCE (SITS), PUNE</t>
  </si>
  <si>
    <t>AutoCAD,MS Office,MS Project,Primavera,Cost x,Revit,Naviswork,Ms Excel,Power Point Presentation</t>
  </si>
  <si>
    <t>Boxoffice Space | Execution Intern | Baner,Pune | May 2026 | Jul 2026 | 8.7142857142857 Weeks | Campus Internship
Swastik Developers | Trainee Junior Engineer  | Pune | Aug 2021 | Sep 2021 | 5.5714285714286 Weeks
Pune Municipal Corporation, Pune | Trainee Junior Engineer | Pune Municipal Corporation, Pune | Oct 2024 | Mar 2025 | 25.857142857143 Weeks
Maharashtra Metro Rail Corporation Limited | Trainee Junior Engineer | Pune Metro, Maharashtra | Dec 2023 | Jan 2024 | 4.2857142857143 Weeks</t>
  </si>
  <si>
    <t>P25700702</t>
  </si>
  <si>
    <t>Adarsh Singh</t>
  </si>
  <si>
    <t>adarshsingh4471@gmail.com</t>
  </si>
  <si>
    <t>p25700702@student.nicmar.ac.in</t>
  </si>
  <si>
    <t>7770 4156 3433</t>
  </si>
  <si>
    <t>VIJAY SINGH</t>
  </si>
  <si>
    <t>SERVICES</t>
  </si>
  <si>
    <t>NITU SINGH</t>
  </si>
  <si>
    <t>SOCIAL WORK</t>
  </si>
  <si>
    <t>101 Omkar Enclave , Sant Nagar, _x000D_
Lane No 2 , Lohegaon Wagholi Road ,Lohegaon , Pune, 411047</t>
  </si>
  <si>
    <t>THE CENTRAL BOARD OF SECONDARY EDUCATION</t>
  </si>
  <si>
    <t>S.N.B.P INTERNATIONAL SCHOOL</t>
  </si>
  <si>
    <t>MAHARASTRA STATE BOARD OF  SECONDARY AND HIGHER  SECONDARY EDUCATION</t>
  </si>
  <si>
    <t>DR D.Y. PATIL INSTITUTION OF  TECHNOLOGY , MAHARASHTRA</t>
  </si>
  <si>
    <t>P25700703</t>
  </si>
  <si>
    <t>HIRAL</t>
  </si>
  <si>
    <t>CHAWDA</t>
  </si>
  <si>
    <t>Hiral Chawda</t>
  </si>
  <si>
    <t>hiralchawda001@gmail.com</t>
  </si>
  <si>
    <t>p25700703@student.nicmar.ac.in</t>
  </si>
  <si>
    <t>25-Nov-1994</t>
  </si>
  <si>
    <t>GUJARATI, HINDI, ENGLISH</t>
  </si>
  <si>
    <t>9677 0094 7556</t>
  </si>
  <si>
    <t>DIPAKBHAI RATHOD</t>
  </si>
  <si>
    <t>PRATIMABEN RATHOD</t>
  </si>
  <si>
    <t>C-1108, ALKASA SOCIETY, TARVADEWASTI, HADAPSAR,</t>
  </si>
  <si>
    <t>B-4, Agyeya Nagar, Bilaspur Chhattisgarh</t>
  </si>
  <si>
    <t>MATRUCHAYA KANYA VIDYALAYA - BHUJ</t>
  </si>
  <si>
    <t>GUJARAT SECONDARY &amp; HIGHER SECONDARY EDUCATION BOARD, BHUJ-GUJARAT</t>
  </si>
  <si>
    <t>KRISHNA SCIENCE HIGH SCHOOL</t>
  </si>
  <si>
    <t>GUJARAT SECONDARY &amp; HIGHER SECONDARY EDUCATION BOARD, RAJKOT-GUJARAT</t>
  </si>
  <si>
    <t>VEER NARMAD SOUTH GUJARAT UNIVERSITY, SURAT-GUJARAT</t>
  </si>
  <si>
    <t>SARVAJANIK COLLEGE OF ENGINEERING &amp; TECHNOLOGY, SURAT-GUJARAT</t>
  </si>
  <si>
    <t>AutoCAD,Sketchup,Revit,Lumion,Enscape,Navisworks,MS Project, Primvera</t>
  </si>
  <si>
    <t>vConstruct Private Limited | Project Engineer | Pune | Mar 2020 | Jul 2023 | 3Y 4M | 5.3</t>
  </si>
  <si>
    <t>Ojas Hirani Architects &amp; Engineers | Jr.Architect | Ahmedabad, Gujarat | Feb 2018 | Aug 2018 | 27.857142857143 Weeks
Mamta Shah &amp; Associates | Jr.Architect | Vadodara, Gujarat | Dec 2015 | Nov 2016 | 46.714285714286 Weeks</t>
  </si>
  <si>
    <t>Lean Leadership</t>
  </si>
  <si>
    <t>P25700704</t>
  </si>
  <si>
    <t>JAGDALE</t>
  </si>
  <si>
    <t>Rushikesh Ganesh Jagdale</t>
  </si>
  <si>
    <t>rushikeshjagdale79@gmail.com</t>
  </si>
  <si>
    <t>p25700704@student.nicmar.ac.in</t>
  </si>
  <si>
    <t>09-Aug-2003</t>
  </si>
  <si>
    <t>3776 3365 9577</t>
  </si>
  <si>
    <t>SHILA</t>
  </si>
  <si>
    <t>A/P NIRA TAL PURANDAR DIS PUNE_x000D_</t>
  </si>
  <si>
    <t>At.Nanegaon Post Davarwadi , Dawarwadi, Aurangabad Maharashtra 431107</t>
  </si>
  <si>
    <t>ST. ANN'S ENGLISH MEDIUM SCHOOL LONAND, MAHARASHTRA</t>
  </si>
  <si>
    <t>SHRI SOMESHWAR SHIKSHAN PRASARAK MANDAL'S SOMESHWAR SCIENCE COLLEGE, SOMESHWARNAGAR</t>
  </si>
  <si>
    <t>VIDYA PRATISHTHAN'S COLLEGE OF ENGINEERING, BARAMATI</t>
  </si>
  <si>
    <t>AutoCAD,MS Office,MS Project,Primavera,QGIS (Basic)</t>
  </si>
  <si>
    <t>SHRI SHIRSAI BUILDERS &amp; DEVELOPERS | ENGINEER TRAINEE | JALOCHI BARAMATI | Jan 2024 | Feb 2024 | 5 Weeks</t>
  </si>
  <si>
    <t>NPTEL Online Certification - Design Of Steel Structure
QGIS Training â€“ Spoken Tutorial Project, IIT Bombay</t>
  </si>
  <si>
    <t>P25700705</t>
  </si>
  <si>
    <t>SAI DEEPAK</t>
  </si>
  <si>
    <t>POTNURU</t>
  </si>
  <si>
    <t>Sai Deepak Potnuru</t>
  </si>
  <si>
    <t>saideepakpotnuru@gmail.com</t>
  </si>
  <si>
    <t>p25700705@student.nicmar.ac.in</t>
  </si>
  <si>
    <t>14-Mar-2002</t>
  </si>
  <si>
    <t>English, Telugu, Hindi, Oriya.</t>
  </si>
  <si>
    <t>3618 6547 9369</t>
  </si>
  <si>
    <t>POTNURU SAIBABU</t>
  </si>
  <si>
    <t>POTNURU SUVARNA</t>
  </si>
  <si>
    <t>24-166, Indiranagar Colony, Narasannapeta, Srikakulam, Andhra Pradesh - 532421.</t>
  </si>
  <si>
    <t>SARVANI VIDYALAYA</t>
  </si>
  <si>
    <t>BOARD OF SECONDARY EDUCATION, ANDHRA PRADESH.</t>
  </si>
  <si>
    <t>INDIAN INSTITUTE OF ENGINEERING SCIENCE AND TECHNOLOGY, SHIBPUR</t>
  </si>
  <si>
    <t>AutoCAD, MS Office, MS Project,Primavera,Revit,staadpro, ACC Cloud</t>
  </si>
  <si>
    <t>Ahluwalia Contracts (India) Limited | Project Management Intern  | Delhi | May 2026 | Jul 2026 | 8.7142857142857 Weeks | Campus Internship
APARNA CONSTRUCTIONS AND ESTATES PVT. LTD. | INTERN TRAINEE | HYDERABAD | May 2023 | Jul 2023 | 7.7142857142857 Weeks</t>
  </si>
  <si>
    <t>STADD PRO
AUTOCAD
MS PROJECT
PRIMAVERA
REVIT</t>
  </si>
  <si>
    <t>P25700706</t>
  </si>
  <si>
    <t>SHREYASH</t>
  </si>
  <si>
    <t>GHATE</t>
  </si>
  <si>
    <t>Shreyash Ravindra Ghate</t>
  </si>
  <si>
    <t>shreyashghate631@gmail.com</t>
  </si>
  <si>
    <t>p25700706@student.nicmar.ac.in</t>
  </si>
  <si>
    <t>5023 5384 5839</t>
  </si>
  <si>
    <t>Karla Road , Near Krishna Mandir, Vajurkar Layout, Pipri Meghe , Wradha</t>
  </si>
  <si>
    <t>SCHOOL OF BRILLIANTS</t>
  </si>
  <si>
    <t>MAHARASHTRA STATE BOARD TECHNICAL EDUCATION</t>
  </si>
  <si>
    <t>2019-Nov</t>
  </si>
  <si>
    <t>SINHGAD COLLEGE OF ENGINEERING /PUNE</t>
  </si>
  <si>
    <t>AutoCAD,MS Office,Rivet,StaddPro</t>
  </si>
  <si>
    <t>SIDDHI DEVELOPERS | SITE INTERN | PUNE | Dec 2023 | Jan 2024 | 4.4285714285714 Weeks</t>
  </si>
  <si>
    <t>P25700707</t>
  </si>
  <si>
    <t>YOGESH</t>
  </si>
  <si>
    <t>YESHWANT</t>
  </si>
  <si>
    <t>Desai Yogesh Yeshwant</t>
  </si>
  <si>
    <t>yogeshdesai9370@gmail.com</t>
  </si>
  <si>
    <t>p25700707@student.nicmar.ac.in</t>
  </si>
  <si>
    <t>05-Jun-2002</t>
  </si>
  <si>
    <t>English,Hindi,marathi</t>
  </si>
  <si>
    <t>5264 4194 2740</t>
  </si>
  <si>
    <t>YESHWANT RAOSAHEB DESAI</t>
  </si>
  <si>
    <t>SAVITA YESHWANT DESAI</t>
  </si>
  <si>
    <t>HOISE WIFE</t>
  </si>
  <si>
    <t>H. No. 1-4- 90, Behind Janata Market, Phulenagar, Nanded, Nanded, Maharashtra, 431602</t>
  </si>
  <si>
    <t>CAMBRIDGE VIDYALAYA</t>
  </si>
  <si>
    <t>JSPM'S RSCOE THTHAWADE,PUNE</t>
  </si>
  <si>
    <t>AutoCAD,MS Office,MS Project,Primavera,Sketchup,SWMM,SURFER</t>
  </si>
  <si>
    <t>GIRITIRTH ASSOCIATES | INTERN SITE ENGINEER  | RAVET,PUNE. | Jan 2024 | Jun 2024 | 25.857142857143 Weeks</t>
  </si>
  <si>
    <t>Ethics in engineering pratice
Finance for Non-Financial Managers</t>
  </si>
  <si>
    <t>P25700708</t>
  </si>
  <si>
    <t>SHAM</t>
  </si>
  <si>
    <t>BHADKE</t>
  </si>
  <si>
    <t>Yash Sham Bhadke</t>
  </si>
  <si>
    <t>yashbhadke2003@gmail.com</t>
  </si>
  <si>
    <t>p25700708@student.nicmar.ac.in</t>
  </si>
  <si>
    <t>ENGLISH</t>
  </si>
  <si>
    <t>3881 8789 3835</t>
  </si>
  <si>
    <t>SHAM RAMESH BHADKE</t>
  </si>
  <si>
    <t>SHITAL SHAM BHADKE</t>
  </si>
  <si>
    <t>Chintamani Apartment Jatharpeth Akola</t>
  </si>
  <si>
    <t>BAL SHIVAJI HIGH SCHOOL</t>
  </si>
  <si>
    <t>AKOLA</t>
  </si>
  <si>
    <t>GOVERNMENT POLYTECHNIC AMRAVTI</t>
  </si>
  <si>
    <t>SANT GADGE BABA AMRAVTI UNIVERSITY</t>
  </si>
  <si>
    <t>Majestic Realties | Site Excecution And Project Management  | Pune | May 2026 | Jun 2026 | 7.7142857142857 Weeks | Campus Internship
Pawan Park | Site trainee | Akola | Jun 2024 | Jun 2024 | 4.1428571428571 Weeks</t>
  </si>
  <si>
    <t>P25700709</t>
  </si>
  <si>
    <t>PRERANA</t>
  </si>
  <si>
    <t>SAPKALE</t>
  </si>
  <si>
    <t>Prerana Sapkale</t>
  </si>
  <si>
    <t>preranasapkale03@gmail.com</t>
  </si>
  <si>
    <t>p25700709@student.nicmar.ac.in</t>
  </si>
  <si>
    <t>8190 3377 5554</t>
  </si>
  <si>
    <t>CHANDRAKANT</t>
  </si>
  <si>
    <t>SITE ENGINEER</t>
  </si>
  <si>
    <t>HARIPRIYA</t>
  </si>
  <si>
    <t>SCHOOL PRINCIPAL</t>
  </si>
  <si>
    <t>A-1206, Season Sahara, Near 50-50 Dhaba, Malang Gad Road, KalyanÂ east,Â Thane</t>
  </si>
  <si>
    <t>PODAR INTERNATIONAL SCHOOL, JALGAON</t>
  </si>
  <si>
    <t>CBSE, MAHRASHTRA</t>
  </si>
  <si>
    <t>SHARAD PAWAR PUBLIC SCHOOL</t>
  </si>
  <si>
    <t>CBSE, MAHARASHTRA</t>
  </si>
  <si>
    <t>S.H. JONDHALE POLYTECHNIC</t>
  </si>
  <si>
    <t>MGM COLLEGE OF ENGINEERING AND TECHNOLOGY</t>
  </si>
  <si>
    <t>P25700710</t>
  </si>
  <si>
    <t>DINESH CHANDRA</t>
  </si>
  <si>
    <t>Mule Dinesh Chandra Reddy</t>
  </si>
  <si>
    <t>dineshreddy8261@gmail.com</t>
  </si>
  <si>
    <t>p25700710@student.nicmar.ac.in</t>
  </si>
  <si>
    <t>8936 7609 5284</t>
  </si>
  <si>
    <t>MULE BALAKRISHNA REDDY</t>
  </si>
  <si>
    <t>MULE HARITHA</t>
  </si>
  <si>
    <t>Flat No : 401, Dhanalakshmi Residency, Sai Balaji Gardens, Dhanalakshmi Puram, Nellore</t>
  </si>
  <si>
    <t>Nellore</t>
  </si>
  <si>
    <t>BOARD OF SECONDARY EDUCATION/ ANDHRA PRADESH</t>
  </si>
  <si>
    <t>BOARD OF INTERMEDIATE EDUCATION/ ANDHRA PRADESH</t>
  </si>
  <si>
    <t>L&amp;T | Trainee | Chennai | Jul 2023 | Aug 2023 | 1.5714285714286 Weeks</t>
  </si>
  <si>
    <t>P25700711</t>
  </si>
  <si>
    <t>SOMNATH</t>
  </si>
  <si>
    <t>DAMODAR</t>
  </si>
  <si>
    <t>DEVEKAR</t>
  </si>
  <si>
    <t>Somnath Damodar Devekar</t>
  </si>
  <si>
    <t>somnathdevekar55@gmail.com</t>
  </si>
  <si>
    <t>p25700711@student.nicmar.ac.in</t>
  </si>
  <si>
    <t>Marathi, Hindi &amp; English</t>
  </si>
  <si>
    <t>4190 7587 2863</t>
  </si>
  <si>
    <t>RETIRED TEACHER, FARMING</t>
  </si>
  <si>
    <t>Mauli Home, Near Primary School, Khadak Colony, Basarewadi, Gargoti.</t>
  </si>
  <si>
    <t>MADHYAMIK VIDYALAYA DARWAD</t>
  </si>
  <si>
    <t>CHHATRAPATI SHAHU VIDYALAYA &amp; JUNIOR COLLEGE, KOLHAPUR</t>
  </si>
  <si>
    <t>2022-Feb</t>
  </si>
  <si>
    <t>TATYASAHEB KORE INSTITUTE OF ENGINEERING &amp; TECHNOLOGY</t>
  </si>
  <si>
    <t>Rushikesh Associates | Site engineer | Kolhapur | Feb 2024 | Apr 2024 | 12.428571428571 Weeks</t>
  </si>
  <si>
    <t>sketchup Workshop</t>
  </si>
  <si>
    <t>P25700712</t>
  </si>
  <si>
    <t>Rohan Rajendra Patil</t>
  </si>
  <si>
    <t>patilrohan688@gmail.com</t>
  </si>
  <si>
    <t>p25700712@student.nicmar.ac.in</t>
  </si>
  <si>
    <t>26-May-1999</t>
  </si>
  <si>
    <t>8389 6696 8122</t>
  </si>
  <si>
    <t>RAJENDRA JALINDAR PATIL</t>
  </si>
  <si>
    <t>RAJASHRI</t>
  </si>
  <si>
    <t>Patilwasti, Tandulwadi Road, A/P- Mahim Tal- Sangola Dist- Solapur</t>
  </si>
  <si>
    <t>PVG'S MAHARASHTRA VIDYALAYA PUNE-30</t>
  </si>
  <si>
    <t>MODERN COLLEGE OF ARTS SCIENCE AND COMMERCE SHIVAJINAGAR PUNE.</t>
  </si>
  <si>
    <t>ANNASAHEB DANGE COLLEGE OF ENGINEERING AND TECHNOLOGY, ASHTA</t>
  </si>
  <si>
    <t>T And T Infra Ltd. | Jr. Engineer | Maharashtra | Dec 2021 | Jan 2025 | 3Y 1M | 3.85</t>
  </si>
  <si>
    <t>P25700714</t>
  </si>
  <si>
    <t>PAIDI</t>
  </si>
  <si>
    <t>Paidi Mohan Kumar</t>
  </si>
  <si>
    <t>mohanp1paidi@gmail.com</t>
  </si>
  <si>
    <t>p25700714@student.nicmar.ac.in</t>
  </si>
  <si>
    <t>01-Jul-2004</t>
  </si>
  <si>
    <t>5177 8715 2141</t>
  </si>
  <si>
    <t>PAIDI LAKSHMANA RAO</t>
  </si>
  <si>
    <t>RAILWAY EMPLOYE</t>
  </si>
  <si>
    <t>PAIDI SUNEETHA</t>
  </si>
  <si>
    <t>DOOR NO:20-239/14/7,CARVAL NAGAR,KOTHPALEM,GOPALAPATNAM,VISAKHAPATNAM</t>
  </si>
  <si>
    <t>Door No:2-74,main Street ,Modalavalasa,Srikakulam,Andhra Pradesh-532484</t>
  </si>
  <si>
    <t>BOARD OF SECONDARY EDUCATION ,ANDHRA PRADESH</t>
  </si>
  <si>
    <t>ANDHRA UNIVERSITY COLLEGE OF ENGINEERING,ANDHRA PRADESH</t>
  </si>
  <si>
    <t>MS Project, Primavera, MS Office, AutoCAD, STAAD Pro, Revit, Navisworks, Cost X .</t>
  </si>
  <si>
    <t>Vizag Steel Plant | Intern | Visakhapatnam | May 2024 | Jun 2024 | 3.7142857142857 Weeks</t>
  </si>
  <si>
    <t>P25700715</t>
  </si>
  <si>
    <t>DEULKAR</t>
  </si>
  <si>
    <t>Sahil Rajendra Deulkar</t>
  </si>
  <si>
    <t>sahildeulkar95@gmail.com</t>
  </si>
  <si>
    <t>p25700715@student.nicmar.ac.in</t>
  </si>
  <si>
    <t>3574 0049 2179</t>
  </si>
  <si>
    <t>RAJENDRA KRUSHNARAO DEULKAR</t>
  </si>
  <si>
    <t>GOVERNMENT CONTRACTOR</t>
  </si>
  <si>
    <t>SAVITA RAJENDRA DEULKAR</t>
  </si>
  <si>
    <t>C-203, 2ND FLOOR, ORABELLE BHOOMI INFRACON</t>
  </si>
  <si>
    <t>Shivaji Nagar, Ner Parsopant, Yavatmal, 445102</t>
  </si>
  <si>
    <t>SHANTINIKETAN HIGH SCHOOL, NER, YAVATMAL</t>
  </si>
  <si>
    <t>GOVERNMENT POLYTECHNIC AMRAVATI</t>
  </si>
  <si>
    <t>PIMPRI CHINCHWAD COLLEGE OF ENGINEERING &amp; RESEARCH, RAVET, PUNE</t>
  </si>
  <si>
    <t>AutoCAD,MS Office,MS Project,MH-CIT</t>
  </si>
  <si>
    <t>Know How | Site engineer trainee | Ravet, Pune | Dec 2023 | Jan 2024 | 3.7142857142857 Weeks
Amravati Municipal Corporation, Amravati | Site engineer trainee | Amravati  | Aug 2021 | Sep 2021 | 4.2857142857143 Weeks</t>
  </si>
  <si>
    <t>P25700716</t>
  </si>
  <si>
    <t>SHIKHIL</t>
  </si>
  <si>
    <t>CHAMEL</t>
  </si>
  <si>
    <t>Shikhil Chamel</t>
  </si>
  <si>
    <t>shikhilchamel4273@gmail.com</t>
  </si>
  <si>
    <t>p25700716@student.nicmar.ac.in</t>
  </si>
  <si>
    <t>16-Jun-2001</t>
  </si>
  <si>
    <t>HINDI,ENGLISH</t>
  </si>
  <si>
    <t>9551 1578 7166</t>
  </si>
  <si>
    <t>SANJAY KUMAR CHAMEL</t>
  </si>
  <si>
    <t>CIVIL ENGINEER(GOVT.)</t>
  </si>
  <si>
    <t>RITA CHAMEL</t>
  </si>
  <si>
    <t>39/7, Ward No. -02 ,Prem Vihar ,Shamsherpur(117),Paonta Sahib</t>
  </si>
  <si>
    <t>Sirmaur</t>
  </si>
  <si>
    <t>CENTRAL BOARD OF SECONDARY EDUCATION , SHIMLA ,HIMACHAL PRADESH</t>
  </si>
  <si>
    <t>GRAPHIC ERA , DEHRADUN ,UTTRAKHAND</t>
  </si>
  <si>
    <t>National Highway Authority of India | Trainee  | Ganeshpur, Dehradun | Jun 2022 | Aug 2022 | 6.2857142857143 Weeks
SHARNAGAT CONSTRUCTION PVT. LTD. | Trainee Engineer | Shimla | Dec 2023 | Nov 2024 | 48 Weeks</t>
  </si>
  <si>
    <t>P25700717</t>
  </si>
  <si>
    <t>GHAYTADAK</t>
  </si>
  <si>
    <t>Ritesh Sanjay Ghaytadak</t>
  </si>
  <si>
    <t>riteshghaytadak7@gmail.com</t>
  </si>
  <si>
    <t>p25700717@student.nicmar.ac.in</t>
  </si>
  <si>
    <t>9705 8775 1230</t>
  </si>
  <si>
    <t>SANJAY GHAYTADAK</t>
  </si>
  <si>
    <t>HEMAKSHI GHAYTADAK</t>
  </si>
  <si>
    <t>Babu Park, Near Samarth Hitech Security, Bahirewadi, Warananagar</t>
  </si>
  <si>
    <t>SHREE WARANA VIDYALAY WARANANAGAR</t>
  </si>
  <si>
    <t>AutoCAD,MS Office,MS Project,Primavera,Staad pro,Etaab,Revit,Cost X</t>
  </si>
  <si>
    <t>SSPA Consulting Engineers | Structural design and draftsman | Pune, Kothrud | Jan 2025 | Apr 2025 | 12.857142857143 Weeks</t>
  </si>
  <si>
    <t>3 months of training and internship in AutoCAD
Bentley Staad pro Virtual Internship
Finance for Non - Financial Manager
Foundations of Project Management</t>
  </si>
  <si>
    <t>P25700718</t>
  </si>
  <si>
    <t>SURADKAR</t>
  </si>
  <si>
    <t>Aditya Vinayak Suradkar</t>
  </si>
  <si>
    <t>adityavs1605@gmail.com</t>
  </si>
  <si>
    <t>p25700718@student.nicmar.ac.in</t>
  </si>
  <si>
    <t>16-May-1999</t>
  </si>
  <si>
    <t>3239 3047 7162</t>
  </si>
  <si>
    <t>Flat No. 601, F-wing, Lake Castle Bldg, Opp. Gauripada Talao, Gauripada, Kalyan West, 421301</t>
  </si>
  <si>
    <t>LOURDES HIGH SCHOOL</t>
  </si>
  <si>
    <t>LAXMAN DEVRAM SONAWANE COLLEGE</t>
  </si>
  <si>
    <t>DILKAP RESEARCH INSTITUTE OF ENGINEERING AND MANAGEMENT STUDIES, NERAL</t>
  </si>
  <si>
    <t>AutoCAD, MS Office, MS Project, Primavera P6, Revit Architecture, Cost X, Etabs</t>
  </si>
  <si>
    <t>Kinjal Civilcon LLP | Jr. Planning Engineeer | Kalyan | Mar 2024 | Jul 2025 | 1Y 4M | 2.77</t>
  </si>
  <si>
    <t>Kabi &amp; Assosciates | Contracts &amp; Claim Management Intern  | Delhi | May 2026 | Jul 2026 | 8.7142857142857 Weeks | Campus Internship
Built Charms | Intern | Kalyan | Jun 2021 | Nov 2021 | 26 Weeks</t>
  </si>
  <si>
    <t>P25700719</t>
  </si>
  <si>
    <t>AMRUTANSHU</t>
  </si>
  <si>
    <t>BINDHANI</t>
  </si>
  <si>
    <t>Amrutanshu Bindhani</t>
  </si>
  <si>
    <t>amrutanshubindhani2001@gmail.com</t>
  </si>
  <si>
    <t>p25700719@student.nicmar.ac.in</t>
  </si>
  <si>
    <t>23-Feb-2001</t>
  </si>
  <si>
    <t>English, Hindi, Odia</t>
  </si>
  <si>
    <t>5472 1014 6798</t>
  </si>
  <si>
    <t>HARIHAR BINDHANI</t>
  </si>
  <si>
    <t>RETIRED LECTURER</t>
  </si>
  <si>
    <t>SUMATI BINDHANI</t>
  </si>
  <si>
    <t>At Deulasahi, Ward Number-7, Baripada, Mayurbhanj, Pin-757001, Odisha</t>
  </si>
  <si>
    <t>KENDRIYA VIDYALAYA MURGABADI MAYURBHANJ ODISHA</t>
  </si>
  <si>
    <t>CENTRAL BOARD OF SECONDARY EDUCATION, BARIPADA/ODISHA</t>
  </si>
  <si>
    <t>KENDRIYA VIDYALAYA BARIPADA MAYURBHANJ ODISHA</t>
  </si>
  <si>
    <t>BIJU PATNAIK UNIVERSITY OF TECHNOLOGY</t>
  </si>
  <si>
    <t>GOVERNMENT COLLEGE OF ENGINEERING KEONJHAR/ODISHA</t>
  </si>
  <si>
    <t>HINDUSTAN CONSTRUCTION COMPANY LTD | SITE ENGINEER | RAIGAD, MAHARASTRA | Jul 2023 | Jul 2025 | 2Y 0M | 6.15</t>
  </si>
  <si>
    <t>Auto CAD (Civil)</t>
  </si>
  <si>
    <t>P25700720</t>
  </si>
  <si>
    <t>SHWETA</t>
  </si>
  <si>
    <t>MOHITE</t>
  </si>
  <si>
    <t>Shweta Anil Mohite</t>
  </si>
  <si>
    <t>shwetamohite2025@gmail.com</t>
  </si>
  <si>
    <t>p25700720@student.nicmar.ac.in</t>
  </si>
  <si>
    <t>8371 0595 0677</t>
  </si>
  <si>
    <t>ANIL MOHITE</t>
  </si>
  <si>
    <t>SHUBHANGI MOHITE</t>
  </si>
  <si>
    <t>Amrutnagar, Nawalewadi, Tal. Akole</t>
  </si>
  <si>
    <t>DHRUV  ACADEMY</t>
  </si>
  <si>
    <t>DELHI</t>
  </si>
  <si>
    <t>AGASTI COLLEGE</t>
  </si>
  <si>
    <t>PUNE</t>
  </si>
  <si>
    <t>SAVITRIBAI PHULE UNIVERSITY, PUNE</t>
  </si>
  <si>
    <t>TRINITY COLLEGE OF ARCHITECTURE, PUNE</t>
  </si>
  <si>
    <t>AutoCAD,MS Office,MS Project,Lumion,Enscape,Photoshop,Vray</t>
  </si>
  <si>
    <t>P25700721</t>
  </si>
  <si>
    <t>MAYURI</t>
  </si>
  <si>
    <t>SULABHA</t>
  </si>
  <si>
    <t>SALOKHE</t>
  </si>
  <si>
    <t>Mayuri Sulabha Salokhe</t>
  </si>
  <si>
    <t>salokhemayuri25@gmail.com</t>
  </si>
  <si>
    <t>p25700721@student.nicmar.ac.in</t>
  </si>
  <si>
    <t>06-Feb-2000</t>
  </si>
  <si>
    <t>English , Hindi &amp; Marathi</t>
  </si>
  <si>
    <t>5430 5383 1734</t>
  </si>
  <si>
    <t>SHEELA</t>
  </si>
  <si>
    <t>653 Mafatalal Gate, Navjeevan_x000D_
Waliv_x000D_
Vasai East</t>
  </si>
  <si>
    <t>THE AMBASSADOR HIGH SCHOOL</t>
  </si>
  <si>
    <t>CONSTRUCTION TECHNOLOGY</t>
  </si>
  <si>
    <t>VIVA INSTITUTE OF TECHNOLOGY</t>
  </si>
  <si>
    <t>AutoCAD,MS Office,MS Project,Primavera,3D Sketchup</t>
  </si>
  <si>
    <t>Parekh Integrated Services Private Limited | Executive- Design | Goregaon | Feb 2024 | Jul 2025 | 1Y 5M | 3.48
SAMAQ BUILDER PVT.LTD | Jr. QS Engineer | Chunabhatti | Jul 2023 | Jan 2024 | 0Y 5M | 2.64</t>
  </si>
  <si>
    <t>Wani Projects and Infra Pvt. Ltd. | Site Execution + Control | Pune | May 2026 | Jun 2026 | 8.1428571428571 Weeks | Campus Internship
Aaradhya Associates | Trainee Engineer | Virar | Jun 2022 | Jun 2022 | 4.1428571428571 Weeks
Naman Regency Developers | Site Trainee Engineer | Dockyard Road, Mazgaon | Jun 2019 | Mar 2022 | 143.85714285714 Weeks</t>
  </si>
  <si>
    <t>P25700722</t>
  </si>
  <si>
    <t>DIKE</t>
  </si>
  <si>
    <t>Dike Shruti Mahesh</t>
  </si>
  <si>
    <t>shrutidike15@gmail.com</t>
  </si>
  <si>
    <t>p25700722@student.nicmar.ac.in</t>
  </si>
  <si>
    <t>4864 2282 5871</t>
  </si>
  <si>
    <t>MAHESH SONU DIKE</t>
  </si>
  <si>
    <t>MEGHA MAHESH DIKE</t>
  </si>
  <si>
    <t>Kunal Estate, Flat No. 31, Building No. A3, A-wing, Keshavnagar, Near Morya Gosavi Krida Sankul, Chinchwadgaon, Pune-411033</t>
  </si>
  <si>
    <t>VIDYA NIKETAN ENGLISH MEDIUM SCHOOL, PIMPRI (TATA MOTORS EMPLOYEES EDUCATION TRUST)</t>
  </si>
  <si>
    <t>SHRI FATTECHAND JAIN VIDYALAYA AND JUNIOR COLLEGE, CHINCHWADGAON</t>
  </si>
  <si>
    <t>DR. D.Y. PATIL COLLEGE OF ARCHITECTURE, AKURDI</t>
  </si>
  <si>
    <t>AutoCAD,MS Office,MS Project,Primavera,Sketchup,Revit,Photoshop,Lumion,Enscape</t>
  </si>
  <si>
    <t>Integrid Design | Junior Architect | Pune | Dec 2024 | Jul 2025 | 0Y 7M | 1.8</t>
  </si>
  <si>
    <t>Architect Hafeez Contractor | Architect Intern | Mumbai | Jul 2023 | Nov 2023 | 20 Weeks</t>
  </si>
  <si>
    <t>P25700723</t>
  </si>
  <si>
    <t>M JAYENDRA</t>
  </si>
  <si>
    <t>SARATCHANDRA</t>
  </si>
  <si>
    <t>M Jayendra Saratchandra</t>
  </si>
  <si>
    <t>jayendraman530@gmail.com</t>
  </si>
  <si>
    <t>p25700723@student.nicmar.ac.in</t>
  </si>
  <si>
    <t>01-Nov-2003</t>
  </si>
  <si>
    <t>6881 6215 4937</t>
  </si>
  <si>
    <t>MANGALAMPALLI SRINIVAS</t>
  </si>
  <si>
    <t>CENTRAL GOVT. EMPLOYEE</t>
  </si>
  <si>
    <t>M V S SUBHA</t>
  </si>
  <si>
    <t>259/1, NORTH COLONY, I.C.F., PERAMBUR</t>
  </si>
  <si>
    <t>Plot No 25 (southern Part), Vidyanagar, Nadukuthagai, Tiruninravur</t>
  </si>
  <si>
    <t>KENDRIYA VIDYALAYA O.C.F. AVADI</t>
  </si>
  <si>
    <t>KENDRIYA VIDYALAYA ANNA NAGAR</t>
  </si>
  <si>
    <t>SASTRA UNIVERSITY, THANJAVUR</t>
  </si>
  <si>
    <t>AutoCAD,MS Office,MS Project,Primavera,BIM,AnSYS</t>
  </si>
  <si>
    <t>LARSEN &amp; TOUBRO LIMITED | INTERN TRAINEE | INNOVATION CAMPUS SITE, MANAPAKKAM, CHENNAI 600089 | Jun 2023 | Jun 2023 | 1.8571428571429 Weeks</t>
  </si>
  <si>
    <t>P25700724</t>
  </si>
  <si>
    <t>BHALCHANDRA</t>
  </si>
  <si>
    <t>BAGWE</t>
  </si>
  <si>
    <t>Harsh Bhalchandra Bagwe</t>
  </si>
  <si>
    <t>hbagwe03@gmail.com</t>
  </si>
  <si>
    <t>p25700724@student.nicmar.ac.in</t>
  </si>
  <si>
    <t>MARATHI, HINDI &amp; ENGLISH</t>
  </si>
  <si>
    <t>3590 6433 6935</t>
  </si>
  <si>
    <t>BHALCHANDRA BAGWE</t>
  </si>
  <si>
    <t>BHAKTI BAGWE</t>
  </si>
  <si>
    <t>-</t>
  </si>
  <si>
    <t>27/20, B.D.D. CHAWL, GANPAT JADHAV MARG, NEAR DOORDARSHAN, WORLI, MUMBAI</t>
  </si>
  <si>
    <t>A/201, SIDDHIVINAYAK TOWER, OPPOSITE EXPERT SCHOOL, Y.K. NAGAR.N.X, VIRAR WEST</t>
  </si>
  <si>
    <t>MAHARASHTRA STATE BOARD OF SECONDARY AND HIGHER SECONDARY EDUCATION, VIRAR</t>
  </si>
  <si>
    <t>VIDYAVARDHINI'S BHAUSAHEB VARTAK POLYTECHNIC, VASAI</t>
  </si>
  <si>
    <t>L.R. TIWARI COLLEGE OF ENGINEERING</t>
  </si>
  <si>
    <t>BHARAT PETROLEUM CORPORATION LTD. | APPRENTICE JUNIOR ENGINEER | BANDRA KURLA COMPLEX | Sep 2024 | Jul 2025 | 46.285714285714 Weeks
VIJAY GURAV AND ASSOCIATES | JUNIOR ENGINEER | VIRAR | Jun 2023 | Jul 2023 | 4.1428571428571 Weeks
SAC PARADISE | JUNIOR ENGINEER | DOMBIVLI | Jun 2022 | Jul 2022 | 3.5714285714286 Weeks</t>
  </si>
  <si>
    <t>PROFICIENT IN AUTOCAD</t>
  </si>
  <si>
    <t>P25700725</t>
  </si>
  <si>
    <t>NIKITA</t>
  </si>
  <si>
    <t>KHANDU</t>
  </si>
  <si>
    <t>CHAVAN</t>
  </si>
  <si>
    <t>Nikita Khandu Chavan</t>
  </si>
  <si>
    <t>chavan.nikita0987@gmail.com</t>
  </si>
  <si>
    <t>p25700725@student.nicmar.ac.in</t>
  </si>
  <si>
    <t>25-Apr-1999</t>
  </si>
  <si>
    <t>5714 3372 5533</t>
  </si>
  <si>
    <t>KHANDU LAXMAN CHAVAN</t>
  </si>
  <si>
    <t>CHHAYA KHANDU CHAVAN</t>
  </si>
  <si>
    <t>GANGOTRI APARTMENT, OMKAR COLONY, NEAR GANESH MANDIR, DANGE CHOWK, PUNE.</t>
  </si>
  <si>
    <t>Chavan House, Vadaj-Parundhe Road, Vadaj, Tel. Junnar. Pune</t>
  </si>
  <si>
    <t>INDIAN EDUCATION SOCIETY SECONDARY SCHOOL, BHANDUP</t>
  </si>
  <si>
    <t>DR. D.Y. PATIL PRATISHTHAN'S Y.B. PATIL POLYTECHNIC, AKURDI</t>
  </si>
  <si>
    <t>JSPM'S IMPERIAL COLLEGE OF ENGINEERING AND RESEARCH, WAGHOLI</t>
  </si>
  <si>
    <t>AutoCAD,MS Office,MS Project,Primavera,Screaming Frog,Costx,BIM Fundamentals,Canva</t>
  </si>
  <si>
    <t>Clariwell Global Services | Digital Marketing Executive | Pune | Apr 2023 | Nov 2023 | 0Y 7M | 1.92
Futurism Technologies Pvt. Ltd. | Associate Digital Marketing Executive | Futurism Campus, 1/1, Hinjawadi Phase 1 Rd, Phase 1, Hinjawadi Rajiv Gandhi Infotech Park, MIDC, Pune, Pimpri-Chinchwad, Maharashtra 411057 | Nov 2023 | Jul 2025 | 1Y 8M | 2.79</t>
  </si>
  <si>
    <t>Sprng Energy Private Limited (Shell Group) | Project Management Intern  | Magarpatta City, Pune  | May 2026 | Jul 2026 | 8.5714285714286 Weeks | Campus Internship</t>
  </si>
  <si>
    <t>P25700727</t>
  </si>
  <si>
    <t>Prajwal Mahesh Nikam</t>
  </si>
  <si>
    <t>prajwalnikam9404@gmai.com</t>
  </si>
  <si>
    <t>p25700727@student.nicmar.ac.in</t>
  </si>
  <si>
    <t>5582 2006 6722</t>
  </si>
  <si>
    <t>MAHESH NIKAM</t>
  </si>
  <si>
    <t>MANSI NIKAM</t>
  </si>
  <si>
    <t>Near Z.p. School, Mayani Road, Nagewadi.</t>
  </si>
  <si>
    <t>BHARATI VIDYAPEETH'S ENGLISH MEDIUM HIGH SCHOOL, VITA.</t>
  </si>
  <si>
    <t>PIMPRI CHINCHWAD POLYTECHNIC, NIGDI.</t>
  </si>
  <si>
    <t>DR. D.Y.PATIL INSTITUTE OF ENGINEERING,MANAGEMENT AND RESEARCH, AKURDI.</t>
  </si>
  <si>
    <t>R.K. DEVELOPERS | INTERN SITE ENGINEER  | PIMPRI CHINCHWAD | Jan 2024 | Feb 2024 | 4.4285714285714 Weeks</t>
  </si>
  <si>
    <t>P25700729</t>
  </si>
  <si>
    <t>PASHMINA</t>
  </si>
  <si>
    <t>BANSI</t>
  </si>
  <si>
    <t>POPALI</t>
  </si>
  <si>
    <t>Pashmina Bansi Popali</t>
  </si>
  <si>
    <t>pashminapopali2712@gmail.com</t>
  </si>
  <si>
    <t>p25700729@student.nicmar.ac.in</t>
  </si>
  <si>
    <t>8692 0473 6789</t>
  </si>
  <si>
    <t>BANSI POPALI</t>
  </si>
  <si>
    <t>POOJA POPALI</t>
  </si>
  <si>
    <t>STANZA LIVING, WACO HOUSE, BALEWADI, PUNE</t>
  </si>
  <si>
    <t>Tagore Square, Beside Shyaam Bhavan, Wani</t>
  </si>
  <si>
    <t>D.A.V PUBLIC SCHOOL, NEELJAY, WANI</t>
  </si>
  <si>
    <t>CBSE - MAHARASHTRA</t>
  </si>
  <si>
    <t>SWARNLEELA INTERNATIONAL SCHOOL, WANI</t>
  </si>
  <si>
    <t>RTMNU, NAGPUR</t>
  </si>
  <si>
    <t>PRIYADARSHINI INSTITUTE OF ARCHITECTURE &amp; DESIGN STUDIES, NAGPUR</t>
  </si>
  <si>
    <t>AutoCAD,MS Office,MS Project,Primavera,SketchUp,Lumion,Enscape,Photoshop,Illustration,CostX,Revit</t>
  </si>
  <si>
    <t>Anarock Property Consultants  | Sourcing and Closing | Mumbai | May 2026 | Jul 2026 | 9.5714285714286 Weeks | Campus Internship
Saptak Patel Architects. Ahmedabad | Architectural Intern | Ahmedabad | Dec 2023 | Apr 2024 | 15.714285714286 Weeks</t>
  </si>
  <si>
    <t>P25700730</t>
  </si>
  <si>
    <t>DIPEN</t>
  </si>
  <si>
    <t>HEMENDRA</t>
  </si>
  <si>
    <t>BALDANIA</t>
  </si>
  <si>
    <t>Dipen Hemendra Baldania</t>
  </si>
  <si>
    <t>baldaniadipen@gmail.com</t>
  </si>
  <si>
    <t>p25700730@student.nicmar.ac.in</t>
  </si>
  <si>
    <t>8440 2129 8163</t>
  </si>
  <si>
    <t>HEMENDRA BALDANIYA</t>
  </si>
  <si>
    <t>BHAVNA BALDANIYA</t>
  </si>
  <si>
    <t>Plot - 265, Ward - 2/B, Adipur, Gandhidham</t>
  </si>
  <si>
    <t>Kutch</t>
  </si>
  <si>
    <t>AMARCHAND SINGHVI INTERNATIONAL SCHOOL</t>
  </si>
  <si>
    <t>CENTRAL BOARD OF SECONDARY EDUCATION GUJARAT</t>
  </si>
  <si>
    <t>ST. ANN'S SCHOOL</t>
  </si>
  <si>
    <t>PARUL UNIVERSITY</t>
  </si>
  <si>
    <t>PARUL INSTITUTE OF ENGINEERING &amp; TECHNOLOGY</t>
  </si>
  <si>
    <t>Integrated Design for Buildings with MIDAS/Gen: Beginner Level
AutoCAD 2D and 3D</t>
  </si>
  <si>
    <t>P25700731</t>
  </si>
  <si>
    <t>NANDAN</t>
  </si>
  <si>
    <t>H N</t>
  </si>
  <si>
    <t>Nandan H N</t>
  </si>
  <si>
    <t>nandhanraju07@gmail.com</t>
  </si>
  <si>
    <t>p25700731@student.nicmar.ac.in</t>
  </si>
  <si>
    <t>17-Apr-2000</t>
  </si>
  <si>
    <t>KANNADA,ENGLISH,HINDI</t>
  </si>
  <si>
    <t>9833 2861 4624</t>
  </si>
  <si>
    <t>NARASIMHAIAH H M</t>
  </si>
  <si>
    <t>RETIRED HEAD MASTER</t>
  </si>
  <si>
    <t>INDIRAMMA H S</t>
  </si>
  <si>
    <t>Keshava Nagar Sira Tumakuru Karnataka 572137</t>
  </si>
  <si>
    <t>Tumkur</t>
  </si>
  <si>
    <t>THE PRESIDENCY PUBLIC SCHOOL</t>
  </si>
  <si>
    <t>INDIAN CERTIFICATE OF SECONDARY EDUCATION SIRA KARNATAKA</t>
  </si>
  <si>
    <t>PRESIDENCY PU COLLEGE</t>
  </si>
  <si>
    <t>REVA UNIVERSITY BENGALURU KARNATAKA</t>
  </si>
  <si>
    <t>AutoCAD,MS Office,MS Project,Primavera,SAP,ERP TOOL</t>
  </si>
  <si>
    <t>Jagannatha C.V | Site Engineer | Sira | Oct 2021 | Oct 2023 | 1Y 11M | 3
Manjushree Technopack Limited | Purchase Engineer | Bengaluru | Oct 2023 | Aug 2025 | 1Y 10M | 4.85</t>
  </si>
  <si>
    <t>HINDUSTAN AERONAUTICS LIMITED | INTERN | BENGALURU | Jun 2019 | Jul 2019 | 2 Weeks</t>
  </si>
  <si>
    <t>Coursera-Financial Markets
Coursera-Java Programming
Reva University</t>
  </si>
  <si>
    <t>P25700732</t>
  </si>
  <si>
    <t>TALEKAR</t>
  </si>
  <si>
    <t>Talekar Sahil Chandrashekhar</t>
  </si>
  <si>
    <t>sahiltalekar2001@gmail.com</t>
  </si>
  <si>
    <t>p25700732@student.nicmar.ac.in</t>
  </si>
  <si>
    <t>English Hindi Marathi</t>
  </si>
  <si>
    <t>8417 9064 8935</t>
  </si>
  <si>
    <t>SHRUTIKA</t>
  </si>
  <si>
    <t>Om Shree Sai A-Wing Room No-07 Building No-3,Near Hdfc Bank Kalwa (w)</t>
  </si>
  <si>
    <t>SARASWATI VIDYALAYA HIGH SCHOOL AND JUNIOR COLLEGE OF SCIENCE</t>
  </si>
  <si>
    <t>MAHARASHTRA STATE BOARD OF SECONDARY AND HIGHER SECONDARY EDUCATION ,MAHARASHTRA</t>
  </si>
  <si>
    <t>MUCHHALA POLYTECHNIC , MAHARASHTRA</t>
  </si>
  <si>
    <t>A.P.SHAH INSTITUTE OF TECHNOLOGY , MAHARASHTRA</t>
  </si>
  <si>
    <t>Sunrise Housing Construction LTD | Junior Civil Engineer | Santacruz , Mumbai  | Feb 2024 | Jul 2025 | 1Y 5M | 3.25</t>
  </si>
  <si>
    <t>Tatkare's All In One Solutions | Junior Engineer | Kalwa,Thane | Sep 2022 | Oct 2022 | 4.2857142857143 Weeks
Dosti Group | Junior Engineer | Balkum , Thane | May 2019 | Jun 2019 | 5.8571428571429 Weeks</t>
  </si>
  <si>
    <t>P25700733</t>
  </si>
  <si>
    <t>KUSHAL</t>
  </si>
  <si>
    <t>WANKHEDE</t>
  </si>
  <si>
    <t>Kushal Ravindra Wankhede</t>
  </si>
  <si>
    <t>kp5635874@gmail.com</t>
  </si>
  <si>
    <t>p25700733@student.nicmar.ac.in</t>
  </si>
  <si>
    <t>5957 2753 0371</t>
  </si>
  <si>
    <t>RAVINDRA WANKHEDE</t>
  </si>
  <si>
    <t>BA</t>
  </si>
  <si>
    <t>GAYATRI WANKHEDE</t>
  </si>
  <si>
    <t>Plot No. 10 Dharmaraj Nagar Korit Road, Tal. Dist. Nandurbar Pin 425412</t>
  </si>
  <si>
    <t>EKLAVYA VIDYALAY, NANDURBAR</t>
  </si>
  <si>
    <t>J G NATAWADKAR COLLEGE, NANDURBAR</t>
  </si>
  <si>
    <t>SANDIP FOUNDATION, SANDIP INSTITUTE OF ENGINEERING AND MANAGEMENT, MAHIRAVANI, NASHIK</t>
  </si>
  <si>
    <t>Desai Construction Private Limited | Site Execution and Control | Vapi | May 2026 | Jul 2026 | 8.5714285714286 Weeks | Campus Internship
D V Patil Construction, Nandurbar | Road Construction | Nandurbar | Mar 2024 | Apr 2024 | 2.1428571428571 Weeks</t>
  </si>
  <si>
    <t>P25700734</t>
  </si>
  <si>
    <t>SONU</t>
  </si>
  <si>
    <t>Sonu Kumar</t>
  </si>
  <si>
    <t>sonu.kr_@outlook.com</t>
  </si>
  <si>
    <t>p25700734@student.nicmar.ac.in</t>
  </si>
  <si>
    <t>06-May-1998</t>
  </si>
  <si>
    <t>English,  Hindi, Angika</t>
  </si>
  <si>
    <t>5318 5162 9754</t>
  </si>
  <si>
    <t>KISHOR KUMAR</t>
  </si>
  <si>
    <t>FARMERS CUM PVT TEACHER</t>
  </si>
  <si>
    <t>BOBY DEVI</t>
  </si>
  <si>
    <t>HOME MAKER CUM PVT TEACHER</t>
  </si>
  <si>
    <t>Ward 8 Naokothi Begusarai Bihar</t>
  </si>
  <si>
    <t>A P S HIGH SCHOOL NAOKOTHI</t>
  </si>
  <si>
    <t>BIHAR SCHOOL EXAMINATION BOARD</t>
  </si>
  <si>
    <t>S.S.M.R.J.D.I COLLEGE BISNUPURBEGUSARAI</t>
  </si>
  <si>
    <t>VIT UNIVERSITY VELLORE</t>
  </si>
  <si>
    <t>VELLORE INSTITUTE OF TECHNOLOGY,  VELLORE</t>
  </si>
  <si>
    <t>AutoCAD, Primavera P6, MS Project, CostX, Road Estimator, ERP, MS Office | Basic: Autodesk Revit (BIM), Navisworks, Civil 3D.</t>
  </si>
  <si>
    <t>Rajshyama Constructions Pvt Ltd | Engineer Billing Planning | Bikaner | Nov 2020 | Jan 2022 | 1Y 2M | 2.16
Arcons Infrastructures and Constructions Private Limited | Engineer Billing and Planning | Nagpur | Feb 2022 | Jul 2025 | 3Y 5M | 6</t>
  </si>
  <si>
    <t>4 Years 7 Months</t>
  </si>
  <si>
    <t>NBCC (India) Limited | Project Intern | Greater Noida,West,Uttar Pradesh | May 2026 | Jul 2026 | 9.7142857142857 Weeks | Campus Internship
IOCL | Vocational Trainee  | BARAUNI  | Jun 2018 | Jul 2018 | 4.1428571428571 Weeks</t>
  </si>
  <si>
    <t>Finance for Everyone: Markets
Six Sigma and the Organization (Advanced)
Six Sigma Green Belt-By Kennesaw State University, Coursera
Introduction to Generative AI Learning Path by Google Cloud Training,Coursera
Planning &amp; Control with Oracle Primavera PPM Professional by Packt , Coursera
Construction Management: Safety and Health By LinkedIn Learning
Project Admin (Scholar) by digiQC
Ethics in Engineering Practice by NPTEL
Construction Techniques and Practices by L&amp;T EduTech, Coursera
Career Success Specialization Online course by UC Irvine, Coursera</t>
  </si>
  <si>
    <t>P25700735</t>
  </si>
  <si>
    <t>KHILWANI</t>
  </si>
  <si>
    <t>Nandini Khilwani</t>
  </si>
  <si>
    <t>khilwani.nandini@gmail.com</t>
  </si>
  <si>
    <t>p25700735@student.nicmar.ac.in</t>
  </si>
  <si>
    <t>ENGLISH, HINDI, MARATHI, SINDHI</t>
  </si>
  <si>
    <t>5394 9961 0042</t>
  </si>
  <si>
    <t>SANJAY KHILWANI</t>
  </si>
  <si>
    <t>TAX CONSULTANT</t>
  </si>
  <si>
    <t>ARCHANA KHILWANI</t>
  </si>
  <si>
    <t>443 TREASURE TOWN_x000D_
BIJALPUR</t>
  </si>
  <si>
    <t>THE NEW DIGAMBER PUBLIC SCHOOL</t>
  </si>
  <si>
    <t>ANNIE BESANT SCHOOL</t>
  </si>
  <si>
    <t>SCHOOL OF ARCHITECTURE, IPS ACADEMY, INDORE</t>
  </si>
  <si>
    <t>AutoCAD,MS Office,MS Project,Photoshop,Sketchup,Vray,Enscape,Revit,Rhino &amp; Grasshopper,Lumion</t>
  </si>
  <si>
    <t>ARCHITECT RUSHIKESH H. | Junior Architect | Mumbai | Jul 2024 | Jul 2025 | 1Y 0M | 3.39
The Synetics Design Studio | Part-time Junior Architect | Indore, Madhya Pradesh | Apr 2022 | Mar 2023 | 0Y 11M | 1.44</t>
  </si>
  <si>
    <t>Bhaskar Wagle &amp; Associates | Full-time Intern | Panjim, Goa | Jun 2023 | Nov 2023 | 24.857142857143 Weeks</t>
  </si>
  <si>
    <t>P25700736</t>
  </si>
  <si>
    <t>ANANDKUMAR</t>
  </si>
  <si>
    <t>Omkar Anandkumar Koli</t>
  </si>
  <si>
    <t>omkarkoli7298@gmail.com</t>
  </si>
  <si>
    <t>p25700736@student.nicmar.ac.in</t>
  </si>
  <si>
    <t>07-Feb-1998</t>
  </si>
  <si>
    <t>3526 8232 7070</t>
  </si>
  <si>
    <t>ANANDKUMAR SATYAPPA KOLI</t>
  </si>
  <si>
    <t>RETIRED GOVERNMENT OFFICER(EXECUTIVE ENGINEER)</t>
  </si>
  <si>
    <t>BHAGYASHREE ANANDKUMAR KOLI</t>
  </si>
  <si>
    <t>B-302,radhakrishna Complex,sector-12,plot-29,kharghar, Navi Mumbai</t>
  </si>
  <si>
    <t>BAL BHARATI PUBLIC SCHOOL</t>
  </si>
  <si>
    <t>CBSE , NAVI MUMBAI</t>
  </si>
  <si>
    <t>GREENFINGERS GLOBAL SCHOOL</t>
  </si>
  <si>
    <t>CBSE ,NAVI MUMBAI</t>
  </si>
  <si>
    <t>PILLAI HOC COLLEGE OF ENGINEERING &amp; TECHNOLOGY , MAHARASHTRA</t>
  </si>
  <si>
    <t>PUBLIC WORKS DEPARTMENT(GOVERNMENT OF MAHARASHTRA) | Trainee | mumbai | Jun 2019 | Jul 2019 | 4.1428571428571 Weeks</t>
  </si>
  <si>
    <t>P25700737</t>
  </si>
  <si>
    <t>SAMPAT</t>
  </si>
  <si>
    <t>SHEDGE</t>
  </si>
  <si>
    <t>Aishwarya Sampat Shedge</t>
  </si>
  <si>
    <t>aishwaryashedge18@gmail.com</t>
  </si>
  <si>
    <t>p25700737@student.nicmar.ac.in</t>
  </si>
  <si>
    <t>18-Apr-1999</t>
  </si>
  <si>
    <t>English HIndi Marathi</t>
  </si>
  <si>
    <t>5041 9178 1106</t>
  </si>
  <si>
    <t>Chandrangan Society Phase 5 Flat No. 24 Ambegaon Pathar</t>
  </si>
  <si>
    <t>PUNE CAMBRIDGE PUBLIC SCHOOL &amp; JUNIOR COLLEGE</t>
  </si>
  <si>
    <t>BHIVRABAI SAWANT COLLEGE OF ENGINEERING &amp; RESEARCH, NARHE PUNE</t>
  </si>
  <si>
    <t>ACME STRUCTURAL CONSULTANTS | Trainee Design Engineer  | PUNE | Aug 2024 | Jul 2025 | 0Y 11M | 1.8</t>
  </si>
  <si>
    <t>ACME STRUCTURAL CONSULTANTS | DESIGN ENGINEER TRAINEE | PUNE | Jan 2023 | Apr 2023 | 13.714285714286 Weeks</t>
  </si>
  <si>
    <t>P25700739</t>
  </si>
  <si>
    <t>SIDDHI</t>
  </si>
  <si>
    <t>HANWATE</t>
  </si>
  <si>
    <t>Siddhi Kishor Hanwate</t>
  </si>
  <si>
    <t>siddhihanwate2003@gmail.com</t>
  </si>
  <si>
    <t>p25700739@student.nicmar.ac.in</t>
  </si>
  <si>
    <t>15-Jul-2003</t>
  </si>
  <si>
    <t>4540 6333 2065</t>
  </si>
  <si>
    <t>Shewanta Park Lane No 2 Near Bharat Dhaba Dhanori Pune-411015</t>
  </si>
  <si>
    <t>AGRASEN HIGH SCHOOL</t>
  </si>
  <si>
    <t>NOWROSJEE WADIA COLLEGE PUNE 411 001</t>
  </si>
  <si>
    <t>MAHARASHTRA HIGHER SECONDARY CERTIFICATE EXAMINATION</t>
  </si>
  <si>
    <t>ALL INDIA SHRI SHIVAJI MEMORIAL SOCIETY'S  COLLEGE OF ENGINEERING , PUNE 411001</t>
  </si>
  <si>
    <t xml:space="preserve">AutoCAD,MS Office,MS Project,Microsoft Excel, Revit, Naviswork, Power BI </t>
  </si>
  <si>
    <t>Boxoffice Space | Execution Intern | Pune  | May 2026 | Jul 2026 | 8.7142857142857 Weeks | Campus Internship
Haardhik Impulse | Junior engineer Intern | Moshi Pune  | Dec 2023 | Jan 2024 | 4.4285714285714 Weeks</t>
  </si>
  <si>
    <t>Data Analysis
Project Admin (Scholar) DigiQc
NPTEL Ethics in Engineering Practice (Elite)
NPTEL Structural Analysis
Finance for Non-Financial Managers</t>
  </si>
  <si>
    <t>P25700740</t>
  </si>
  <si>
    <t>YUKTA</t>
  </si>
  <si>
    <t>Yukta Ramchandra Shinde</t>
  </si>
  <si>
    <t>yuktashinde1234@gmail.com</t>
  </si>
  <si>
    <t>p25700740@student.nicmar.ac.in</t>
  </si>
  <si>
    <t>03-Jan-2000</t>
  </si>
  <si>
    <t>7596 1178 2286</t>
  </si>
  <si>
    <t>RAMCHANDRA SOPAN SHINDE</t>
  </si>
  <si>
    <t>SHOBHANA RAMCHANDRA SHINDE</t>
  </si>
  <si>
    <t>MUKTAI ROWHOUSE NO 4 SR NO 61/1A VEDANT KUNJIR COLONY PIMPLE SAUDAGAR PUNE 411027</t>
  </si>
  <si>
    <t>DR KALMADI SHAMARAO HIGH SCHOOL</t>
  </si>
  <si>
    <t>NOWROSJEE WADIA COLLEGE</t>
  </si>
  <si>
    <t>SAVITRI BAI PHULE UNIVERSITY</t>
  </si>
  <si>
    <t>PIMPRI CHINCHWAD COLLEGE OF ENGINEERING AND REASEARCH</t>
  </si>
  <si>
    <t>AutoCAD,MS Office,REVIT,STADDPRO</t>
  </si>
  <si>
    <t>P25700741</t>
  </si>
  <si>
    <t>Ashish Ganesh Swami</t>
  </si>
  <si>
    <t>ashishswami321@gmail.com</t>
  </si>
  <si>
    <t>p25700741@student.nicmar.ac.in</t>
  </si>
  <si>
    <t>14-Sep-2000</t>
  </si>
  <si>
    <t>9496 5450 6006</t>
  </si>
  <si>
    <t>GANESH BABANRAO SWAMI</t>
  </si>
  <si>
    <t>HIGHSCHOOL TEACHER</t>
  </si>
  <si>
    <t>URMILA GANESH SWAMI</t>
  </si>
  <si>
    <t>A105, DHARTI GREEN SOCIETY, BHUMKAR CHOWK, TATHAWADE, PUNE</t>
  </si>
  <si>
    <t>Bankatswami Nagar, Canal Road, Near ABC Kids School, Beed.</t>
  </si>
  <si>
    <t>SHRI SHIVAJI VIDYALAYA, BEED.</t>
  </si>
  <si>
    <t>BEED/MAHARASHTRA</t>
  </si>
  <si>
    <t>SHRI BANKATSWAMI MAHAVIDYALAYA, BEED.</t>
  </si>
  <si>
    <t>BEED/MAHARASTRA</t>
  </si>
  <si>
    <t>JSPM'S RAJARSHI SHAHU COLLEGE OF ENGINEERING, PUNE-033.</t>
  </si>
  <si>
    <t>AutoCAD,MS Office,MS Project,Primavera,Stadd pro,CostX,Revit</t>
  </si>
  <si>
    <t>Sankalp Contracts Private Limited | Junior Engineer | Y1Et Hinjewadi Phase 2 | May 2024 | Jul 2025 | 1Y 2M | 4.1</t>
  </si>
  <si>
    <t>Vilas Javdekar Developers | Intern | Y1Et-Hinjewadi phase 2 | Nov 2023 | Apr 2024 | 23.142857142857 Weeks</t>
  </si>
  <si>
    <t>NPTEL-Ethics in Engineering Practice
Coursera-Finance for Non-Financial Managers, Emory University.</t>
  </si>
  <si>
    <t>P25700742</t>
  </si>
  <si>
    <t>HRISHIKESH</t>
  </si>
  <si>
    <t>RAVIRAO</t>
  </si>
  <si>
    <t>GHOGARE</t>
  </si>
  <si>
    <t>Hrishikesh Ravirao Ghogare</t>
  </si>
  <si>
    <t>hrishighogare44@gmail.com</t>
  </si>
  <si>
    <t>p25700742@student.nicmar.ac.in</t>
  </si>
  <si>
    <t>03-Jan-2001</t>
  </si>
  <si>
    <t>3807 2156 4932</t>
  </si>
  <si>
    <t>RAVIRAO BHASKARAO GHOGARE</t>
  </si>
  <si>
    <t>Dr. Ghogare Hospital Opposite SBI Bank Rahata, Nagar Manmad Highway, Rahata</t>
  </si>
  <si>
    <t>PRAVARA PUBLIC SCHOOL</t>
  </si>
  <si>
    <t>UPADHYE COLLEGE OF SCIENCE</t>
  </si>
  <si>
    <t>SAVITRIBAI PHULE PUNE UNIVERSITY, PUNE, MAHARASHTRA</t>
  </si>
  <si>
    <t>PRAVARA RURAL EDUCATION SOCIETY'S COLLEGE OF ARCHITECTURE</t>
  </si>
  <si>
    <t>AutoCAD,MS Office,MS Project,Revit,3D Max,SketchUp,Photoshop</t>
  </si>
  <si>
    <t>interarch Associates | Jr. Architect | Nashik | Aug 2022 | Nov 2022 | 13.428571428571 Weeks</t>
  </si>
  <si>
    <t>P25700743</t>
  </si>
  <si>
    <t>Ashwini Rajesh Shinde</t>
  </si>
  <si>
    <t>ashwinishindeas7@gmail.com</t>
  </si>
  <si>
    <t>p25700743@student.nicmar.ac.in</t>
  </si>
  <si>
    <t>07-Jul-1999</t>
  </si>
  <si>
    <t>ENGLISH,HINDI, MARATHI</t>
  </si>
  <si>
    <t>9243 3997 6683</t>
  </si>
  <si>
    <t>SANGEETA</t>
  </si>
  <si>
    <t>Hotel Matoshree Executive, Kaswaji Road, Poonam Chowk Near Union Bank</t>
  </si>
  <si>
    <t>VIDYA NIKETAN HIGH SCHOOL ,PANCHGANI</t>
  </si>
  <si>
    <t>D.Y.PATIL SCHOOL OF ARCHITECTURE, AMBI,PUNE</t>
  </si>
  <si>
    <t>AutoCAD,MS Office,MS Project,Enscape,photoshop,ms tools,Sketchup</t>
  </si>
  <si>
    <t>Kalpataru limited | Planning  | Santacruz E, Mumbai | May 2026 | Jul 2026 | 9.5714285714286 Weeks | Campus Internship
LIVSPACE | INTERIOR DESIGNER  | PUNE | Jan 2024 | Sep 2024 | 32.857142857143 Weeks
PROJECT ARCHITECTS | ARCHITECT | PASHAN, PUNE | Jul 2022 | Dec 2022 | 19.142857142857 Weeks</t>
  </si>
  <si>
    <t>P25700744</t>
  </si>
  <si>
    <t>AMAAN</t>
  </si>
  <si>
    <t>RIYAJAHMED</t>
  </si>
  <si>
    <t>Amaan Riyajahmed Attar</t>
  </si>
  <si>
    <t>amaanattar0157@gmail.com</t>
  </si>
  <si>
    <t>p25700744@student.nicmar.ac.in</t>
  </si>
  <si>
    <t>12-Sep-2002</t>
  </si>
  <si>
    <t>2660 2745 5514</t>
  </si>
  <si>
    <t>PARVIN</t>
  </si>
  <si>
    <t>B506 , ATRIUM SKYWARD UNDRI</t>
  </si>
  <si>
    <t>202, S B PEACE CORNER, ASARA CHOWK , Solapur</t>
  </si>
  <si>
    <t>CHHATRAPATI SHIVAJI MAHARAJ COLLEGE OF ARTS AND SCIENCE</t>
  </si>
  <si>
    <t>DR BABASAHEB AMBEDKAR TECHNOLOGICAL UNIVERSITY</t>
  </si>
  <si>
    <t>A G PATIL INSTITUTE OF TECHNOLOGY</t>
  </si>
  <si>
    <t>AutoCAD,MS Office,MS Project,Estimation,Design drafting,BOQ,Quantity Estimation,Excel</t>
  </si>
  <si>
    <t>Nyati Group  | Project Management Intern | Pune | May 2026 | Jul 2026 | 7.8571428571429 Weeks | Campus Internship
MAULI ENTERPRISES | SITE ENGINEER | SOLAPUR  | Feb 2024 | May 2024 | 15.714285714286 Weeks
AIESEC | Business Development associate | Pune | Aug 2022 | Jan 2023 | 26.142857142857 Weeks
Yash Consultancy | Site engineer  | Solapur  | Jan 2023 | Jan 2024 | 52.142857142857 Weeks</t>
  </si>
  <si>
    <t>P25700745</t>
  </si>
  <si>
    <t>RAMHARI</t>
  </si>
  <si>
    <t>NISHAD</t>
  </si>
  <si>
    <t>Rahul Ramhari Nishad</t>
  </si>
  <si>
    <t>rahul942374@gmail.com</t>
  </si>
  <si>
    <t>p25700745@student.nicmar.ac.in</t>
  </si>
  <si>
    <t>ENGLISH, MARATHI, HINDI &amp; JAPANESE</t>
  </si>
  <si>
    <t>6398 8151 7233</t>
  </si>
  <si>
    <t>RAMHARI NISHAD</t>
  </si>
  <si>
    <t>743/2b 4th Lane Shahupuri Kolhapur</t>
  </si>
  <si>
    <t>SEVENTH DAY ADVENTIST HIGHER SECONDARY ISCE / ISC SCHOOL</t>
  </si>
  <si>
    <t>KOLHAPUR / MAHARASHTRA</t>
  </si>
  <si>
    <t>HANUMANT RAO CHATE JR COLLEGE</t>
  </si>
  <si>
    <t>D Y PATIL COLLEGE OF ENGINEERING AND TECHNOLOGY</t>
  </si>
  <si>
    <t>AutoCAD,MS Office,MS Project,Primavera,Sketch Up,Revit,Adobe Photoshop,Adobe Premiere Pro,Adobe After Effects</t>
  </si>
  <si>
    <t>Neelkanth Builders | Site Engineer | Kolhapur, Maharashtra | Aug 2023 | Jul 2025 | 1Y 11M | 1.52</t>
  </si>
  <si>
    <t>P25700746</t>
  </si>
  <si>
    <t>FATIMA</t>
  </si>
  <si>
    <t>BACHA</t>
  </si>
  <si>
    <t>Fatima Bacha</t>
  </si>
  <si>
    <t>fbacha174@gmail.com</t>
  </si>
  <si>
    <t>p25700746@student.nicmar.ac.in</t>
  </si>
  <si>
    <t>English, Hindi , Urdu , Kashmiri</t>
  </si>
  <si>
    <t>7240 1309 8490</t>
  </si>
  <si>
    <t>GUL MUHAMMAD BACHA</t>
  </si>
  <si>
    <t>REHANA AKHTAR</t>
  </si>
  <si>
    <t>STANZA LIVING WACO,NEAR MOZE COLLEGE,PUNE, MAHARASHTRA.</t>
  </si>
  <si>
    <t>Upper Aspeer Sopore</t>
  </si>
  <si>
    <t>Srinagar</t>
  </si>
  <si>
    <t>ST.JOSEPH'S HIGHER SECONDARY SCHOOL</t>
  </si>
  <si>
    <t>JAMMU AND KASHMIR</t>
  </si>
  <si>
    <t>2015-Nov</t>
  </si>
  <si>
    <t>2016-Nov</t>
  </si>
  <si>
    <t>2018-Nov</t>
  </si>
  <si>
    <t>VISVESVARAYA TECHNOLOGICAL UNIVERSITY (VTU)</t>
  </si>
  <si>
    <t>SIR M. VISVESVARAYA INSTITUTE OF TECHNOLOGY ,BENGALURU</t>
  </si>
  <si>
    <t>AutoCAD,MS Office,MS Project,Cubicost Tas,Cubicost TRB,Microsoft 365,QGIS</t>
  </si>
  <si>
    <t>DataCorp Traffic Private Limited | Junior Traffic Engineer | Bengaluru | Jun 2024 | Jun 2025 | 0Y 11M | 3.6</t>
  </si>
  <si>
    <t>KPMG India | Summer Intern- Transformaton-MPA | Mumbai | May 2026 | Jun 2026 | 7.5714285714286 Weeks | Campus Internship
R&amp;B Public Works Department | Student Intern | Sopore, Jammu&amp; Kashmir ,India | Aug 2023 | Sep 2023 | 4.4285714285714 Weeks</t>
  </si>
  <si>
    <t>Finance For Non- Financial Managers- EMORY University
Excel Skills Job Simulation-JPMorgan Chase &amp; Co.</t>
  </si>
  <si>
    <t>P25700747</t>
  </si>
  <si>
    <t>VISHAL</t>
  </si>
  <si>
    <t>Vishal Vinod Mishra</t>
  </si>
  <si>
    <t>vishalmishraji02@gmail.com</t>
  </si>
  <si>
    <t>p25700747@student.nicmar.ac.in</t>
  </si>
  <si>
    <t>5146 2667 3369</t>
  </si>
  <si>
    <t>VINOD MISHRA</t>
  </si>
  <si>
    <t>MEERA MISHRA</t>
  </si>
  <si>
    <t>103 -A Wing Dharma Galaxy Gurawalipada Titwala East</t>
  </si>
  <si>
    <t>I.E.S NEW ENGLISH SCHOOL</t>
  </si>
  <si>
    <t>PATUCK COLLEGE OF SCIENCE</t>
  </si>
  <si>
    <t>VIVA COLLEGE</t>
  </si>
  <si>
    <t>A. P. SHAH INSTITUTE OF TECHNOLOGY THANE</t>
  </si>
  <si>
    <t>JAY ENTERPRISES construction and engineering | Junior Site Engineer  | Thane/Dombivali | May 2023 | Jul 2024 | 1Y 2M | 1.8
Puneet Urban Scpaces | Junior Engineer | Kurla  | Aug 2024 | Jul 2025 | 0Y 11M | 4.2</t>
  </si>
  <si>
    <t>GAUR ROAD TAR COAT PVT. LTD. | Junior engineer | Jabalpur | May 2021 | Aug 2021 | 14.571428571429 Weeks
SANJAY CONSTRUCTION | JUNIOR ENGINEER  | VIRAR | May 2019 | Aug 2019 | 15.285714285714 Weeks</t>
  </si>
  <si>
    <t>P25700748</t>
  </si>
  <si>
    <t>BATHARAJU</t>
  </si>
  <si>
    <t>Batharaju Rakesh</t>
  </si>
  <si>
    <t>rakeshbatharaju@gmail.com</t>
  </si>
  <si>
    <t>p25700748@student.nicmar.ac.in</t>
  </si>
  <si>
    <t>25-Oct-2000</t>
  </si>
  <si>
    <t>ENGLISH,HINDHI,TELUGU</t>
  </si>
  <si>
    <t>5917 0123 8559</t>
  </si>
  <si>
    <t>BATHARAJU SAILU</t>
  </si>
  <si>
    <t>BATHARAJU VIJAYALAXMI</t>
  </si>
  <si>
    <t>Flat.no.201,ashtalakshmi Residency ,margadharshini Colony Rdno.6, Kothapet</t>
  </si>
  <si>
    <t>DILSHUKNAGAR PUBLIC  SCHOOL</t>
  </si>
  <si>
    <t>BOARD OF SECONDARY EDUCATION : TELANGANA</t>
  </si>
  <si>
    <t>CHURCH OF SOUTH INDIAN INSTITUTE OF TECHNOLOGY</t>
  </si>
  <si>
    <t>AutoCAD,MS Office,MS Project,Primavera,Photoshop,enscape,sketchup,revit,adobe premiere pro,canva,lumion,power point</t>
  </si>
  <si>
    <t>VMV CONSULTANTS | Jr .Architect | hyderabad | Aug 2023 | Sep 2024 | 1Y 1M | 3</t>
  </si>
  <si>
    <t>aparna consultants | Jr.Architect | Hyderabad | Aug 2022 | Jan 2023 | 19.142857142857 Weeks</t>
  </si>
  <si>
    <t>sketchup and lumion software.</t>
  </si>
  <si>
    <t>P25700749</t>
  </si>
  <si>
    <t>BHURA</t>
  </si>
  <si>
    <t>Rohit Bhura Patil</t>
  </si>
  <si>
    <t>rohitbp1801@gmail.com</t>
  </si>
  <si>
    <t>p25700749@student.nicmar.ac.in</t>
  </si>
  <si>
    <t>07-Nov-2001</t>
  </si>
  <si>
    <t>8068 7848 6231</t>
  </si>
  <si>
    <t>BHURA INDA PATIL</t>
  </si>
  <si>
    <t>Plot No. 22 Gokarn Society Deopur Dhule. Maharashtra</t>
  </si>
  <si>
    <t>SSS PARIWAR HIFH SCHOOL AARVI DHULE</t>
  </si>
  <si>
    <t>SAVITRIBAI PHULE PUNE UNIVERSITY , PUNE , MAHARASHTRA</t>
  </si>
  <si>
    <t>SINHGAD ACADEMY OF ENGINEERING , PUNE MAHARASHTRA .</t>
  </si>
  <si>
    <t>AutoCAD,MS Office,MS Project,Primavera,Excel,Costx,Revit,BIM</t>
  </si>
  <si>
    <t>Cognizant Technology Solutions India Private Limited | Programmer Analyst | pune | Dec 2023 | Aug 2025 | 1Y 8M | 4.31</t>
  </si>
  <si>
    <t>New Consolidated Construction Co. Ltd. | Civil Intern | Seawoods , Navi Mumbai  | May 2026 | Jul 2026 | 8.5714285714286 Weeks | Campus Internship
COGNIZANT TECHNOLOGY SOLUTIONS INDIA PRIVATE LIMITED | GEN-C | CHENNAI | Sep 2023 | Dec 2023 | 10.857142857143 Weeks
Mahalaxmi Developer | Intern  | Saswad | Mar 2022 | Apr 2022 | 6.1428571428571 Weeks</t>
  </si>
  <si>
    <t>P25700750</t>
  </si>
  <si>
    <t>PALAK</t>
  </si>
  <si>
    <t>VITHLANI</t>
  </si>
  <si>
    <t>Palak Hitesh Vithlani</t>
  </si>
  <si>
    <t>palvithlani7@gmail.com</t>
  </si>
  <si>
    <t>p25700750@student.nicmar.ac.in</t>
  </si>
  <si>
    <t>7275 1355 7053</t>
  </si>
  <si>
    <t>HITESH VITHLANI</t>
  </si>
  <si>
    <t>RAKHI VITHLANI</t>
  </si>
  <si>
    <t>Tilak Society, Veraval</t>
  </si>
  <si>
    <t>Gir Somnath</t>
  </si>
  <si>
    <t>THE ADITYA BIRLA PUBLIC SCHOOL, VERAVAL</t>
  </si>
  <si>
    <t>NIOS</t>
  </si>
  <si>
    <t>LOK JAGRUTI KENDRA UNIVERSITY, AHMEDABAD</t>
  </si>
  <si>
    <t>L.J.SCHOOL OF ARCHITECTURE, AHMEDABAD</t>
  </si>
  <si>
    <t>AutoCAD,MS Office,MS Project,Primavera,SketchUp,Photoshop</t>
  </si>
  <si>
    <t>BHAJAN INFRATECH PVT. LTD. | Project Manager Intern | Surat | May 2026 | Jun 2026 | 7.7142857142857 Weeks | Campus Internship
ARCHIMEDES CONSULTANT PVT LTD | INTERN | AHMEDABAD | Jan 2025 | Apr 2025 | 13.428571428571 Weeks
TRANQUIL , THE DESIGN WAVE | INTERN | AHMEDABAD | Jun 2023 | Oct 2023 | 19.285714285714 Weeks</t>
  </si>
  <si>
    <t>AI in Project Management
Agile Project Management Foundation
Power BI Essential Training, by Gini von Courter
Construction Finance Fundamentals
Project Management: Energy and Water Projects</t>
  </si>
  <si>
    <t>P25700751</t>
  </si>
  <si>
    <t>BORATE</t>
  </si>
  <si>
    <t>Soham Dashrath Borate</t>
  </si>
  <si>
    <t>boratesoham1@gmail.com</t>
  </si>
  <si>
    <t>p25700751@student.nicmar.ac.in</t>
  </si>
  <si>
    <t>18-Feb-2004</t>
  </si>
  <si>
    <t>8236 8680 6233</t>
  </si>
  <si>
    <t>Malawadi Subdistrict:Man</t>
  </si>
  <si>
    <t>MIT VISHWASHANTI GURUKUL SCHOOL PANDHARPUR</t>
  </si>
  <si>
    <t>KOTA COLLEGE OF SCIENCE KARAD</t>
  </si>
  <si>
    <t>MAHARASHTRA STATE BOARD OF SECONDARY AND HIGHER SECONDARY BOARD</t>
  </si>
  <si>
    <t>SAVITRIBAI PHULE PUNE UNIVESSITY</t>
  </si>
  <si>
    <t>DY PATIL COLLEGE OF ENGINEERING AKURDI</t>
  </si>
  <si>
    <t>Omkar Construction Vaduj | Site Engineer | Satara | Dec 2023 | Jan 2024 | 6.7142857142857 Weeks</t>
  </si>
  <si>
    <t>Becoming an SAP Professional
Data Analysis
Construction Equipment Maintenance &amp; Safety
Finance for Non-Financial Managers</t>
  </si>
  <si>
    <t>P25700752</t>
  </si>
  <si>
    <t>MAHALAKSHMI</t>
  </si>
  <si>
    <t>BIDARI</t>
  </si>
  <si>
    <t>Mahalakshmi Prakash Bidari</t>
  </si>
  <si>
    <t>pbmaha5141@gmail.com</t>
  </si>
  <si>
    <t>p25700752@student.nicmar.ac.in</t>
  </si>
  <si>
    <t>ENGLISH,KANNADA,HINDI</t>
  </si>
  <si>
    <t>5646 4179 6055</t>
  </si>
  <si>
    <t>PRAKASH BIDARI</t>
  </si>
  <si>
    <t>NAYANA BIDARI</t>
  </si>
  <si>
    <t>House No887 Near Shivalaya Ramtheerth Nagar Belgaum</t>
  </si>
  <si>
    <t>KITTUR RANI CHANNAMMA RESIDENTIAL SAINIK SCHOOL</t>
  </si>
  <si>
    <t>MAHESH PU COLLEGE BELGAUM</t>
  </si>
  <si>
    <t>GOVT. OF KARNATAKA, DEPARTMENT OF PRE-UNIVERSITY EDUCATION, KARNATAKA</t>
  </si>
  <si>
    <t>VISHVESVARAYA TECHNOLOGICAL UNIVERSITY,BELGAUM</t>
  </si>
  <si>
    <t>GOGTE INSTITUTE OF TECHNOLOGY BELGAUM</t>
  </si>
  <si>
    <t>AutoCAD,MS Office,SKETCHUP,LUMION,PHOTOSHOP,CANVA,MSP,MS word</t>
  </si>
  <si>
    <t>Suryapriya Construction Private Limited | Project Management . | Banglore | May 2026 | Jul 2026 | 8.7142857142857 Weeks | Campus Internship
Khuba Architects | Mahalakshmi P Bidari | Banglore | Feb 2023 | Jun 2023 | 15.714285714286 Weeks</t>
  </si>
  <si>
    <t>UI/UX</t>
  </si>
  <si>
    <t>P25700753</t>
  </si>
  <si>
    <t>VISPUTE</t>
  </si>
  <si>
    <t>Ajinkya Umakant Vispute</t>
  </si>
  <si>
    <t>ajinkyavispute2001@gmail.com</t>
  </si>
  <si>
    <t>p25700753@student.nicmar.ac.in</t>
  </si>
  <si>
    <t>23-Apr-2001</t>
  </si>
  <si>
    <t>5350 8438 0096</t>
  </si>
  <si>
    <t>UMAKANT VIJAY VISPUTE</t>
  </si>
  <si>
    <t>SWATI UMAKANT VISPUTE</t>
  </si>
  <si>
    <t>CONSULTANT</t>
  </si>
  <si>
    <t>FLAT NO.3 BUILDING NO, F1 GIRIJA SHANKAR VIHAR SOCIETY, KARVE NAGAR PUNE</t>
  </si>
  <si>
    <t>Flat No. 3 Anand Majestry Rundavan Colony Ambad Link Road Nashik</t>
  </si>
  <si>
    <t>BOYS' TOWN PUBLIC SCHOOL</t>
  </si>
  <si>
    <t>2007-Mar</t>
  </si>
  <si>
    <t>NASHIK MAHARASHTRA</t>
  </si>
  <si>
    <t>SINHGAD INSTITUTE OF TECHNOLOGY AND SCIENCE NARHE, PUNE, MAHARASHTRA</t>
  </si>
  <si>
    <t>AutoCAD,MS Office,MS Project,Intership STAAD.PRO,ETABS.2018</t>
  </si>
  <si>
    <t>Millennium Engineers and Contractors Pvt. Ltd Pune | Site Execution  | Baner Pune Maharashtra | Apr 2024 | Aug 2025 | 1Y 3M | 3.9</t>
  </si>
  <si>
    <t>P25700754</t>
  </si>
  <si>
    <t>THITE</t>
  </si>
  <si>
    <t>Jay Dnyaneshwar Thite</t>
  </si>
  <si>
    <t>jaythite1000@gmail.com</t>
  </si>
  <si>
    <t>p25700754@student.nicmar.ac.in</t>
  </si>
  <si>
    <t>26-Dec-2000</t>
  </si>
  <si>
    <t>3018 0343 9784</t>
  </si>
  <si>
    <t>A/p. Bhose (k), Tal. Pandharpur, Dist. Solapur</t>
  </si>
  <si>
    <t>YASHWANT VIDHYALAYA BHOSE</t>
  </si>
  <si>
    <t>KARMAVEER BHAURAO PATIL MAHAVIDYALAYA, PANDHARPUR</t>
  </si>
  <si>
    <t>D. Y. PATIL COLLEGE OF ENGINEERING &amp; TECHNOLOGY, KASABA BAWADA, KOLHAPUR</t>
  </si>
  <si>
    <t>B. G. Shirke Construction Technology Pvt Ltd, Pune | Trainee Engineer- Civil | Tathawade Phase 2, Pune | Nov 2023 | Mar 2024 | 0Y 4M | 1.92
Pragati Construction, Pune | Junior Engineer | Akkalkot, Solapur | Apr 2024 | Jul 2025 | 1Y 3M | 3.6</t>
  </si>
  <si>
    <t>Larsen &amp; Toubro Energy Hydrocarbon (LTEH) | Construction Management Intern | L&amp;T Knowledge City, Vadodara, Gujarat | May 2026 | Jun 2026 | 8.1428571428571 Weeks</t>
  </si>
  <si>
    <t>P25700755</t>
  </si>
  <si>
    <t>NILESH</t>
  </si>
  <si>
    <t>NIKHADE</t>
  </si>
  <si>
    <t>Nilesh Dilip Nikhade</t>
  </si>
  <si>
    <t>nileshnikhade2019@gmail.com</t>
  </si>
  <si>
    <t>p25700755@student.nicmar.ac.in</t>
  </si>
  <si>
    <t>23-May-2000</t>
  </si>
  <si>
    <t>6443 3345 4905</t>
  </si>
  <si>
    <t>NICMAR UNIVERSITY, BALEWADI, PUNE.</t>
  </si>
  <si>
    <t>Vaijapur Gramin 1, Vaijapur Rural, Aurangabad,vaijapur.</t>
  </si>
  <si>
    <t>NEW HIGH SCHOOL, VAIJAPUR.</t>
  </si>
  <si>
    <t>SANJIVANI COLLEGE OF ENGINEERING, KOPARGAON, MAHARASHTRA</t>
  </si>
  <si>
    <t>SINHAGAD ACADEMY OF ENGINEERING, KONDHWA, MAHARASHTRA.</t>
  </si>
  <si>
    <t>AutoCAD,MS Office,MS Project,Primavera,Cost X,BIM</t>
  </si>
  <si>
    <t>Amazon Development Centre (India) Private Limited | Product Compliance Associate â€“ TSE | Pune  | Jul 2022 | Jan 2025 | 2Y 6M | 5.8</t>
  </si>
  <si>
    <t>P25700281</t>
  </si>
  <si>
    <t>Atul Vinod Saroj</t>
  </si>
  <si>
    <t>atulsaroj85@gmail.com</t>
  </si>
  <si>
    <t>p25700281@student.nicmar.ac.in</t>
  </si>
  <si>
    <t>13-May-1998</t>
  </si>
  <si>
    <t>2763 2199 9288</t>
  </si>
  <si>
    <t>VINOD SAROJ</t>
  </si>
  <si>
    <t>SHEELA VINOD SAROJ</t>
  </si>
  <si>
    <t>Room No. 306 Jivdani Darshan Building, Opppsite Mehta Pharmaceutical Industries Kopri Naka, Virar East.</t>
  </si>
  <si>
    <t>NEW MODEL ENGLISH HIGH SCHOOL</t>
  </si>
  <si>
    <t>PATUCK TECHNICAL HIGH SCHOOL &amp; JR. COLLEGE</t>
  </si>
  <si>
    <t>DIPLOMA IN CIVIL ENGIINEERING</t>
  </si>
  <si>
    <t>LOVELY PROFESSIONAL UNIVERSITY, PHAGWARA/PUNJAB</t>
  </si>
  <si>
    <t>LOVELY PROFESSIONAL UNIVERSITY</t>
  </si>
  <si>
    <t>AutoCAD,P6,CostX,MS Project,Revit Arch,Staad Pro,Navis work,DGQC,MS Excel</t>
  </si>
  <si>
    <t>Umiya Associates | Junior Engineer | Mumbai | Jul 2022 | Jun 2025 | 2Y 11M | 4.44
Xpressbees | Associate Executive-Admin | Surat | Apr 2021 | Jul 2022 | 1Y 3M | 2.4</t>
  </si>
  <si>
    <t>New Consolidated Construction Company Limited (NCCCL) | Intern-Planning | Mumbai Maharashtra | May 2026 | Jul 2026 | 8.5714285714286 Weeks | Campus Internship</t>
  </si>
  <si>
    <t>P25700325</t>
  </si>
  <si>
    <t>JAMGADE</t>
  </si>
  <si>
    <t>Harsh Sunil Jamgade</t>
  </si>
  <si>
    <t>harshjamgade03@gmail.com</t>
  </si>
  <si>
    <t>p25700325@student.nicmar.ac.in</t>
  </si>
  <si>
    <t>03-Apr-2002</t>
  </si>
  <si>
    <t>ENGLISH, MARATHI, AND HINDI</t>
  </si>
  <si>
    <t>2812 0492 1127</t>
  </si>
  <si>
    <t>SHAH LAYOUT, FETRI, KALMESHWAR ROAD, NAGPUR 441501</t>
  </si>
  <si>
    <t>WARD NO.1 MAHURZARI KALMESWAR ROAD NAGPUR RURAL</t>
  </si>
  <si>
    <t>BHAVAN'S B.P. VIDYA MANDIR, ASHTI</t>
  </si>
  <si>
    <t>CENTRAL BOARD OF SECONDARY EDUCATION (CBSE),NEW DELHI</t>
  </si>
  <si>
    <t>CENTRAL BOARD OF SECONDARY EDUCATION (CBSE), NEW DELHI</t>
  </si>
  <si>
    <t>YESHWANTRAO CHAVAN COLLEGE OF ENGINEERING (YCCE), NAGPUR</t>
  </si>
  <si>
    <t>AutoCAD,MS Office,MS Project,Primavera,QGIS,ArcGIS,MS Excel,Power BI</t>
  </si>
  <si>
    <t>SHREE CONSTRUCTION | CIVIL ENGINEERING INTERN | NAGPUR  | Jan 2024 | Apr 2024 | 17.142857142857 Weeks</t>
  </si>
  <si>
    <t>GIS Basics
Getting Started with Mapping and Visualization
Getting Started with Imagery and Remote Sensing
ArcGIS Pro Basics
ArcGIS Online Basics
Power BI: Data Modeling and Data Analysis
Power BI: Data Analytics and Data Preparation
PowerBI for Beginners: Data transformation
Power BI: Data Secure, Governance, and Workspace Management
Finance for Non-Financial Managers
Estimating Fundamentals
Data-Driven Decision- Making for Agile Organizations
Geospatial Techniques for Engineers
Google Project Management</t>
  </si>
  <si>
    <t>P25700367</t>
  </si>
  <si>
    <t>DWARSALA</t>
  </si>
  <si>
    <t>Dwarsala Mohit Reddy</t>
  </si>
  <si>
    <t>mohit2002777@gmail.com</t>
  </si>
  <si>
    <t>p25700367@student.nicmar.ac.in</t>
  </si>
  <si>
    <t>English , Hindi , Telugu</t>
  </si>
  <si>
    <t>8076 7418 2771</t>
  </si>
  <si>
    <t>DWARSALA SREE RAM MANOHAR REDDY</t>
  </si>
  <si>
    <t>GAJJALA SUDHA</t>
  </si>
  <si>
    <t>Flat.no -502 , Garudadhri Residency , Opposite To P.F .Office , Kadapa</t>
  </si>
  <si>
    <t>BOARD OF SECONDARY EDUCATION , ANDHRA PRADESH</t>
  </si>
  <si>
    <t>LARSEN &amp; TOUBRO | Project Planning Trainee  | Chennai  | May 2026 | Jul 2026 | 8 Weeks | Campus Internship
VNB Constructions | In Plant Trainee  | Kadapa | Aug 2022 | Sep 2022 | 2.5714285714286 Weeks
L&amp;T EduTech | Trainee | Chennai  | Jul 2023 | Aug 2023 | 1.5714285714286 Weeks</t>
  </si>
  <si>
    <t>Finance for Non-Finance Managers by Emory University
Construction Equipment and Techniques by LNT EduTech</t>
  </si>
  <si>
    <t>P25700694</t>
  </si>
  <si>
    <t>DANISH</t>
  </si>
  <si>
    <t>IRFAN</t>
  </si>
  <si>
    <t>PATHAN</t>
  </si>
  <si>
    <t>Danish Irfan Pathan</t>
  </si>
  <si>
    <t>danishpathan064@gmail.com</t>
  </si>
  <si>
    <t>p25700694@student.nicmar.ac.in</t>
  </si>
  <si>
    <t>21-Apr-1999</t>
  </si>
  <si>
    <t>9858 9901 5321</t>
  </si>
  <si>
    <t>IRFAN PATHAN</t>
  </si>
  <si>
    <t>SHAISTA PATHAN</t>
  </si>
  <si>
    <t>FLAT NO 203,SUNSHINE APARTMENT, LANE NO 6, SANJAY PARK ,NEAR GANESH MANDIR ,PUNE 411032</t>
  </si>
  <si>
    <t>50/2A Wadeshwar Nagar Wadgoansheri ,Old Mundwa Road , Pune 411014</t>
  </si>
  <si>
    <t>NIRMALA CONVENT SCHOOL</t>
  </si>
  <si>
    <t>MAHARASHTRA STATE BOARD OF SECONDARY AND HIGHER SECONDARY EDUCATION ,PUNE, MAHARASHTRA</t>
  </si>
  <si>
    <t>DON BOSCO JUNIOR COLLEGE OF ARTS, SCIENCE AND COMMERCE ,PUNE, MAHARASHTRA</t>
  </si>
  <si>
    <t>MAHARASHTRA STATE BOARD OF SECONDARY AND HIGHER SECONDARY EDUCATION , PUNE,MAHARASHTRA</t>
  </si>
  <si>
    <t>ALLANA COLLEGE OF ARCHITECTURE ,PUNE, MAHARASHTRA</t>
  </si>
  <si>
    <t>AutoCAD,MS Office,MS Project,Primavera,Revit,Lumion,Enscape,Rhino,Dynamo,Archicad</t>
  </si>
  <si>
    <t>PRASHANT DESHMUKH AND ASSOCIATES | JUNIOR ARCHITECT | Pune  | Jul 2022 | Jul 2025 | 2Y 11M | 4.8</t>
  </si>
  <si>
    <t>INGRAIN ARCHITECTS | INTERN ARCHITECT | MUMBAI  | Jun 2021 | Nov 2021 | 23.142857142857 Weeks</t>
  </si>
  <si>
    <t>P24702124</t>
  </si>
  <si>
    <t>JASKIRAT</t>
  </si>
  <si>
    <t>ARORA</t>
  </si>
  <si>
    <t>Jaskirat Arora</t>
  </si>
  <si>
    <t>jaskiratarora18@gmail.com</t>
  </si>
  <si>
    <t>p24702124@student.nicmar.ac.in</t>
  </si>
  <si>
    <t>12-Jul-1999</t>
  </si>
  <si>
    <t>Music,Sketches,Reading</t>
  </si>
  <si>
    <t>9225 8017 8187</t>
  </si>
  <si>
    <t>ARVINDER SINGH ARORA</t>
  </si>
  <si>
    <t>MECHANICAL ENGINEER</t>
  </si>
  <si>
    <t>MANPREET KAUR  ARORA</t>
  </si>
  <si>
    <t>E-19/03, JINDAL TOWNSHIP, JINDAL STEEL AND POWER PLANT, NISA, ANGUL, ODISHA</t>
  </si>
  <si>
    <t>818, Guru Gobind Singh Avenue, GT Road Bypass, Jalandhar</t>
  </si>
  <si>
    <t>Jalandhar</t>
  </si>
  <si>
    <t>ESSAR INTERNATIONAL SCHOOL, HAZIRA</t>
  </si>
  <si>
    <t>CBSE - SURAT/GUJARAT</t>
  </si>
  <si>
    <t>LAWRENCE INTERNATIONAL SCHOOL, JALANDHAR</t>
  </si>
  <si>
    <t>CBSE - JALANDHAR/PUNJAB</t>
  </si>
  <si>
    <t>I.K GUJRAL PUNJAB TECHNICAL UNIVERSITY</t>
  </si>
  <si>
    <t>I.K GUJRAL PUNJAB TECHNICAL UNIVERSITY MOHALI CAMPUS - II/ PUNJAB</t>
  </si>
  <si>
    <t>AutoCAD,MS Office,MS Project,MS Excel,Photoshop,Indesign,Illustrator,Lumion,Enscape,MS Powerpoint</t>
  </si>
  <si>
    <t>FORUM ADVAITA (AR. AMAN SOHAL) | ARCHITECTURAL AND INTERIOR DESIGNING FIRM | SECTOR 71, MOHALI | Sep 2020 | Dec 2020 | 15 Weeks
EMM ELL DECOR (AR. ARADHANA GHAKAR) | ARCHITECTURAL AND INTERIOR DESIGNING FIRM | SECTOR 16, CHANDIGARH | Jul 2020 | Dec 2020 | 24 Weeks</t>
  </si>
  <si>
    <t>Corporate Finance
Architectural Psychology for Architects and Designers
KPMG - Green Belt Lean Six Sigma</t>
  </si>
  <si>
    <t>P25702001</t>
  </si>
  <si>
    <t>MADHAB</t>
  </si>
  <si>
    <t>MOHANTY</t>
  </si>
  <si>
    <t>Madhab Jyoti Mohanty</t>
  </si>
  <si>
    <t>mj333mohanty@gmail.com</t>
  </si>
  <si>
    <t>p25702001@student.nicmar.ac.in</t>
  </si>
  <si>
    <t>30-Aug-1999</t>
  </si>
  <si>
    <t>5574 5803 6207</t>
  </si>
  <si>
    <t>AMULYA KUMAR MOHANTY</t>
  </si>
  <si>
    <t>PUSPANJALI ROUTARAY</t>
  </si>
  <si>
    <t>N2/182, I.R.C VILLAGE, NAYAPALLI, BHUBANESWAR</t>
  </si>
  <si>
    <t>LOYOLA SCHOOL BHUBANESWAR</t>
  </si>
  <si>
    <t>TIMES SCHOLAR GURUKUL KHANDAGIRI KHURDHA OD</t>
  </si>
  <si>
    <t>KALINGA INSTITUTE OF INDUSTRIAL TECHNOLOGY, BHUBANESWAR/ODISHA</t>
  </si>
  <si>
    <t>MS Office,MS Project,Complaince,Liasoning,SQL Server,Land Procurement,Strategy Devlopemet,Digital Marketing,JIRA,Financial Statement Analysis,Stake Holder Management</t>
  </si>
  <si>
    <t>Wipro Ltd. | Project Engineer | Banglore, India | Jun 2021 | Mar 2024 | 2Y 8M | 3.74
SRIKRISHNA ESTATE &amp; CONSTRUCTION PVT. LTD. | Project Manager - Strategy, Operations &amp; Business Devlopment | Bhubaneswar, Odisha | Mar 2024 | Jul 2025 | 1Y 3M | 4.92</t>
  </si>
  <si>
    <t>4 Years 0 Months</t>
  </si>
  <si>
    <t>P25702002</t>
  </si>
  <si>
    <t>GODAMBE</t>
  </si>
  <si>
    <t>Bhagyashree Sachin Godambe</t>
  </si>
  <si>
    <t>bhagyashreegodambe4763@gmail.com</t>
  </si>
  <si>
    <t>p25702002@student.nicmar.ac.in</t>
  </si>
  <si>
    <t>27-Dec-2000</t>
  </si>
  <si>
    <t>6829 2156 7406</t>
  </si>
  <si>
    <t>C801, PHASE 2, GRAND VIEW 7 NEAR PODDAR INTERNATIONAL SCHOOL, AMBEGAON BK, PUNE</t>
  </si>
  <si>
    <t>401, Narsiha Saraswati Bhuwan Above Bank Of Maharashtra, Parnaka Kalyan, West</t>
  </si>
  <si>
    <t>CAPTAIN RAVINDRA MADHAV OAK HIGH SCHOOL</t>
  </si>
  <si>
    <t>MAHARASHTRA STATE BOARD/ KALYAN</t>
  </si>
  <si>
    <t>B.K.BIRLA COLLEGE OF ARTS, COMMERCE AND SCIENCE</t>
  </si>
  <si>
    <t>B.R.HARNE COLLEGE OF ARCHITECTURE</t>
  </si>
  <si>
    <t>AutoCAD,MS Office,MS Project,Primavera,Sketchup,Lumion,Revit,Photoshop,InDesign</t>
  </si>
  <si>
    <t>Rdesign Architects | Junior Architect | Vikhroli, Mumbai | Aug 2024 | Mar 2025 | 0Y 7M | 2.4
VastuSiddhi Architects | Junior Architect | Vikhroli, Mumbai | May 2023 | Jul 2024 | 1Y 2M | 1.44</t>
  </si>
  <si>
    <t>Ekistics Design Studio | Architectural Intern | Thane | Oct 2021 | Apr 2022 | 26 Weeks</t>
  </si>
  <si>
    <t>P25702003</t>
  </si>
  <si>
    <t>WALKE</t>
  </si>
  <si>
    <t>Atharva Raju Walke</t>
  </si>
  <si>
    <t>atharvawalke24@gmail.com</t>
  </si>
  <si>
    <t>p25702003@student.nicmar.ac.in</t>
  </si>
  <si>
    <t>24-Nov-2000</t>
  </si>
  <si>
    <t>8674 0186 7797</t>
  </si>
  <si>
    <t>RAJU BABAN WALKE</t>
  </si>
  <si>
    <t>VRINDAVANI WALKE</t>
  </si>
  <si>
    <t>GRAPHIC DESIGNER</t>
  </si>
  <si>
    <t>Room No.1 Swawalambi CHSL Plot No.233 Opposite To Moon Palace Hotel Sector.4 Airoli Navi Mumbai 400-708</t>
  </si>
  <si>
    <t>ST. XAVIER'S HIGH SCHOOL, AIROLI</t>
  </si>
  <si>
    <t>SMT. SUSHILADEVI DESHMUKH VIDYALAYA &amp; JR.COLLEGE, AIROLI</t>
  </si>
  <si>
    <t>PCT'S A.P SHAH INSTITUTE OF TECHNOLOGY, THANE (WEST)</t>
  </si>
  <si>
    <t>Impact Infraheights PVT.LTD | Site Execution Intern | Pune | May 2026 | Jul 2026 | 8.7142857142857 Weeks | Campus Internship
Rushabh Surendra Karnavat Consultancy Services | Project Engineer â€“ Structural Audit &amp; NDT | Mumbai | Jun 2023 | Nov 2023 | 21.571428571429 Weeks</t>
  </si>
  <si>
    <t>Urban Land Economics and Real Estate Market  Dynamics
Introduction to Financial Accounting</t>
  </si>
  <si>
    <t>P25702005</t>
  </si>
  <si>
    <t>ALOKARANJAN</t>
  </si>
  <si>
    <t>SWAIN</t>
  </si>
  <si>
    <t>Alokaranjan Swain</t>
  </si>
  <si>
    <t>swainalok1001@gmail.com</t>
  </si>
  <si>
    <t>p25702005@student.nicmar.ac.in</t>
  </si>
  <si>
    <t>ENGLISH, HINDI, MARATHI, KONKANI, ODIA</t>
  </si>
  <si>
    <t>7057 5304 1276</t>
  </si>
  <si>
    <t>ASHOK KUMAR SWAIN</t>
  </si>
  <si>
    <t>SARITA KUMARI SWAIN</t>
  </si>
  <si>
    <t>H.No: 1652/1, Deul Waddo, Anjuna, Bardez, Goa</t>
  </si>
  <si>
    <t>ST. MICHAELS CONVENT HIGH SCHOOL</t>
  </si>
  <si>
    <t>GOA BOARD OF SECONDARY AND HIGHER SECONDARY EDUCATION</t>
  </si>
  <si>
    <t>DNYANPRASSARAK MANDALâ€™S COLLEGE &amp; RESEARCH CENTRE</t>
  </si>
  <si>
    <t>NATIONAL INSTITUTE OF TECHNOLOGY GOA</t>
  </si>
  <si>
    <t>AutoCAD,MS Office,MS Project,Midas Gen,ArcGIS,Staad Pro,Candy,Quantity Takeoff,Scheduling</t>
  </si>
  <si>
    <t>QSES CONTRACTS &amp; PROJECT MANAGEMENT | Tainee Engineer | Mapusa, Goa, India | Jul 2024 | Jun 2025 | 0Y 11M | 2.1</t>
  </si>
  <si>
    <t>VARDHMAN AMRANTE Pvt.Ltd. (OSWAL GROUP) | INTERN - PROJECT PLANNING &amp; DEVELOPMENT CELL | Ludhiana, Punjab | May 2026 | Jul 2026 | 9.5714285714286 Weeks | Campus Internship
GOA SHIPYARD LIMITED (MINISTRY OF DEFENCE) | INTERN ENGINEER | VASCO-DA-GAMA, GOA, INDIA | May 2023 | Jul 2023 | 6.2857142857143 Weeks</t>
  </si>
  <si>
    <t>Sustainable Future on Water Resources &amp; Climate Challenges
Concrete Mix Design Training
Diploma in AutoCad
Staad Pro Training
Comprehensive RCC Design using IS 456:2000 (LSM)</t>
  </si>
  <si>
    <t>P25702006</t>
  </si>
  <si>
    <t>Pragati Kumari</t>
  </si>
  <si>
    <t>kpragati0202@gmail.com</t>
  </si>
  <si>
    <t>p25702006@student.nicmar.ac.in</t>
  </si>
  <si>
    <t>02-Feb-1999</t>
  </si>
  <si>
    <t>ENGLISH,HINDI,BENGALI,ORIYA</t>
  </si>
  <si>
    <t>7675 1504 6750</t>
  </si>
  <si>
    <t>GYAN DEO PASWAN</t>
  </si>
  <si>
    <t>PUSHPA PASWAN</t>
  </si>
  <si>
    <t>PSU SERVICE</t>
  </si>
  <si>
    <t>FLAT NO 302 BLOCK J10 SHAPOORJEE_x000D_
NEWTOWN, KOLKATA</t>
  </si>
  <si>
    <t>Singhaul Dih, Ward No 02,Singhaul,Begusarai,Bihar_x000D_</t>
  </si>
  <si>
    <t>PRAGATI KUMARI</t>
  </si>
  <si>
    <t>VIKAS VIDYANIKETAN VISAKHAPATNAM</t>
  </si>
  <si>
    <t>KALINGA INSTITUTE OF INDUSTRIAL TECHNOLOGY, BHUBANESWAR,ODISSA</t>
  </si>
  <si>
    <t>MS Office,MS Project,BSNL - Vocational Training,Cisco Networking Academy - Training,HTML,CSS,JAVASCRIPT</t>
  </si>
  <si>
    <t>MAZENET-HTML.CSS, JavaScript
Cisco Networking Academy - Training
BSNL - Vocational Training</t>
  </si>
  <si>
    <t>P25702007</t>
  </si>
  <si>
    <t>Ritika Gupta</t>
  </si>
  <si>
    <t>gritika4799@gmail.com</t>
  </si>
  <si>
    <t>p25702007@student.nicmar.ac.in</t>
  </si>
  <si>
    <t>04-Jul-1999</t>
  </si>
  <si>
    <t>7356 0728 7586</t>
  </si>
  <si>
    <t>MAHESH KUMAR</t>
  </si>
  <si>
    <t>DOLLY GUPTA</t>
  </si>
  <si>
    <t>Krishna Niwas, Krishna Shiva Indane Service, Shankar Master Lane, Manoharpur, West Singhbhum, Jharkhand - 833104</t>
  </si>
  <si>
    <t>West Singhbhum</t>
  </si>
  <si>
    <t>CARMEL SCHOOL</t>
  </si>
  <si>
    <t>INDIAN CERTIFICATE OF SECONDARY EDUCATION (ICSE), ODISHA</t>
  </si>
  <si>
    <t>INDIAN SCHOOL CERTIFICATE EXAMINATION (ISC), ODISHA</t>
  </si>
  <si>
    <t>NATIONAL INSTITUTE OF TECHNOLOGY, ROURKELA</t>
  </si>
  <si>
    <t>AutoCAD,MS Office,MS Project,SketchUp,Revit,Enscape,Lumion,Adobe Photoshop,Adobe Illustrator,Candy</t>
  </si>
  <si>
    <t>L&amp;T Construction | Senior Architect | Chennai | Jul 2022 | May 2025 | 2Y 10M | 6.99</t>
  </si>
  <si>
    <t>INFORM ARCHITECTS | INTERN ARCHITECT | BENGALURU | Dec 2020 | May 2021 | 21.571428571429 Weeks</t>
  </si>
  <si>
    <t>Urban Land Economics and Real Estate Market Dynamics
Corporate Finance
Introduction to Financial Accounting</t>
  </si>
  <si>
    <t>P25702008</t>
  </si>
  <si>
    <t>G M</t>
  </si>
  <si>
    <t>Shreyas G M</t>
  </si>
  <si>
    <t>shreyasgm@outlook.com</t>
  </si>
  <si>
    <t>p25702008@student.nicmar.ac.in</t>
  </si>
  <si>
    <t>5168 0140 5665</t>
  </si>
  <si>
    <t>MANJUNATHA B G</t>
  </si>
  <si>
    <t>OPERATIONS MANAGER</t>
  </si>
  <si>
    <t>ANURADHA MANJUNATH</t>
  </si>
  <si>
    <t>18, Nidhi, 1st B Main Rd, Near Syn Bank Layout, Tunganagara, Herohalli, Bengaluru - 91</t>
  </si>
  <si>
    <t>SRI MANJUNATHESHWARA CENTRAL SCHOOL</t>
  </si>
  <si>
    <t>CBSE, DHARWAD, KARNATAKA</t>
  </si>
  <si>
    <t>SADHANA PU COLLEGE</t>
  </si>
  <si>
    <t>BANGALORE UNIVERSITY</t>
  </si>
  <si>
    <t>ACHARYA BANGALORE B SCHOOL, BENGALURU, KARNATAKA</t>
  </si>
  <si>
    <t>MS Office,MS Project,Primavera</t>
  </si>
  <si>
    <t>P25702009</t>
  </si>
  <si>
    <t>SAYAJI</t>
  </si>
  <si>
    <t>GHATGE</t>
  </si>
  <si>
    <t>Vedant Sayaji Ghatge</t>
  </si>
  <si>
    <t>ghatgevedant@gmail.com</t>
  </si>
  <si>
    <t>p25702009@student.nicmar.ac.in</t>
  </si>
  <si>
    <t>3774 7494 4097</t>
  </si>
  <si>
    <t>SAYAJI GHATGE</t>
  </si>
  <si>
    <t>RETIRED GOV EMPLOYEE</t>
  </si>
  <si>
    <t>KANCHAN GHATGE</t>
  </si>
  <si>
    <t>1401,suyog CHS, Building No 23, Near Sai Baba Mandir,Tagore Nagar,Vikhroli East, Mumbai 400083</t>
  </si>
  <si>
    <t>DADAR PARSEE YOUTHS ASSEMBLY HIGH SCHOOL</t>
  </si>
  <si>
    <t>HIND SEVA PARISHAD'S  PUBLIC JUNIOR COLLEGE</t>
  </si>
  <si>
    <t>RIZVI COLLEGE OF ENGINEERING  MUMBAI</t>
  </si>
  <si>
    <t>AutoCAD,MS Office,MS Project,Primavera,Power BI,Candy</t>
  </si>
  <si>
    <t>Vardhman Amrante Pvt.Ltd | Project Management intern | Ludhiana,Punjab | May 2026 | Jul 2026 | 9.5714285714286 Weeks | Campus Internship
SHREENATH CONSTRUCTIONS | Site Engineer | Mumbai | Jun 2022 | Jul 2022 | 6.1428571428571 Weeks</t>
  </si>
  <si>
    <t>Oracle Primavera P6 â€“ Project Setup and Basic Management
Sustainable urban water system
Introduction to Financial Accounting
Urban Land Economics and Real Estate Market Dynamics
Six sigma Principles</t>
  </si>
  <si>
    <t>P25702010</t>
  </si>
  <si>
    <t>Nair Aryan Madhu</t>
  </si>
  <si>
    <t>nairaryan750@gmail.com</t>
  </si>
  <si>
    <t>p25702010@student.nicmar.ac.in</t>
  </si>
  <si>
    <t>ENGLISH, HINDI, GUJARATI, MALAYALAM</t>
  </si>
  <si>
    <t>4210 5557 3409</t>
  </si>
  <si>
    <t>MADHU NAIR</t>
  </si>
  <si>
    <t>AJITHA NAIR</t>
  </si>
  <si>
    <t>A-37 Swaminarayan Nagar, Opposite Sun Pharma  Research Centre, Sun Pharma Road, Atladra, Vadodara</t>
  </si>
  <si>
    <t>BRIGHT DAY SCHOOL</t>
  </si>
  <si>
    <t>TEJAS VIDYALAYA</t>
  </si>
  <si>
    <t>MAHARAJA SAYAJIRAO UNIVERSITY OF BARODA</t>
  </si>
  <si>
    <t>MS Project,Primavera</t>
  </si>
  <si>
    <t>Sri Vaarahi Real Assets | Real Estate Advisor | Hyderabad | May 2026 | Jul 2026 | 8.7142857142857 Weeks | Campus Internship</t>
  </si>
  <si>
    <t>P25702012</t>
  </si>
  <si>
    <t>NEOGI</t>
  </si>
  <si>
    <t>Disha Neogi</t>
  </si>
  <si>
    <t>disha.archplan@gmail.com</t>
  </si>
  <si>
    <t>p25702012@student.nicmar.ac.in</t>
  </si>
  <si>
    <t>04-May-2001</t>
  </si>
  <si>
    <t>ENGLISH, HINDI, BENGALI</t>
  </si>
  <si>
    <t>9141 1948 5072</t>
  </si>
  <si>
    <t>DULAL CHANDRA NEOGI</t>
  </si>
  <si>
    <t>CONSULTANT CIVIL ENGINEER</t>
  </si>
  <si>
    <t>SUSOMA SINGHA NEOGI</t>
  </si>
  <si>
    <t>GOVERNMENT PRIMARY SCHOOL TEACHER</t>
  </si>
  <si>
    <t>FLAT NO. T/6, 3RD FLOOR, BLOCK C, VASUNDHARA PALACE, GOSALA ROAD, BABUPARA, SILIGURI</t>
  </si>
  <si>
    <t>Sukanta Sarani, Nabagram, Siliguri, P.O.- Bhaktinagar</t>
  </si>
  <si>
    <t>Jalpaiguri</t>
  </si>
  <si>
    <t>NIRMALA CONVENT SCHOOL, SILIGURI</t>
  </si>
  <si>
    <t>COUNCIL OF INDIAN SCHOOL CERTIFICATE EXAMINATION, NEW DELHI</t>
  </si>
  <si>
    <t>DELHI PUBLIC SCHOOL, SILIGURI</t>
  </si>
  <si>
    <t>L. S. RAHEJA SCHOOL OF ARCHITECTURE, MUMBAI</t>
  </si>
  <si>
    <t>AutoCAD,MS Office,MS Project,Adobe Photoshop,Adobe InDesign,Twinmotion,Enscape,SketchUp</t>
  </si>
  <si>
    <t>Free Lance Consultants | Project Architect | Siliguri, West Bengal | May 2024 | Jun 2025 | 1Y 1M | 3</t>
  </si>
  <si>
    <t>Patch Design Studio | Architectural Intern | Bandra West, Mumbai | Dec 2022 | Apr 2023 | 19.571428571429 Weeks</t>
  </si>
  <si>
    <t>Housing Policy &amp; Planning by NPTEL</t>
  </si>
  <si>
    <t>P25702013</t>
  </si>
  <si>
    <t>AGARWAL</t>
  </si>
  <si>
    <t>Prashant Agarwal</t>
  </si>
  <si>
    <t>prashantagarwal569@gmail.com</t>
  </si>
  <si>
    <t>p25702013@student.nicmar.ac.in</t>
  </si>
  <si>
    <t>9968 9094 7339</t>
  </si>
  <si>
    <t>MOHAN LAL AGARWAL</t>
  </si>
  <si>
    <t>SAROJ AGARWAL</t>
  </si>
  <si>
    <t>5-7-231/A Agapura Char - Kan Dil</t>
  </si>
  <si>
    <t>INDIAN INSTITUTE OF MANAGEMENT &amp; COMMERCE</t>
  </si>
  <si>
    <t>Diploma in Spoken English
NSS Camp Volunteer â€“ Survey on Access to Basic Amenities</t>
  </si>
  <si>
    <t>P25702014</t>
  </si>
  <si>
    <t>DADASAHEB</t>
  </si>
  <si>
    <t>THOKAL</t>
  </si>
  <si>
    <t>Ashwini Dadasaheb Thokal</t>
  </si>
  <si>
    <t>ashwinithokal8@gmail.com</t>
  </si>
  <si>
    <t>p25702014@student.nicmar.ac.in</t>
  </si>
  <si>
    <t>15-Mar-2001</t>
  </si>
  <si>
    <t>Mandala Art,Doodling</t>
  </si>
  <si>
    <t>5794 3469 8052</t>
  </si>
  <si>
    <t>EX-SERVICE MAN ARMY</t>
  </si>
  <si>
    <t>Vaiju Babhulgaon, Ahmednagar</t>
  </si>
  <si>
    <t>KENDRIYA VIDYALAYA TIRUMALAGIRI</t>
  </si>
  <si>
    <t>CBSE, TELANGANA</t>
  </si>
  <si>
    <t>HARYANA OPEN SCHOOL, AMBALA</t>
  </si>
  <si>
    <t>BOARD OF SCHOOL EDUCATION HARYANA</t>
  </si>
  <si>
    <t>PRAVARA RURAL COLLEGE OF ARCHITECTURE, LONI, AHMEDNAGAR, MAHARASHTRA</t>
  </si>
  <si>
    <t>AutoCAD,MS Office,MS Project,Sketchup,Lumion,photoshop,enscape</t>
  </si>
  <si>
    <t>Ciri Planning and Strategic Advisory (CPSA) | Junior Architect | Secunderabad, Telangana | Nov 2024 | Jan 2025 | 0Y 2M | 1.8</t>
  </si>
  <si>
    <t>ARCHIETHOS | INTERN | NASHIK | Jul 2023 | Dec 2023 | 21.714285714286 Weeks</t>
  </si>
  <si>
    <t>P25702015</t>
  </si>
  <si>
    <t>NILANG</t>
  </si>
  <si>
    <t>BORE</t>
  </si>
  <si>
    <t>Nilang Sanjay Bore</t>
  </si>
  <si>
    <t>borenilang@gmail.com</t>
  </si>
  <si>
    <t>p25702015@student.nicmar.ac.in</t>
  </si>
  <si>
    <t>4491 0924 8652</t>
  </si>
  <si>
    <t>SANJAY SHANTARAM BORE</t>
  </si>
  <si>
    <t>GOVT. SERVICE (POLICE DEPT.)</t>
  </si>
  <si>
    <t>SMITA SANJAY BORE</t>
  </si>
  <si>
    <t>GOVT. SERVICE (HEALTHCARE DEPT.)</t>
  </si>
  <si>
    <t>A3/1004 - AVON VISTA, PATIL NAGAR, BALEWADI</t>
  </si>
  <si>
    <t>C 301 AISHWARYA ENCLAVE Y R TAWDE ROAD DAHISAR WEST</t>
  </si>
  <si>
    <t>RUSTOMJEE INTERNATIONAL SCHOOL</t>
  </si>
  <si>
    <t>SSC BOARD MAHARASHTRA</t>
  </si>
  <si>
    <t>SHRI T P BHATIA COLLEGE OF SCIENCE</t>
  </si>
  <si>
    <t>SIR J J COLLEGE OF ARCHITECTURE, MUMBAI</t>
  </si>
  <si>
    <t>AutoCAD,MS Office,MS Project,Primavera,Project Management &amp; Coordination,FSI Calculation &amp; Utilization,Real Estate Feasibility Analysis (Basic Financial Modeling),Zoning &amp; Development Regulation Analysis (DCPR 2034)</t>
  </si>
  <si>
    <t>Somaiya &amp; Associates | Architect | Mumbai | Jun 2024 | May 2025 | 0Y 11M | 2.64</t>
  </si>
  <si>
    <t>SOMAIYA &amp; ASSOCIATES | ARCHITECTURE INTERN | MUMBAI | Dec 2022 | Mar 2023 | 17 Weeks</t>
  </si>
  <si>
    <t>Real Estate Acquisitions 101
Building Information Modeling for Construction Management
The Real Estate Financial Modeling Bootcamp</t>
  </si>
  <si>
    <t>P25702016</t>
  </si>
  <si>
    <t>MIR</t>
  </si>
  <si>
    <t>DILNAWAZ</t>
  </si>
  <si>
    <t>AHSAN</t>
  </si>
  <si>
    <t>Mir Dilnawaz Ahsan</t>
  </si>
  <si>
    <t>nawazahsan575@gmail.com</t>
  </si>
  <si>
    <t>p25702016@student.nicmar.ac.in</t>
  </si>
  <si>
    <t>02-Jun-2003</t>
  </si>
  <si>
    <t>6587 3186 1968</t>
  </si>
  <si>
    <t>LATE. MR. MIR AHSAN UL HASAN</t>
  </si>
  <si>
    <t>ASRA NAVEED</t>
  </si>
  <si>
    <t>H.no -8/67 , Khazi Galli Sarkari Masjid , Chitguppa,Bidar.</t>
  </si>
  <si>
    <t>SHAKUNTALA PATIL RES SCHOOL HUMNABAD</t>
  </si>
  <si>
    <t>CENTRAL BOARD OF SECONDARY EDUCATION ,KARNATAKA</t>
  </si>
  <si>
    <t>SHAHEEN INDP PU COLLEGE</t>
  </si>
  <si>
    <t>GOVERNMENT OF KARNATAKA DEPARTMENT OF PRE EDUCATION UNIVERSITY</t>
  </si>
  <si>
    <t>KHAJA BANDANAWAZ UNIVERSITY</t>
  </si>
  <si>
    <t>KHAJA BANDANAWAZ UNIVERSITY ,KALABURAGI</t>
  </si>
  <si>
    <t>ADVANCED CONSTRUCTION MANAGEMENT</t>
  </si>
  <si>
    <t>P25702018</t>
  </si>
  <si>
    <t>ITWARE</t>
  </si>
  <si>
    <t>Om Ganesh Itware</t>
  </si>
  <si>
    <t>omitware650@gmail.com</t>
  </si>
  <si>
    <t>p25702018@student.nicmar.ac.in</t>
  </si>
  <si>
    <t>15-Jan-2003</t>
  </si>
  <si>
    <t>4768 9279 0589</t>
  </si>
  <si>
    <t>RETIRED PRINCIPAL</t>
  </si>
  <si>
    <t>House No.15, Sahyog Colony Karla Road, Wardha- 442001</t>
  </si>
  <si>
    <t>AGRAGAMI CONVENT SCHOOL, MASALA, WARDHA</t>
  </si>
  <si>
    <t>CBSE, WARDHA, MAHARASHTRA</t>
  </si>
  <si>
    <t>2009-Jul</t>
  </si>
  <si>
    <t>CHANKANYA JR. COLLEGE, WARDHA</t>
  </si>
  <si>
    <t>MAHARASHTRA BOARD, WARDHA, MAHARASHTRA</t>
  </si>
  <si>
    <t>DR. BABASAHEB TECHNOLOGICAL UNIVERSITY, LONERE, RAIGAD</t>
  </si>
  <si>
    <t>BAJAJ INSTITUTE OFTECHNOLOGY, WARDHA</t>
  </si>
  <si>
    <t>Om Shivam Buildcon Pvt. Ltd. | Graduate trainee | Nagpur | Feb 2025 | Jun 2025 | 16.142857142857 Weeks</t>
  </si>
  <si>
    <t>P25702019</t>
  </si>
  <si>
    <t>SHARVARI</t>
  </si>
  <si>
    <t>Sharvari Kishor Jadhav</t>
  </si>
  <si>
    <t>sharvarikj01@gmail.com</t>
  </si>
  <si>
    <t>p25702019@student.nicmar.ac.in</t>
  </si>
  <si>
    <t>9969 3205 7781</t>
  </si>
  <si>
    <t>PROJECT MANAGER AS A CIVIL ENGINEER</t>
  </si>
  <si>
    <t>A-1406, Kalashree Apartments, Nanded City, Sinhagad Road.</t>
  </si>
  <si>
    <t>VIDYA NIKETAN SCHOOL, DOMBIVILI</t>
  </si>
  <si>
    <t>ROYAL JUNIOR COLLEGE OF SCIENCE AND COMMERCE, DOMBIVLI</t>
  </si>
  <si>
    <t>PILLAI COLLEGE OF ARCHITECTURE, NEW PANVEL, MAHARASHTRA</t>
  </si>
  <si>
    <t>AutoCAD,MS Office,MS Project,Revit,Sketchup,Lumion,Twinmotion</t>
  </si>
  <si>
    <t>Designworks | Intern | Vashi, Navi Mumbai | Nov 2022 | May 2023 | 27.857142857143 Weeks
Form and Function Architects Private Limited | Junior Architect | Bhandarkar road, Pune | Mar 2025 | Jul 2025 | 16.571428571429 Weeks</t>
  </si>
  <si>
    <t>P25702020</t>
  </si>
  <si>
    <t>AKRE</t>
  </si>
  <si>
    <t>Prasad Devendra Akre</t>
  </si>
  <si>
    <t>prasadakre2407@gmail.com</t>
  </si>
  <si>
    <t>p25702020@student.nicmar.ac.in</t>
  </si>
  <si>
    <t>6094 4827 5413</t>
  </si>
  <si>
    <t>DEVENDRA AKRE</t>
  </si>
  <si>
    <t>PROPERTY DEALING</t>
  </si>
  <si>
    <t>AARTI AKRE</t>
  </si>
  <si>
    <t>AVON VISTA PATIL NAGAR BALIWADI NAGPUR</t>
  </si>
  <si>
    <t>Jagnath Budhawari Pili Marbath Sq_x000D_
Pili Marbath Sq</t>
  </si>
  <si>
    <t>SHRI RAJENDRA HIGH SCHOOL</t>
  </si>
  <si>
    <t>SHREE DATTA MEGHE POLYTECHNIC NAGPUR MAHARASHTRA</t>
  </si>
  <si>
    <t>G.H RAISONI COLLAGE OF ENGINEERING AND TECHNOLOGY NAGPUR MAHARASHTA</t>
  </si>
  <si>
    <t>AutoCAD,MS Project,SAP</t>
  </si>
  <si>
    <t>ORANGE CITY WATER (OCW) | Network engineer (O&amp;M) | Nagpur | Jan 2024 | Jul 2025 | 1Y 6M | 3.6</t>
  </si>
  <si>
    <t>P25702021</t>
  </si>
  <si>
    <t>SHIRUR</t>
  </si>
  <si>
    <t>Hemanth S Shirur</t>
  </si>
  <si>
    <t>hemanthshirur05@gmail.com</t>
  </si>
  <si>
    <t>p25702021@student.nicmar.ac.in</t>
  </si>
  <si>
    <t>12-Jul-2001</t>
  </si>
  <si>
    <t>6463 1842 0793</t>
  </si>
  <si>
    <t>SIDDAPPA</t>
  </si>
  <si>
    <t>GOVT EMPLOYEE (HESCOM)</t>
  </si>
  <si>
    <t>KASTURI</t>
  </si>
  <si>
    <t>Vaibhavalaxmi Nilaya Postal Colony 2nd Road Near Hanuman Temple Vidyagiri Bagalkot</t>
  </si>
  <si>
    <t>HEMANTH S SHIRUR</t>
  </si>
  <si>
    <t>B.V.V.S POLYTECHNIC ( AUTONOMUS ), BAGALKOT</t>
  </si>
  <si>
    <t>MS Project,Primavera,MS Excel,MS PPT,Candy</t>
  </si>
  <si>
    <t>CHANDRA ARCHITECT &amp; ASSOCIATES | Junior Engineer | Bagalkot | Jun 2024 | May 2025 | 0Y 11M | 2.16</t>
  </si>
  <si>
    <t>Address Advisors | Business Development Intern | Bangaluru | May 2026 | Jul 2026 | 9.5714285714286 Weeks | Campus Internship
S.I.DONUR | SITE ENGINEER | VIJAYPUR | Jul 2023 | Aug 2023 | 4.5714285714286 Weeks</t>
  </si>
  <si>
    <t>Fundamentals of Analyzing Real Estate Investments
Corporate Communication</t>
  </si>
  <si>
    <t>P25702022</t>
  </si>
  <si>
    <t>DIPAKBHAI</t>
  </si>
  <si>
    <t>Aryan Dipakbhai Patel</t>
  </si>
  <si>
    <t>aryan00om@gmail.com</t>
  </si>
  <si>
    <t>p25702022@student.nicmar.ac.in</t>
  </si>
  <si>
    <t>8686 1831 7914</t>
  </si>
  <si>
    <t>USHABEN</t>
  </si>
  <si>
    <t>MILLENIUM BOYS HOSTEL, NICMAR UNIVERSITY, BALEWADI ROAD, BANER</t>
  </si>
  <si>
    <t>43, Amranthus Villas, SP Ring Road, Bhadaj Circle, Science City</t>
  </si>
  <si>
    <t>NAVNIRMAN CO. OP. BANK SEC. SCHOOL</t>
  </si>
  <si>
    <t>GUJARAT SECONDARY &amp; HIGHER SECONDARY EDUCATION BOARD, GANDHINAGAR</t>
  </si>
  <si>
    <t>BALDEVBHAI JOITARAM PATEL H. SEC. SCHOOL</t>
  </si>
  <si>
    <t>PANDIT DEENDAYAL ENERGY UNIVERSITY</t>
  </si>
  <si>
    <t>PANDIT DEENDAYAL ENERGY UNIVERSITY, GANDHINAGAR</t>
  </si>
  <si>
    <t>MS Office,MS Project, Candy Software, Primavera, STADD.Pro, QGIS, Revit, AutoCAD</t>
  </si>
  <si>
    <t>Cushman &amp; Wakefield | Strategic Consulting Intern | Ahmedabad, Gujarat | May 2026 | Jul 2026 | 8.7142857142857 Weeks | Campus Internship
PSP Projects Limited | Intern | Ahmedabad, Gujarat | Jun 2023 | Jul 2023 | 5.5714285714286 Weeks</t>
  </si>
  <si>
    <t>Journey of Real Estate</t>
  </si>
  <si>
    <t>P25702023</t>
  </si>
  <si>
    <t>ADITI</t>
  </si>
  <si>
    <t>Aditi Kishor Mahajan</t>
  </si>
  <si>
    <t>p25702023@student.nicmar.ac.in</t>
  </si>
  <si>
    <t>01-Nov-1998</t>
  </si>
  <si>
    <t>Design &amp; Planning,Model Making,Team Sports,Literature Competitions,Bharatnatyam</t>
  </si>
  <si>
    <t>9499 2429 4429</t>
  </si>
  <si>
    <t>KISHOR JALINDER MAHAJAN</t>
  </si>
  <si>
    <t>SHUBHANGI KISHOR MAHAJAN</t>
  </si>
  <si>
    <t>FLAT-2, K4, GAURIHAR, SINHAGAD ROAD</t>
  </si>
  <si>
    <t>C-9, Priyadarshini Residency, Mariaai Chowk</t>
  </si>
  <si>
    <t>ST. XAVIER'S SCHOOL</t>
  </si>
  <si>
    <t>ST. XAVIER'S SCHOOL, MAHAD</t>
  </si>
  <si>
    <t>ROTARY ENGLISH MEDIUM SCHOOL</t>
  </si>
  <si>
    <t>ROTARY ENGLISH MEDIUM SCHOOL, KHED-RATNAGIRI.</t>
  </si>
  <si>
    <t>PILLAI HOC COLLEGE OF ARCHITECTURE, RAIGAD</t>
  </si>
  <si>
    <t>AutoCAD,MS Office,MS Project,Sketchup,Vray,Keynote,Powerpoint</t>
  </si>
  <si>
    <t>GNA ARCHITECTS | ARCHITECT | Pune | May 2022 | May 2025 | 3Y 0M | 4.2</t>
  </si>
  <si>
    <t>GRAY ARCHITECTS | INTERN ARCHITECT  | PUNE | Nov 2021 | Apr 2022 | 25 Weeks</t>
  </si>
  <si>
    <t>P25702024</t>
  </si>
  <si>
    <t>Chirag Suresh Kamble</t>
  </si>
  <si>
    <t>kamblechirag153@gmail.com</t>
  </si>
  <si>
    <t>p25702024@student.nicmar.ac.in</t>
  </si>
  <si>
    <t>4304 5149 0461</t>
  </si>
  <si>
    <t>SURESH KAMBLE</t>
  </si>
  <si>
    <t>BUSSINESS MAN</t>
  </si>
  <si>
    <t>HEMLATA KAMBLE</t>
  </si>
  <si>
    <t>106 Vasant Veena Residency Muraka Layout Near Pawar Coaching Classes Bachlores Road Wardha</t>
  </si>
  <si>
    <t>ALPHONSA HIGH SCH SWANGI(MEGHE) WARDHA</t>
  </si>
  <si>
    <t>SHRI VYANKATESH JUNIOR COLLEGE</t>
  </si>
  <si>
    <t>MAHARASHTRA STATE BOARD NAGPUR/MAHARASHTRA</t>
  </si>
  <si>
    <t>RASHTRASANT TUKADOJI MAHARAJ NAGPUR UNIVERSITY , NAGPUR</t>
  </si>
  <si>
    <t>YASHWANTRAO CHAVAN COLLEGE OF ENGINEERING NAGPUR / MAHARASHTRA</t>
  </si>
  <si>
    <t>AutoCAD,MS Office,MS Project,Primavera,revit</t>
  </si>
  <si>
    <t>vama construction company | site execution | daman and [ardi | May 2026 | Jun 2026 | 8 Weeks | Campus Internship
Rajveer construction | Civil Engineer | Nagpur | Jan 2025 | May 2025 | 17.142857142857 Weeks
M/S Bhagwati builders | site trainee | Gondia | Nov 2023 | Dec 2023 | 4.2857142857143 Weeks</t>
  </si>
  <si>
    <t>Construction Planning &amp; Structural Analysi
Revit
autocad</t>
  </si>
  <si>
    <t>P25702025</t>
  </si>
  <si>
    <t>WARKE</t>
  </si>
  <si>
    <t>Himanshu Naresh Warke</t>
  </si>
  <si>
    <t>hwarke631@gmail.com</t>
  </si>
  <si>
    <t>p25702025@student.nicmar.ac.in</t>
  </si>
  <si>
    <t>06-Mar-2001</t>
  </si>
  <si>
    <t>5395 2985 0493</t>
  </si>
  <si>
    <t>A-3/501 , Tarangan Society , Gymkhana Road , Besides Dombivli Bus Stand , Dombivli East</t>
  </si>
  <si>
    <t>SISTER NIVEDITA ENGLISH MEDIUM SCHOOL</t>
  </si>
  <si>
    <t>ROYAL JUNIOR SCIENCE COLLEGE</t>
  </si>
  <si>
    <t>DR. VISHWANATH KARAD MIT WORLD PEACE UNIVERSITY10-</t>
  </si>
  <si>
    <t>MAHARASHTRA INSTITUTE OF TECHNOLOGY</t>
  </si>
  <si>
    <t>AutoCAD,MS Office,Advanced Excel</t>
  </si>
  <si>
    <t>Repplen Projects Private Limited  | Site Execution | New Sangavi , Pune | May 2026 | Jun 2026 | 8.1428571428571 Weeks | Campus Internship
VUB ENGINEERING PVT LTD | TRAINEE ENGINEER  | GHATKOPAR EAST ( SITE WAS UNDER MIDC DOMBIVALI DIVISION) | Dec 2022 | Mar 2023 | 12.857142857143 Weeks</t>
  </si>
  <si>
    <t>P25702026</t>
  </si>
  <si>
    <t>ROHITKUMAR</t>
  </si>
  <si>
    <t>Rishi Rohitkumar Agrawal</t>
  </si>
  <si>
    <t>agrawalrishi0208@gmail.com</t>
  </si>
  <si>
    <t>p25702026@student.nicmar.ac.in</t>
  </si>
  <si>
    <t>08-Feb-2003</t>
  </si>
  <si>
    <t>3764 5396 7820</t>
  </si>
  <si>
    <t>ROHITKUMAR AGRAWAL</t>
  </si>
  <si>
    <t>SHITAL AGRAWAL</t>
  </si>
  <si>
    <t>M.R.Saraf, Sadar Bazar, Paratwada</t>
  </si>
  <si>
    <t>DHRUV GLOBAL SCHOOL</t>
  </si>
  <si>
    <t>CENTRAL BOARD OF SECONDARY EDUCATION, SANGAMNER/MAHARASHTRA</t>
  </si>
  <si>
    <t>SMT. SUNDARABAI GOPALSWAMI MAHILA KANISHTHA MAHAVIDYALAYA</t>
  </si>
  <si>
    <t>MAHARASHTRA STATE BOARD OF SECONDARY AND HIGHER SECONDARY EDUCATION, PARATWADA/MAHARASHTRA</t>
  </si>
  <si>
    <t>SARDAR PATEL COLLEGE OF ENGINEERING, MUMBAI/MAHARASHTRA</t>
  </si>
  <si>
    <t>Vama Construction Company  | Site Execution  | Daman  | May 2026 | Jun 2026 | 8 Weeks | Campus Internship</t>
  </si>
  <si>
    <t>P25702027</t>
  </si>
  <si>
    <t>TIRTH</t>
  </si>
  <si>
    <t>KORUDUVAR</t>
  </si>
  <si>
    <t>Tirth Pravin Koruduvar</t>
  </si>
  <si>
    <t>koruduvartirthpravin@gmail.com</t>
  </si>
  <si>
    <t>p25702027@student.nicmar.ac.in</t>
  </si>
  <si>
    <t>01-Sep-2003</t>
  </si>
  <si>
    <t>English,Gujarati,Marathi,Hindi</t>
  </si>
  <si>
    <t>3783 2432 7622</t>
  </si>
  <si>
    <t>PRAVIN KORUDUVAR</t>
  </si>
  <si>
    <t>SONAL KORUDUVAR</t>
  </si>
  <si>
    <t>10, LILAVATI PARK SOCIETY, BESIDE HIRABHAI TOWER, OPPOSITE MIHIR TOWER, MANINAGAR</t>
  </si>
  <si>
    <t>SMT. P.B.D. JOSHI HIGH SCHOOL &amp; SECONDARY SCHOOL</t>
  </si>
  <si>
    <t>GUJARAT SECONDARY &amp; HIGHER SECONDARY EDUCATION BOARD , GANDHINAGAR</t>
  </si>
  <si>
    <t>DOON INTERNATIONAL PUBLIC SCHOOL</t>
  </si>
  <si>
    <t>NIRMA UNIVERSITY AHMEDABAD GUJARAT</t>
  </si>
  <si>
    <t>SHILP GROUP | Project Execution &amp; Planning Support - Intern | GIFT CITY  | Dec 2024 | Apr 2025 | 17 Weeks
SIDDHARTH Group | Site Operations &amp; Estimation Support - Intern | AHMEDABAD,GOTA | Jun 2024 | Jul 2024 | 5.5714285714286 Weeks</t>
  </si>
  <si>
    <t>PARTICIPATION IN "QUIZATHON 2.0"
ICI_INDIAN CONCRETE INSTITUTE MEMBER
BIM_WORKSHOP</t>
  </si>
  <si>
    <t>P25702028</t>
  </si>
  <si>
    <t>HARIBHAU</t>
  </si>
  <si>
    <t>GORE</t>
  </si>
  <si>
    <t>Mangesh Haribhau Gore</t>
  </si>
  <si>
    <t>mangeshgore100@gmail.com</t>
  </si>
  <si>
    <t>p25702028@student.nicmar.ac.in</t>
  </si>
  <si>
    <t>21-Nov-2000</t>
  </si>
  <si>
    <t>8441 8283 3453</t>
  </si>
  <si>
    <t>DEFENCE SERVICE</t>
  </si>
  <si>
    <t>SUCHITA</t>
  </si>
  <si>
    <t>At/po Bhenda BK, Tal- Newasa</t>
  </si>
  <si>
    <t>KENDRIYA VIDYALAYA R.H.E PUNE</t>
  </si>
  <si>
    <t>JIJAMATA JUNIOR COLLEGE BHENDA BK</t>
  </si>
  <si>
    <t>SANJIVANI COLLEGE OF ENGINEERING KOPARGAON</t>
  </si>
  <si>
    <t>AutoCAD,MS Project,Primavera,Microsoft Excel,SAP ERP</t>
  </si>
  <si>
    <t>Primaverse IDC LLP | Junior Civil Engineer  | Pune | Sep 2024 | Mar 2025 | 0Y 6M | 2.2</t>
  </si>
  <si>
    <t>PRIMUS TECHSYSTEMS PVT. LTD. | SAP MATERIAL MANAGEMENT TRAINEE | PUNE  | Jun 2022 | Jul 2022 | 4.2857142857143 Weeks</t>
  </si>
  <si>
    <t>SAP MM S4/HANA
BIM Modelling</t>
  </si>
  <si>
    <t>P25702029</t>
  </si>
  <si>
    <t>UNNAT</t>
  </si>
  <si>
    <t>MORE</t>
  </si>
  <si>
    <t>Unnat Ravindra More</t>
  </si>
  <si>
    <t>moreunnat22@gmail.com</t>
  </si>
  <si>
    <t>p25702029@student.nicmar.ac.in</t>
  </si>
  <si>
    <t>8017 7536 7201</t>
  </si>
  <si>
    <t>RAVINDRA MORE</t>
  </si>
  <si>
    <t>SHITAL MORE</t>
  </si>
  <si>
    <t>Flat No.701,d1 Wing, Bluedice Society, Dehu Alandi Road, Chikhali, Pune</t>
  </si>
  <si>
    <t>NIRMAL BETHANY HIGH SCHOOL &amp; JR COLLEGE</t>
  </si>
  <si>
    <t>PIMPRI CHINCHWAD POLYTECHNIC, PUNE</t>
  </si>
  <si>
    <t>D.Y.PATIL SCHOOL OF ENGINEERING AND TECHNOLOGY, CHARHOLI, PUNE</t>
  </si>
  <si>
    <t>Centre For Development Of Advance Computing (CDAC), Pune | Intern | Pashan, Pune | Dec 2023 | Apr 2024 | 17.428571428571 Weeks</t>
  </si>
  <si>
    <t>Urban Land Economics and Real Estate Market Dynamics
Introduction to financial accounting</t>
  </si>
  <si>
    <t>P25702030</t>
  </si>
  <si>
    <t>NIMBHORKAR</t>
  </si>
  <si>
    <t>Shraddha Chandrakant Nimbhorkar</t>
  </si>
  <si>
    <t>nimbhorkarshraddha10@gmail.com</t>
  </si>
  <si>
    <t>p25702030@student.nicmar.ac.in</t>
  </si>
  <si>
    <t>10-Nov-2000</t>
  </si>
  <si>
    <t>9769 0086 0981</t>
  </si>
  <si>
    <t>CHANDRAKANT NIMBHORKAR</t>
  </si>
  <si>
    <t>SEMI GOVERNMENT EMPLOYEE</t>
  </si>
  <si>
    <t>ARCHANA NIMBHORKAR</t>
  </si>
  <si>
    <t>Shyam Nagar, Congress Nagar Road, Lane No. 5, Amravati</t>
  </si>
  <si>
    <t>SHRI SAMARTH HIGHSCHOOL, AMRAVATI</t>
  </si>
  <si>
    <t>AMRAVATI, MAHARASHTRA</t>
  </si>
  <si>
    <t>SHRI SAMARTH SECONDARY HIGHSCHOOL, AMRAVATI</t>
  </si>
  <si>
    <t>SANT GADGE BABA AMRAVATI UNIVERSITY, AMRAVATI, MAHARAHTRA</t>
  </si>
  <si>
    <t>P.R. PATIL COLLEGE OF ARCHITECTURE, AMRAVATI, MAHARASHTRA</t>
  </si>
  <si>
    <t>AutoCAD,MS Office,MS Project,Primavera,Vector Works,Sketchup,Lumion,Photoshop,Canva,Revit</t>
  </si>
  <si>
    <t>Kamdhenu Spaces LLP. | Design, Planning  &amp; Development | Pune | May 2026 | Jul 2026 | 8.7142857142857 Weeks | Campus Internship
Environs Architects, Planners, Landscape &amp; Interior Designers | Trainee Architect | Pune | Jul 2022 | Jan 2023 | 25.142857142857 Weeks</t>
  </si>
  <si>
    <t>P25702031</t>
  </si>
  <si>
    <t>Kartik Ravindra Kapse</t>
  </si>
  <si>
    <t>kartikkapse9666@gmail.com</t>
  </si>
  <si>
    <t>p25702031@student.nicmar.ac.in</t>
  </si>
  <si>
    <t>02-Aug-1999</t>
  </si>
  <si>
    <t>ENGLISH, MARATHI HINDI</t>
  </si>
  <si>
    <t>Cricket,Cooking</t>
  </si>
  <si>
    <t>7892 0376 0555</t>
  </si>
  <si>
    <t>RAKHI</t>
  </si>
  <si>
    <t>15, Ayodhaya Nagar, Nr Dinesh Cycle Store, Sai Mandir, Nagpur</t>
  </si>
  <si>
    <t>MAJOR HEMANT JAKATE INSTITUTE OF SCIENCE AND COMMERCE</t>
  </si>
  <si>
    <t>PRIYADARSHINI COLLAGE OF ENGINEERING</t>
  </si>
  <si>
    <t>AutoCAD,MS Office,REVIT ARCHITETCURE</t>
  </si>
  <si>
    <t>PUBLIC WORKS DEPARTMENT , DIVISION NO 1, NAGPUR | CIVIL ENGINEER TRAINEE   | NAGPUR | Jul 2022 | Aug 2022 | 2.1428571428571 Weeks</t>
  </si>
  <si>
    <t>P25702032</t>
  </si>
  <si>
    <t>Adarsh Akash</t>
  </si>
  <si>
    <t>ar.adarshakash@gmail.com</t>
  </si>
  <si>
    <t>p25702032@student.nicmar.ac.in</t>
  </si>
  <si>
    <t>08-Jan-2001</t>
  </si>
  <si>
    <t>Travelling and Exploring,Watching Documentaries,Listening to Podcasts</t>
  </si>
  <si>
    <t>4261 0557 0727</t>
  </si>
  <si>
    <t>AKASH LOUIS</t>
  </si>
  <si>
    <t>BINDU AKASH</t>
  </si>
  <si>
    <t>Parackal House, Pavana 147, Mother Teresa Nagar, Chethipuzha, Changanacherry</t>
  </si>
  <si>
    <t>INDIAN SCHOOL AL WADI AL KABIR</t>
  </si>
  <si>
    <t>BIRLA INSTITUTE OF TECHNOLOGY</t>
  </si>
  <si>
    <t>BIRLA INSTITUTE OF TECHNOLOGY, MESRA, RANCHI</t>
  </si>
  <si>
    <t>AutoCAD,MS Office,MS Project,Revit,SketchUp,Navisworks,Twinmotion,Enscape,Lumion,Adobe Photoshop,Adobe InDesign,Rhinoceros 3D,CCS Candy</t>
  </si>
  <si>
    <t>Al Abraj Consulting Engineers and Architects | Junior Architect | Muscat, Oman | Jun 2024 | Jul 2025 | 1Y 1M | 9.6</t>
  </si>
  <si>
    <t>Design Kacheri | Intern Architect | Bangalore, India | Jan 2023 | Jun 2023 | 25.571428571429 Weeks</t>
  </si>
  <si>
    <t>Design Psychology &amp; User Experience in Architecture
Professional Revit &amp; BIM Certification Program
Professional Revit and BIM Certification Program - NAVISWORKS
Professional Revit and BIM Certification Program - AUTODESK REVIT and BIM 360
Project Optimization_ 3D to 6D BIM
Revit Fundamentals_ Building the Basics
Multidisciplinary Modeling_ LOD 100 to 350
Integrated Project Coordination &amp; Simulation
Council Of Architecture Registration Certificate</t>
  </si>
  <si>
    <t>P25702033</t>
  </si>
  <si>
    <t>SUMEDH</t>
  </si>
  <si>
    <t>SHISHIR</t>
  </si>
  <si>
    <t>Sumedh Shishir Kulkarni</t>
  </si>
  <si>
    <t>sumedh1425@gmail.com</t>
  </si>
  <si>
    <t>p25702033@student.nicmar.ac.in</t>
  </si>
  <si>
    <t>25-Sep-2002</t>
  </si>
  <si>
    <t>6470 7018 4195</t>
  </si>
  <si>
    <t>SONALI</t>
  </si>
  <si>
    <t>F1, SUPARNA HARMONY , NEAR WATER TANK , SOMWAR PETH , KARAD , 415110</t>
  </si>
  <si>
    <t>F1, Suparna Harmony , Near Water Tank , Somwar Peth , Karad , 415110</t>
  </si>
  <si>
    <t>PODAR INTERNATIONAL SCHOOL , KARAD</t>
  </si>
  <si>
    <t>KARAD , MAHARASHTRA</t>
  </si>
  <si>
    <t>SANJAY GHODAWAT IIT AND MEDICAL ACADEMY</t>
  </si>
  <si>
    <t>ATIGRE , KOLHAPUR</t>
  </si>
  <si>
    <t>P25702034</t>
  </si>
  <si>
    <t>GUNVANTH</t>
  </si>
  <si>
    <t>G Gunvanth</t>
  </si>
  <si>
    <t>gunvanth.org@gmail.com</t>
  </si>
  <si>
    <t>p25702034@student.nicmar.ac.in</t>
  </si>
  <si>
    <t>7911 2450 1531</t>
  </si>
  <si>
    <t>G.KANTHA RAO</t>
  </si>
  <si>
    <t>CIVIL ENGINNER</t>
  </si>
  <si>
    <t>N.S.R.REVATHI</t>
  </si>
  <si>
    <t>20-4-31/B9,KOTHAPALLI,TIRUPATI,ANDHRA PRADESH</t>
  </si>
  <si>
    <t>2-35B Pudipatala,Pudipatala,Tirupathi Rural</t>
  </si>
  <si>
    <t>BOARD OF SECONDARY EDUCATION,TIRUPATHI,ANDHRA PRADESH</t>
  </si>
  <si>
    <t>BOARD OF INTERMEDIATE EDUCATION,VIJAYAWADA,ANDHRA PRADESH</t>
  </si>
  <si>
    <t>CHRIST UNIVERSITY</t>
  </si>
  <si>
    <t>THE BOARD OF CHRIST (DEEMAND TO UNIVERSITY),BANGLORE,KARNATAKA</t>
  </si>
  <si>
    <t>AutoCAD,MS Office,MS Project,Primavera,ETABS,SAP2000,STAAD.PRO,REVIT</t>
  </si>
  <si>
    <t>SRI VENKATESWARA PLANNERS &amp; BUILDERS | Site Coordination Intern | Tirupathi | May 2023 | Jun 2023 | 4.4285714285714 Weeks
SRI VENKATESWARA PLANNERS &amp; BUILDERS | Site Engineer Intern | TIRUPATHI | May 2022 | Jun 2022 | 4.5714285714286 Weeks</t>
  </si>
  <si>
    <t>P25702035</t>
  </si>
  <si>
    <t>Sharvari Rajesh Chaudhari</t>
  </si>
  <si>
    <t>sharvarichaudhari29@gmail.com</t>
  </si>
  <si>
    <t>p25702035@student.nicmar.ac.in</t>
  </si>
  <si>
    <t>29-Sep-2001</t>
  </si>
  <si>
    <t>Dancing,Travelling</t>
  </si>
  <si>
    <t>3198 4992 9945</t>
  </si>
  <si>
    <t>36/B , Nandanvan Bank Colony , Deopur , Dhule</t>
  </si>
  <si>
    <t>CHAVARA ENGLISH MEDIUM SCHOOL</t>
  </si>
  <si>
    <t>MAHARASHTRA STATE BOARD OF SECONDARY AND HIGHER SECONDARY EDUCATION , DHULE , MAHARASHTRA</t>
  </si>
  <si>
    <t>S.L.MALI JUNIOR COLLEGE</t>
  </si>
  <si>
    <t>MAHARASHTRA STATE BOARD OF SECONDARY AND HIGHER SECONDARY EDUCATION , TALODA , MAHARASHTRA</t>
  </si>
  <si>
    <t>JSPM'S RAJARSHI SHAHU COLLEGE OF ENGINEERING , TATHWADE , PUNE</t>
  </si>
  <si>
    <t>PYRAMID AXIS | SITE ENGINEER INTERN | TATHWADE , PUNE | Jun 2022 | Dec 2022 | 26.142857142857 Weeks</t>
  </si>
  <si>
    <t>DroneAcharya</t>
  </si>
  <si>
    <t>P25702036</t>
  </si>
  <si>
    <t>MITHILESH</t>
  </si>
  <si>
    <t>SUGANDH</t>
  </si>
  <si>
    <t>TAMBE</t>
  </si>
  <si>
    <t>Mithilesh Sugandh Tambe</t>
  </si>
  <si>
    <t>mithileshtambe709@gmail.com</t>
  </si>
  <si>
    <t>p25702036@student.nicmar.ac.in</t>
  </si>
  <si>
    <t>20-Jun-2001</t>
  </si>
  <si>
    <t>8484 5284 9046</t>
  </si>
  <si>
    <t>SUGANDH MANAJI TAMBE</t>
  </si>
  <si>
    <t>TEACHER+</t>
  </si>
  <si>
    <t>Kamat Shrushti Apartment, Parabwadi, Kankavli, Sindhudurg</t>
  </si>
  <si>
    <t>VIDYAMANDIR HIGHSCHOOL KANKAVLI</t>
  </si>
  <si>
    <t>KANKAVLI COLLEGE KANKAVLI</t>
  </si>
  <si>
    <t>DHOLEPATIL COLLEGE OF ENGINEERING PUNE</t>
  </si>
  <si>
    <t>AutoCAD,MS Office,MS Project,Quantity Surveying</t>
  </si>
  <si>
    <t>GURU CONSTRUCTION | SITE ENGINEER | JUNNAR | May 2022 | Jun 2022 | 7.8571428571429 Weeks</t>
  </si>
  <si>
    <t>P25702037</t>
  </si>
  <si>
    <t>BHUVANESH</t>
  </si>
  <si>
    <t>HAUSHILAPRASAD</t>
  </si>
  <si>
    <t>Bhuvanesh Haushilaprasad Pandey</t>
  </si>
  <si>
    <t>bhuvaneshpandey4@gmail.com</t>
  </si>
  <si>
    <t>p25702037@student.nicmar.ac.in</t>
  </si>
  <si>
    <t>27-Sep-2001</t>
  </si>
  <si>
    <t>4720 4012 7410</t>
  </si>
  <si>
    <t>HAUSHILAPRASAD PANDEY</t>
  </si>
  <si>
    <t>SUREKHA HAUSHILAPRASAD PANDEY</t>
  </si>
  <si>
    <t>Room 6 Sarvoday Chawl Azad Wadi Damu Nagar Akurli Road Kandivali East</t>
  </si>
  <si>
    <t>COSMOPOLITAN HIGH SCHOOL</t>
  </si>
  <si>
    <t>MAHARASHTRA STATE BOARD MUMBAI MAHARASHTRA</t>
  </si>
  <si>
    <t>SHREE L.R TIWARI COLLEGE OF ENGINEERING  THANE MAHARASHTRA</t>
  </si>
  <si>
    <t>AutoCAD,MS Office,MS Project,Primavera,Revit,BIM</t>
  </si>
  <si>
    <t>Shree Laxminarayan Infrastructure | Assistant Engineer | Mira Bhayandar | Jul 2022 | Jan 2023 | 26.142857142857 Weeks
Shree Laxminarayan Infrastructure | Assistant Engineer | Mira Bhayandar | Jun 2022 | Jul 2022 | 4.1428571428571 Weeks</t>
  </si>
  <si>
    <t>P25702038</t>
  </si>
  <si>
    <t>GAJANAN</t>
  </si>
  <si>
    <t>KHARPURIYA</t>
  </si>
  <si>
    <t>Mohit Gajanan Kharpuriya</t>
  </si>
  <si>
    <t>kharpuriyamohit01@gmail.com</t>
  </si>
  <si>
    <t>p25702038@student.nicmar.ac.in</t>
  </si>
  <si>
    <t>3443 6290 6509</t>
  </si>
  <si>
    <t>GAJANAN BADASHA KHARPURIYA</t>
  </si>
  <si>
    <t>AGRICULTURE OFFICER</t>
  </si>
  <si>
    <t>MEENA GAJANAN KHARPURIYA</t>
  </si>
  <si>
    <t>Pl No 55  Kirti Nagar Near Amit High School Dighori Nagpur Maharashtra</t>
  </si>
  <si>
    <t>SOUTH POINT HIGH SCHOOL</t>
  </si>
  <si>
    <t>SECONDARY SCHOOL CERTIFICATE, NAGPUR MAHARASHTRA</t>
  </si>
  <si>
    <t>ST. PAUL SCIENCE AND COMMERCE JUNIOR COLLEGE</t>
  </si>
  <si>
    <t>HIGHER SECONDARY CERTIFICATE NAGPUR MAHARASHTRA</t>
  </si>
  <si>
    <t>KARMAVIR DADASAHEB KANNAMWAR COLLEGE OF ENGINEERING NAGPUR MAHARASHTRA</t>
  </si>
  <si>
    <t>AT DESIGN STUDIO | Junior Executive Engineer and Supervisor  | Nagpur | Jun 2022 | Jun 2024 | 2Y 0M | 3</t>
  </si>
  <si>
    <t>R Sandesh Infrastructure Pvt. Ltd | Project Management Intern | Nagpur  | May 2026 | Jun 2026 | 8.1428571428571 Weeks</t>
  </si>
  <si>
    <t>P25702039</t>
  </si>
  <si>
    <t>ANOUSHKA</t>
  </si>
  <si>
    <t>Anoushka Das</t>
  </si>
  <si>
    <t>das.anoushka@gmail.com</t>
  </si>
  <si>
    <t>p25702039@student.nicmar.ac.in</t>
  </si>
  <si>
    <t>7644 2292 2153</t>
  </si>
  <si>
    <t>ANIRUDDHA DAS</t>
  </si>
  <si>
    <t>DIRECTOR - HOSPITALITY INSTITUTE (MAIIHM)</t>
  </si>
  <si>
    <t>MAHUA DAS</t>
  </si>
  <si>
    <t>IELTS/PTE TRAINER</t>
  </si>
  <si>
    <t>C-F3, Milroc Ribandar Retreat, Alto Ribandar, Tiswadi, North Goa</t>
  </si>
  <si>
    <t>ANAND NIKETAN, AHMEDABAD</t>
  </si>
  <si>
    <t>INDIAN CERTIFICATE OF SECONDARY EDUCATION EXAMINATION (ICSE), AHMEDABAD, GUJARAT</t>
  </si>
  <si>
    <t>THE NEW TULIP INTERNATIONAL SCHOOL</t>
  </si>
  <si>
    <t>CENTRAL BOARD OF SECONDARY EDUCATION (CBSE), AHMEDABAD, GUJARAT</t>
  </si>
  <si>
    <t>INSTITUTE OF ARCHITECTURE AND PLANNING, NIRMA UNIVERSITY, AHMEDABAD, GUJARAT</t>
  </si>
  <si>
    <t>AutoCAD,MS Office,MS Project,Adobe InDesign,Adobe Illustrator,ArcGIS,QGIS,CorelDraw,Photoshop basics,MSP</t>
  </si>
  <si>
    <t>The Society for Development Alternatives Group | Fellow - Resource Efficiency and Circular Economy | New Delhi | Aug 2022 | Aug 2023 | 0Y 11M | 3.72</t>
  </si>
  <si>
    <t>The Society for Development Alternatives Group | Summer Intern - Circular Economy and Resource Efficiency | Remote | Jun 2021 | Aug 2021 | 10 Weeks</t>
  </si>
  <si>
    <t>Urban Policy and City Planning Cohort 2
Data, Monitoring and Evaluation â€“ Cohort 2.0
An Introduction to Climate Finance
Urban Land Economics and Real Estate Market Dynamics
Introduction to Financial Accounting</t>
  </si>
  <si>
    <t>P25702040</t>
  </si>
  <si>
    <t>Ashutosh Ashutosh</t>
  </si>
  <si>
    <t>ashutoshmalra23@gmail.com</t>
  </si>
  <si>
    <t>p25702040@student.nicmar.ac.in</t>
  </si>
  <si>
    <t>23-Jul-2002</t>
  </si>
  <si>
    <t>8462 9348 6815</t>
  </si>
  <si>
    <t>JAIVIR SINGH</t>
  </si>
  <si>
    <t>ANITA RANI</t>
  </si>
  <si>
    <t>43/12 , Gali No-1,Mehlana Road, Ashok Vihar</t>
  </si>
  <si>
    <t>Sonipat</t>
  </si>
  <si>
    <t>LITTLE ANGELS SCHOOL</t>
  </si>
  <si>
    <t>CBSE BOARD, SONIPAT,HARYANA</t>
  </si>
  <si>
    <t>CBSE BOARD,SONIPAT,HARYANA</t>
  </si>
  <si>
    <t>PES UNIVERSITY,BANGALORE,KARNATAKA</t>
  </si>
  <si>
    <t>PES UNIVERSITY, BANGALORE, KARNATAKA</t>
  </si>
  <si>
    <t>MS Office,MS Project,Financial Modeling,Market Feasibility</t>
  </si>
  <si>
    <t>ASHIANA HOUSING LIMITED |  Senior Executive | Bhiwadi,Rajasthan | Apr 2025 | Jul 2025 | 0Y 3M | 5.16
AddRec Solutions Pvt Ltd (JLL) | Senior Executive | Gururgam,Haryana | Mar 2024 | Mar 2025 | 1Y 0M | 3.26
Bellator Media | Sales Executive | Gurugram,Haryana | Oct 2023 | Mar 2024 | 0Y 5M | 3.36</t>
  </si>
  <si>
    <t>IIM Bangalore Vista 2021 | Campus Ambassador | Online | Jun 2021 | Jul 2021 | 8.5714285714286 Weeks
Hoovinahole Prathistana Foundation | Corporate Social Internship | Bengaluru, Karnataka | Oct 2021 | Nov 2021 | 4.2857142857143 Weeks
Om Patterns Lam | Marketing Intern | Bengaluru, Karnataka | Jun 2022 | Aug 2022 | 7.4285714285714 Weeks</t>
  </si>
  <si>
    <t>PESIO: Basics of Marketing
CFI: Financial Modeling and Forecasting Financial Statements
CFI:Corporate Finance Foundation
The Real Estate Financial Modeling Bootcamp
Urban Land Economics and Real Estate Market Dynamics
Introduction to Financial Accounting</t>
  </si>
  <si>
    <t>P25702041</t>
  </si>
  <si>
    <t>TENDULKAR</t>
  </si>
  <si>
    <t>Manas Milind Tendulkar</t>
  </si>
  <si>
    <t>manastendulkar7@gmail.com</t>
  </si>
  <si>
    <t>p25702041@student.nicmar.ac.in</t>
  </si>
  <si>
    <t>06-Feb-2004</t>
  </si>
  <si>
    <t>English , Hindi and Marathi</t>
  </si>
  <si>
    <t>9753 7081 5973</t>
  </si>
  <si>
    <t>DEVELOPER ( CONSTRUCTION )</t>
  </si>
  <si>
    <t>Plot No. 26 , Society No. 2 ,R.K.Nagar , Kolhapur</t>
  </si>
  <si>
    <t>PRIVATE HIGHSCHOOL , KOLHAPUR</t>
  </si>
  <si>
    <t>RAJARAM COLLEGE, KOLHAPUR</t>
  </si>
  <si>
    <t>AutoCAD,MS Office,MS Project,Revit,power Bi</t>
  </si>
  <si>
    <t>Ira construction | Site engineer | Kolhapur | Jun 2024 | Jul 2024 | 4.4285714285714 Weeks</t>
  </si>
  <si>
    <t>Corporate finance (NPTEL)
Equity market analyst</t>
  </si>
  <si>
    <t>P25702042</t>
  </si>
  <si>
    <t>TEJASHVI</t>
  </si>
  <si>
    <t>Tejashvi Raj</t>
  </si>
  <si>
    <t>tejashviraj999@gmail.com</t>
  </si>
  <si>
    <t>p25702042@student.nicmar.ac.in</t>
  </si>
  <si>
    <t>09-Sep-2004</t>
  </si>
  <si>
    <t>4061 7210 5947</t>
  </si>
  <si>
    <t>PALLAVI KASHYAP</t>
  </si>
  <si>
    <t>BUSINESSES WOMAN</t>
  </si>
  <si>
    <t>Near North Point School, Behind L.I.C Divisional Office, Devi Mandir, Ramna</t>
  </si>
  <si>
    <t>Muzaffarpur</t>
  </si>
  <si>
    <t>SHANTI NIKETAN SENIOR SECONDARY SCHOOL</t>
  </si>
  <si>
    <t>CENTRAL BOARD OF SECONDARY EDUCATION, MUZAFFARPUR,BIHAR</t>
  </si>
  <si>
    <t>INSTITUDE OF INFRASTRUCTURE TECHNOLOGY RESERACH AND MANAGEMENT</t>
  </si>
  <si>
    <t>INSTITUTE OF INFRASTRUCTURE, TECHNOLOGY, RESEARCH AND MANAGEMENT,AHMEDABAD,GUJARAT</t>
  </si>
  <si>
    <t>AutoCAD,MS Office,MS Project,Etabs,Revit,SAP,Staad-Pro,SNAP,Candy,Stakeholder Management,Resources Management,Negotiations</t>
  </si>
  <si>
    <t>Acmegrade | Construction Planner | Online | Dec 2023 | Feb 2024 | 8.8571428571429 Weeks</t>
  </si>
  <si>
    <t>Undergraduate Research Award
Appreciation of Academic Performance
Sustainable Urban Water Systems
Urban Land Economics and Real Estate Market Dynamics
Certificate in Autodesk Revit
Project Management - Initiation and Planning
Project Planning and Execution Management
The Principles of Real Estate</t>
  </si>
  <si>
    <t>P25702043</t>
  </si>
  <si>
    <t>Yash Anil Rathod</t>
  </si>
  <si>
    <t>yashrathod2211@gmail.com</t>
  </si>
  <si>
    <t>p25702043@student.nicmar.ac.in</t>
  </si>
  <si>
    <t>06-Mar-2002</t>
  </si>
  <si>
    <t>3328 7264 4584</t>
  </si>
  <si>
    <t>ANIL PANDURANG RATHOD</t>
  </si>
  <si>
    <t>IUDP COLONY_x000D_
NEAR MAHAKALI MANDIR_x000D_
WASHIM</t>
  </si>
  <si>
    <t>SHRI SHIVAJI HIGH SCHOOL</t>
  </si>
  <si>
    <t>GOVERMENT POLYTECHNIC WASHIM</t>
  </si>
  <si>
    <t>P.R.POTE COLLEGE OF ENGINEERING AND MANAGMENT</t>
  </si>
  <si>
    <t>SUNIL KAWARKHE ASSOCIATE | ITERN | WASHIM | May 2022 | Jun 2022 | 5.8571428571429 Weeks
Rukmini Developer | Itern | Washim | May 2019 | Jun 2019 | 5.8571428571429 Weeks</t>
  </si>
  <si>
    <t>Construction project management</t>
  </si>
  <si>
    <t>P25702044</t>
  </si>
  <si>
    <t>MITHLESH</t>
  </si>
  <si>
    <t>GUNASEKAR</t>
  </si>
  <si>
    <t>Mithlesh Gunasekar</t>
  </si>
  <si>
    <t>mithleshgunasekar13@gmail.com</t>
  </si>
  <si>
    <t>p25702044@student.nicmar.ac.in</t>
  </si>
  <si>
    <t>13-Jul-2002</t>
  </si>
  <si>
    <t>ENGLISH,TAMIL,TELUGU,HINDI</t>
  </si>
  <si>
    <t>4216 7159 7296</t>
  </si>
  <si>
    <t>GUNASEKAR D</t>
  </si>
  <si>
    <t>AKILA G</t>
  </si>
  <si>
    <t>8 A, Shri Ranga Layout -1, Nallampalayam</t>
  </si>
  <si>
    <t>BHARATIYA VIDYA BHAVAN MATRICULATION HIGHER SECONDARY SCHOOL</t>
  </si>
  <si>
    <t>STATE BOARD OF TAMIL NADU COIMBATORE</t>
  </si>
  <si>
    <t>BHARATHIAR UNIVERSITY</t>
  </si>
  <si>
    <t>DR. G. R. DAMODARAN COLLEGE OF SCIENCE</t>
  </si>
  <si>
    <t>Address Advisors | Intern BD | Chennai | May 2026 | Jul 2026 | 8.1428571428571 Weeks | Campus Internship
AQUASUBA ENGINEERING | TRAINEE | COIMBATORE  | Jul 2022 | Jul 2022 | 3.4285714285714 Weeks</t>
  </si>
  <si>
    <t>Housing Policy &amp; Planning</t>
  </si>
  <si>
    <t>P25702045</t>
  </si>
  <si>
    <t>GAYATHRI</t>
  </si>
  <si>
    <t>Gayathri Gopal</t>
  </si>
  <si>
    <t>gayathrikothanath@gmail.com</t>
  </si>
  <si>
    <t>p25702045@student.nicmar.ac.in</t>
  </si>
  <si>
    <t>6028 7535 7869</t>
  </si>
  <si>
    <t>GOPAL KONGOT</t>
  </si>
  <si>
    <t>CHARTERED ACCOUNTANT</t>
  </si>
  <si>
    <t>GIRIJA GOPAL</t>
  </si>
  <si>
    <t>Sai Gayatri , 68/1335-C, Semitherymukku, Chittoor Road, Kacheripady, Ernakulam, Kerala 682018</t>
  </si>
  <si>
    <t>BHAVAN'S VARUNA VIDYALAYA</t>
  </si>
  <si>
    <t>CENTRAL BOARD OF SECONDARY EDUCATION, ERNAKULAM, KERALA</t>
  </si>
  <si>
    <t>MAHATMA GANDHI UNIVERSITY, KOTTAYAM, KERALA</t>
  </si>
  <si>
    <t>MANGALAM SCHOOL OF ARCHITECTURE AND PLANNING (MASAP), ETTUMANOOR, KOTTAYAM, KERALA</t>
  </si>
  <si>
    <t>AutoCAD,Sketchup,Adobe Photoshop,Adobe InDesign,Lumion,V-ray,Enscape</t>
  </si>
  <si>
    <t>Stikcon | Jr. Architect | Ernakulam, Kerala | Feb 2024 | Apr 2025 | 1Y 2M | 2.4</t>
  </si>
  <si>
    <t>Kalpataru Limited  | Product Development Intern  | Mumbai  | May 2026 | Jul 2026 | 9.5714285714286 Weeks | Campus Internship
Ensemble Architects | Intern Architect | Banalore | Nov 2022 | Feb 2023 | 16 Weeks</t>
  </si>
  <si>
    <t>P25702046</t>
  </si>
  <si>
    <t>NIDHI</t>
  </si>
  <si>
    <t>HARSHAD</t>
  </si>
  <si>
    <t>CHOTALIYA</t>
  </si>
  <si>
    <t>Nidhi Harshad Chotaliya</t>
  </si>
  <si>
    <t>nidhichotaliya04@gmail.com</t>
  </si>
  <si>
    <t>p25702046@student.nicmar.ac.in</t>
  </si>
  <si>
    <t>19-Jan-2001</t>
  </si>
  <si>
    <t>ENGLISH,HINDI,GUJARATI,MARATHI</t>
  </si>
  <si>
    <t>5365 8148 9498</t>
  </si>
  <si>
    <t>BINA</t>
  </si>
  <si>
    <t>16,Chaya Prakash, Shivaji Nagar,Mulund Checknaka , Thane</t>
  </si>
  <si>
    <t>SHETH KARAMSHI KANJI ENGLISH SCHOOL</t>
  </si>
  <si>
    <t>CBSE MUMBAI</t>
  </si>
  <si>
    <t>K J SOMAIYA COLLEGE OF SCIENCE AND COMMERCE</t>
  </si>
  <si>
    <t>HSC MUMBAI</t>
  </si>
  <si>
    <t>INDIAN EDUCATION SOCIETY'S COLLEGE OF ARCHITECTURE,MUMBAI</t>
  </si>
  <si>
    <t>AutoCAD,MS Office,MS Project,Sketchup,photoshop,enscape,vu city,AutoCAD</t>
  </si>
  <si>
    <t>Beyonddesign Studio | Junior Architect | Mumbai | Feb 2025 | Jun 2025 | 0Y 4M | 3
Krishnan Parvez Architects | Junior Architect | Mumbai | Jul 2024 | Dec 2024 | 0Y 5M | 2.88</t>
  </si>
  <si>
    <t>Kalpataru Limited | Business Development Intern | Mumbai | May 2026 | Jul 2026 | 9.5714285714286 Weeks | Campus Internship
NIKHIL MAHASHUR AND ASSOCIATES | INTERN ARCHITECT | MUMBAI | Aug 2022 | Jul 2023 | 48 Weeks
METIS PRACTICE | INTERN ARCHITECT | MUMBAI | Apr 2022 | Jul 2022 | 13.428571428571 Weeks</t>
  </si>
  <si>
    <t>P25702048</t>
  </si>
  <si>
    <t>VISHRAM</t>
  </si>
  <si>
    <t>Shubham Vishram Chavan</t>
  </si>
  <si>
    <t>sc335326@gmail.com</t>
  </si>
  <si>
    <t>p25702048@student.nicmar.ac.in</t>
  </si>
  <si>
    <t>18-Dec-2000</t>
  </si>
  <si>
    <t>5179 7909 6397</t>
  </si>
  <si>
    <t>VISHRAM DATTARAM CHAVAN</t>
  </si>
  <si>
    <t>JYOTI VISHRAM CHAVAN</t>
  </si>
  <si>
    <t>ROOM NO 5,2ND FLOOR,ASHIRWAD BUILDING, OPPOSITE CHAVAN RESIDENCY,NEAR DHANAHREE PARK,PARKHE VASTI, SUS GAON, PUNE.</t>
  </si>
  <si>
    <t>305/24,Sulochana CHS,Sector:-2,Near Charkop Police Station,Kandivali(West),Mumbai.</t>
  </si>
  <si>
    <t>MOTHER TERESA ENGLISH SECONDARY SCHOOL, KANDIVALI(WEST),MUMBAI.</t>
  </si>
  <si>
    <t>MAHARASHTRA STATE BOARD OF SECONDARY &amp; HIGHER SECONDARY EDUCATION, PUNE.</t>
  </si>
  <si>
    <t>DIPOLMA IN CIVIL ENGINEERING.</t>
  </si>
  <si>
    <t>THAKUR POLYTECHNIC, KANDIVALI(E), MUMBAI,MAHARASHTRA.</t>
  </si>
  <si>
    <t>UNIVERSAL COLLEGE OF ENGINEERING, VASAI, MAHARASHTRA.</t>
  </si>
  <si>
    <t>AutoCAD,MS Office,MS Project,Primavera,Candy,Autodesk BIM,Project Planning,Project Scheduling,Project Monitoring &amp; Control,Drawing interpretation,Ǫuantity Surveying of RCC works,Documentation Management,Material Management,Drawing management,Labor &amp; Staff</t>
  </si>
  <si>
    <t>Talib &amp; Shamsi.Pvt.Ltd. | Planning Engineer. | Borivali (East), Mumbai-400066. | Jan 2024 | Jun 2025 | 1Y 5M | 3.6
Thakur Polytechnic. | Lecturer. | Kandivali (East), Mumbai-400101. | Jul 2023 | Jan 2024 | 0Y 5M | 2.4</t>
  </si>
  <si>
    <t>Sobha Limited-India | Project Planning Intern | Bangalore | May 2026 | Jul 2026 | 9 Weeks | Campus Internship
Pentacle Consultants. | Trainee Engineer. | Powai,Mumbai-400079 | May 2019 | Jun 2019 | 5.7142857142857 Weeks</t>
  </si>
  <si>
    <t>Winners of Kabaddi in Intra College Sports &amp; Cultural Fest(Aurora 2023).
Course on Auto cad 2D,Certified by Max computer education, Kandivali (West),Mumbai.
Course on Primavera Project Management (P6),Certified by Cadd center,Andheri (East), Mumbai.</t>
  </si>
  <si>
    <t>P25702049</t>
  </si>
  <si>
    <t>PRAJAPATI</t>
  </si>
  <si>
    <t>ILESHBHAI</t>
  </si>
  <si>
    <t>Prajapati Aditya Ileshbhai</t>
  </si>
  <si>
    <t>prajapatiadi0223@gmail.com</t>
  </si>
  <si>
    <t>p25702049@student.nicmar.ac.in</t>
  </si>
  <si>
    <t>13-Apr-2002</t>
  </si>
  <si>
    <t>English, Hindi and Gujarati</t>
  </si>
  <si>
    <t>5209 4675 1948</t>
  </si>
  <si>
    <t>ILESHBHAI CHIMANBHAI PRAJAPATI</t>
  </si>
  <si>
    <t>SHARMISTHABEN ILESHBHAI PRAJAPATI</t>
  </si>
  <si>
    <t>Govardhan Park Society, Collage Chokdi</t>
  </si>
  <si>
    <t>Anand</t>
  </si>
  <si>
    <t>ST. MARY'S HIGH SCHOOL</t>
  </si>
  <si>
    <t>KNOWLEDGE HIGH SCHOOL</t>
  </si>
  <si>
    <t>B AND B INSTITUTE OF TECHNOLOGY, V V NAGAR</t>
  </si>
  <si>
    <t>DHARMSINH DESAI UNIVERSITY</t>
  </si>
  <si>
    <t>DHARMSINH DESAI UNIVERSITY, NADIAD</t>
  </si>
  <si>
    <t>RUDRANI INFRASTRUCTURE &amp; DEVELOPER | Project Management Intern | VADODARA | May 2026 | Jul 2026 | 8.7142857142857 Weeks | Campus Internship
Road and Building department Anand | Supervisor  | Anand | Feb 2024 | Mar 2025 | 60.142857142857 Weeks</t>
  </si>
  <si>
    <t>P25702050</t>
  </si>
  <si>
    <t>NIPUN</t>
  </si>
  <si>
    <t>GARUD</t>
  </si>
  <si>
    <t>Nipun Garud</t>
  </si>
  <si>
    <t>nipun.patil2002@gmail.com</t>
  </si>
  <si>
    <t>p25702050@student.nicmar.ac.in</t>
  </si>
  <si>
    <t>19-Oct-2002</t>
  </si>
  <si>
    <t>Chess,cricket,reading books,travelling</t>
  </si>
  <si>
    <t>8634 0814 1855</t>
  </si>
  <si>
    <t>PRAVIN GARUD</t>
  </si>
  <si>
    <t>PALLAVI GARUD</t>
  </si>
  <si>
    <t>519 A Usha Nagar Ext,Indore,M.P,254009</t>
  </si>
  <si>
    <t>CHHATRAPATI SHIVAJI PUBLIC SCHOOL</t>
  </si>
  <si>
    <t>SHRI VAISHNAV POLYTECHNIC COLLEGE INDORE M.P</t>
  </si>
  <si>
    <t>RAJIV GANDHI PROUDYOGIKI VISHWAVIDYALAYA,BHOPAL</t>
  </si>
  <si>
    <t>ACROPOLIS INSTITUTE OF TECHNOLOGY &amp; RESEARCH, INDORE, M.P</t>
  </si>
  <si>
    <t>AutoCAD,MS Office,MS Project,Primavera,3DS MAX,TABLEAU,POWER BI,EXCEL AI,BIM,REVIT</t>
  </si>
  <si>
    <t>Make My House | 2D &amp; 3D Designer  | Indore, Madhya Pradesh  | Dec 2021 | Mar 2023 | 65 Weeks</t>
  </si>
  <si>
    <t>P25702051</t>
  </si>
  <si>
    <t>GANGANAPALLI</t>
  </si>
  <si>
    <t>MUSKIN</t>
  </si>
  <si>
    <t>Ganganapalli Muskin</t>
  </si>
  <si>
    <t>muskinganganapalli89@gmail.com</t>
  </si>
  <si>
    <t>p25702051@student.nicmar.ac.in</t>
  </si>
  <si>
    <t>05-Aug-2002</t>
  </si>
  <si>
    <t>ENGLISH,HINDI,TELUGU,KANNADA</t>
  </si>
  <si>
    <t>GARDENING,TRAVELING,CRICKET</t>
  </si>
  <si>
    <t>4049 9009 6186</t>
  </si>
  <si>
    <t>GANGANAPALLI RAGHUF</t>
  </si>
  <si>
    <t>GANGANAPALLI MUSKINAMMA</t>
  </si>
  <si>
    <t>MAIN ROAD_x000D_
NEAR GOVERNMENT HIGH SCHOOL TALUPULA</t>
  </si>
  <si>
    <t>6-164,Ganjivaripalli (v), Talupula Mandal,Vepamanipeta</t>
  </si>
  <si>
    <t>SREE VALMEEKI E M HIGH SCHOOL</t>
  </si>
  <si>
    <t>BOARD OF  SECONDARY EDUCATION ,ANDHRA PRADESH</t>
  </si>
  <si>
    <t>SRI CHAITANYA JUNIOR COLLEGE,TIRUPATI</t>
  </si>
  <si>
    <t>MADANAPALLE INSTITUTE OF TECHNOLOGY AND SCIENCE</t>
  </si>
  <si>
    <t>SURYA PRIYA CONSTRUCTIONS PRIVATE LIMITED | SITE ENGINEER | Hosakote, Bangalore | Jan 2024 | Jun 2025 | 1Y 4M | 4.67</t>
  </si>
  <si>
    <t>P25702052</t>
  </si>
  <si>
    <t>Ayush Santosh Jadhav</t>
  </si>
  <si>
    <t>ayushjadhav14@gmail.com</t>
  </si>
  <si>
    <t>p25702052@student.nicmar.ac.in</t>
  </si>
  <si>
    <t>14-Feb-2001</t>
  </si>
  <si>
    <t>3935 1515 3132</t>
  </si>
  <si>
    <t>SANTOSH JADHAV</t>
  </si>
  <si>
    <t>TEJASWI JADHAV</t>
  </si>
  <si>
    <t>GOVT LEACTURER</t>
  </si>
  <si>
    <t>1307a Renuka Nivas Foujdar Galli Satyavijay Chowk Rissila Road Khanbhag Sangli</t>
  </si>
  <si>
    <t>CAMBRIDGE JR COLLAHE</t>
  </si>
  <si>
    <t>RAJARAMBAPU INSTITUTE OF TECHNOLOGY SAKHARALE ISLAMPUR</t>
  </si>
  <si>
    <t>Mantra Properties And Developers Pvt Ltd | Land Acquisition &amp; Business Developement  | Pune  | May 2026 | Jul 2026 | 8.7142857142857 Weeks | Campus Internship
MANTRA PROPERTIES AND DEVELOPERS PVT LTD | INTERN PROJECT CO-ORDINATOR RE-DEVELOMENT DIVISION | PUNE MUMBAI  | Jan 2023 | May 2023 | 20 Weeks</t>
  </si>
  <si>
    <t>Engineering Problem Solving using TK Solver and Advanced MS Excel Organized by Department of Civil Engineering of Rajarambapu Institute of Technology In Association with ICACI RIT Student Chapter "CONCRITUS"</t>
  </si>
  <si>
    <t>P25702053</t>
  </si>
  <si>
    <t>SURENDRA</t>
  </si>
  <si>
    <t>Kaushal Surendra Shetty</t>
  </si>
  <si>
    <t>kaushalshetty188@gmail.com</t>
  </si>
  <si>
    <t>p25702053@student.nicmar.ac.in</t>
  </si>
  <si>
    <t>ENGLISH , HINDI , MARATHI , TULU</t>
  </si>
  <si>
    <t>Unconventional travelling,Volunteeering and social impact,Edurance sports,Creative arts</t>
  </si>
  <si>
    <t>7839 2968 3005</t>
  </si>
  <si>
    <t>SURENDRA SHETTY</t>
  </si>
  <si>
    <t>SMITHA SHETTY</t>
  </si>
  <si>
    <t>Plot No 18 Sai Vrandavan Colony Paithan Road</t>
  </si>
  <si>
    <t>CHHATRAPATI SHIVAJI PREPARATORY HIGH SCHOOL</t>
  </si>
  <si>
    <t>MAHARASTRA</t>
  </si>
  <si>
    <t>MIT ACADEMY OF ENGINEERING</t>
  </si>
  <si>
    <t>AutoCAD,MS Office,MS Project,MS Excel</t>
  </si>
  <si>
    <t>GIGFACTORY | BUISNESS DEVELOPMENT | MUMBAI | May 2026 | Jul 2026 | 8.7142857142857 Weeks | Campus Internship
INTERNSHIPWALA CAREERS | BUILDING CONSTRUCTOR | PUNE | Jun 2021 | Aug 2021 | 8.7142857142857 Weeks</t>
  </si>
  <si>
    <t>P25702054</t>
  </si>
  <si>
    <t>SHRIVASTAVA</t>
  </si>
  <si>
    <t>Yash Rajesh Shrivastava</t>
  </si>
  <si>
    <t>yash130502@gmail.com</t>
  </si>
  <si>
    <t>p25702054@student.nicmar.ac.in</t>
  </si>
  <si>
    <t>13-May-2002</t>
  </si>
  <si>
    <t>ENGLISH, HINDI ,MARATHI</t>
  </si>
  <si>
    <t>6540 4120 1327</t>
  </si>
  <si>
    <t>RAJESH SHRIVASTAVA</t>
  </si>
  <si>
    <t>MAMTA SHRIVASTAVA</t>
  </si>
  <si>
    <t>A-302, ACCORD CHS LTD,TANK ROAD,KANDIVALI VILLAGE, OFF M G ROAD, KANDIVALI WEST,MUMBAI</t>
  </si>
  <si>
    <t>SARDAR VALLABHBHAI PATEL VIVIDHLAKSHI VIDYLAYA</t>
  </si>
  <si>
    <t>MAHARASHTRA STATE BOARD OF SECONDARY AND HIGHER SECONDARY EDUCATION,MUMBAI</t>
  </si>
  <si>
    <t>SHRI TIKAMDAS PURSHOTAM BHATIA COLLEGE OF SCIENCE</t>
  </si>
  <si>
    <t>THAKUR POLYTECHNIC, MUMBAI, MAHARASHTRA</t>
  </si>
  <si>
    <t>SHREE L R TIWARI COLLEGE OF ENGINEERING ,MIRA-BHAYANDAR, THANE, MAHARASHTRA</t>
  </si>
  <si>
    <t>AutoCAD,MS Office,MS Project,Canva,Candy,Primavera</t>
  </si>
  <si>
    <t>SJ PROJECT MANAGEMENT CONSULTANT | Graduate Engineer Trainee (Civil) | Dattani Village,Vasai West, Mumbai,Maharashtra | Oct 2024 | Jun 2025 | 0Y 8M | 2.64</t>
  </si>
  <si>
    <t>PSP Projects Ltd | Civil Intern  | Mumbai, Maharashtra | May 2026 | Jul 2026 | 8.7142857142857 Weeks | Campus Internship</t>
  </si>
  <si>
    <t>AutoCAD for Civil Engineers
FINLATICS EQUITY MARKETS ANALYST
Introduction to financial accounting</t>
  </si>
  <si>
    <t>P25702055</t>
  </si>
  <si>
    <t>DHANVIJAY</t>
  </si>
  <si>
    <t>Manasi Narendra Dhanvijay</t>
  </si>
  <si>
    <t>mansidhanvijay2001@gmail.com</t>
  </si>
  <si>
    <t>p25702055@student.nicmar.ac.in</t>
  </si>
  <si>
    <t>3752 3688 9319</t>
  </si>
  <si>
    <t>NARENDRA DHANVIJAY</t>
  </si>
  <si>
    <t>PRABHA DHANVIJAY</t>
  </si>
  <si>
    <t>VARAD RESIDENCY, BALEWADI ROAD, BALEWADI .</t>
  </si>
  <si>
    <t>Gaurav Residency Lashkaribagh Bhoslewadi  Nagpur</t>
  </si>
  <si>
    <t>ST JOESPH CONVENT GIRLS HIGH SCHOOL &amp; JR COLLEGE</t>
  </si>
  <si>
    <t>CIVIL ENGINERING</t>
  </si>
  <si>
    <t>ANJUMAN POLYTECHNIC NAGPUR</t>
  </si>
  <si>
    <t>RASHTRASANT TUKODOJI MAHARAJ NAGPUR</t>
  </si>
  <si>
    <t>G H RAISONI INSTITUTE OF ENGINEERING AND TECHNOLOGY, NAGPUR</t>
  </si>
  <si>
    <t>Green City | Intern  | Jafan Nagar, main road  | May 2019 | Jun 2019 | 5.8571428571429 Weeks
Rahat Ali Civil Contractor | Intern  | Jafan Nagar  | Jun 2022 | Jul 2022 | 4.2857142857143 Weeks
Faecom | Intern  | IT Park Nagpur  | Jan 2024 | May 2024 | 21.571428571429 Weeks</t>
  </si>
  <si>
    <t>Introduction to financial accounting
Urban land economics and real estate market dynamics</t>
  </si>
  <si>
    <t>P25702056</t>
  </si>
  <si>
    <t>JEEVA</t>
  </si>
  <si>
    <t>KARTHICK</t>
  </si>
  <si>
    <t>Jeeva Karthick K</t>
  </si>
  <si>
    <t>jeevakarthick1130@gmail.com</t>
  </si>
  <si>
    <t>p25702056@student.nicmar.ac.in</t>
  </si>
  <si>
    <t>30-Nov-2000</t>
  </si>
  <si>
    <t>TAMIL &amp; ENGLISH</t>
  </si>
  <si>
    <t>6479 1505 4993</t>
  </si>
  <si>
    <t>KANAGARAJ R</t>
  </si>
  <si>
    <t>GEETHA LAKSHMI K</t>
  </si>
  <si>
    <t>4/380 A1, Jeevakarthick Illam, Sasi Nagar, Kaveri Street, Thanbal Thandi Nagar Virivakkam,</t>
  </si>
  <si>
    <t>Madurai</t>
  </si>
  <si>
    <t>CEOA MATRICULATION HIGHER SECONDARY SCHOOL</t>
  </si>
  <si>
    <t>MADURAI, TAMILNADU</t>
  </si>
  <si>
    <t>MADURAI</t>
  </si>
  <si>
    <t>CHENGALPATTU, TAMIL NADU</t>
  </si>
  <si>
    <t>AutoCAD,MS Office,sketchup,lumion,photoshop,Indesign,Enscape</t>
  </si>
  <si>
    <t>Le-arch design studio | Junior architect | Adyar, chennai | Jul 2024 | Dec 2024 | 0Y 5M | 2.16</t>
  </si>
  <si>
    <t>Balaji associates | Intern | Chennai | Jun 2022 | Sep 2022 | 14.428571428571 Weeks</t>
  </si>
  <si>
    <t>P25702057</t>
  </si>
  <si>
    <t>YERNE</t>
  </si>
  <si>
    <t>Rakesh Sunil Yerne</t>
  </si>
  <si>
    <t>rakeshyerne0208@gmail.com</t>
  </si>
  <si>
    <t>p25702057@student.nicmar.ac.in</t>
  </si>
  <si>
    <t>02-Aug-2001</t>
  </si>
  <si>
    <t>ENGLSIH,HINDI,MARATHI</t>
  </si>
  <si>
    <t>5381 5544 4304</t>
  </si>
  <si>
    <t>SUNIL YERNE</t>
  </si>
  <si>
    <t>SHALU YERNE</t>
  </si>
  <si>
    <t>SKYLINE PG 2, INFRONT OF HIRAI SITAI MANDIR,HINJEWADI</t>
  </si>
  <si>
    <t>S/o Sunil Yerne, Durga Nagar, Tumsar, Bhandara</t>
  </si>
  <si>
    <t>PROGRESSIVE ENGLISH SCHOOL</t>
  </si>
  <si>
    <t>CBSE-DELHI</t>
  </si>
  <si>
    <t>KAVIKULGURU INSTITUTE OF TECHNOLOGY AND SCIENCE</t>
  </si>
  <si>
    <t>SHRI SHAKTI CONSTRUCTION | TRAINEE ENGINEER | GONDIA | Jul 2023 | Dec 2023 | 21.857142857143 Weeks
PS PROJECTS INDIA | TRAINEE ENGINEER | CHAKAN , PUNE | Dec 2024 | May 2025 | 21.571428571429 Weeks</t>
  </si>
  <si>
    <t>The Board of TIJER- International Research Journal
PG Diploma in Advanced Computing</t>
  </si>
  <si>
    <t>P25702058</t>
  </si>
  <si>
    <t>ANUBROTO</t>
  </si>
  <si>
    <t>GHOSH</t>
  </si>
  <si>
    <t>Anubroto Ghosh</t>
  </si>
  <si>
    <t>anubrotoghosh09@gmail.com</t>
  </si>
  <si>
    <t>p25702058@student.nicmar.ac.in</t>
  </si>
  <si>
    <t>09-Dec-2000</t>
  </si>
  <si>
    <t>ENGLISH, HINDI, BENGALI, ASSAMESE</t>
  </si>
  <si>
    <t>9336 4529 7725</t>
  </si>
  <si>
    <t>SUJIT GHOSH</t>
  </si>
  <si>
    <t>SREEPARNA GHOSH</t>
  </si>
  <si>
    <t>Sujit Ghosh, Flat # F/C, R S Sengupta Villa, Behind Bandhav Samity Club, East Bankimpally, Madhyamgram, Kolkata, WestÂ Bengal</t>
  </si>
  <si>
    <t>JULIEN DAY SCHOOL</t>
  </si>
  <si>
    <t>KALINGA INSTITUTE OF INDUSTRIAL TECHNOLOGY, BHUBANESHWAR</t>
  </si>
  <si>
    <t>AutoCAD,MS Office,MS Project,Adobe Suite,Revit,Twinmotion,Lumion,Enscape</t>
  </si>
  <si>
    <t>P25702059</t>
  </si>
  <si>
    <t>GAURAVI</t>
  </si>
  <si>
    <t>Gauravi Dilip Sonawane</t>
  </si>
  <si>
    <t>gauravisonawane5@gmail.com</t>
  </si>
  <si>
    <t>p25702059@student.nicmar.ac.in</t>
  </si>
  <si>
    <t>05-Jun-2000</t>
  </si>
  <si>
    <t>MARATHI,HINDI AND ENGLISH</t>
  </si>
  <si>
    <t>9406 8857 4701</t>
  </si>
  <si>
    <t>PRAMILA</t>
  </si>
  <si>
    <t>507, Ashok Vatika, Yashasvi Nagar, Dokali Road, Thane (w)</t>
  </si>
  <si>
    <t>GRAMIN SHIKSHAN SANSTHA ENGLISH HIGH SCHOOL AND JUNIOR COLLEGE</t>
  </si>
  <si>
    <t>MAHARASHTRA STATE BOARD, MAHARASTRA</t>
  </si>
  <si>
    <t>M.H. HIGH SCHOOL AND JUNIOR COLLEGE</t>
  </si>
  <si>
    <t>PILLAI HOC COLLEGE OF ARCHITECTURE,PANVEL, RASAYANI, MAHARASHTRA</t>
  </si>
  <si>
    <t>AutoCAD,MS Office,Revit,SketchUp,Lumion</t>
  </si>
  <si>
    <t>O'archilos | Architect | Thane | Oct 2022 | May 2024 | 1Y 7M | 2.91
Apices | Jr. Architect | Thane | Aug 2024 | Jun 2025 | 0Y 9M | 3.36</t>
  </si>
  <si>
    <t>AVM ARCHITECTS | INTERN | THANE | Jan 2021 | May 2021 | 18.142857142857 Weeks</t>
  </si>
  <si>
    <t>P25702060</t>
  </si>
  <si>
    <t>NAYAK</t>
  </si>
  <si>
    <t>Anshuman Nayak</t>
  </si>
  <si>
    <t>anshubablu24@gmail.com</t>
  </si>
  <si>
    <t>p25702060@student.nicmar.ac.in</t>
  </si>
  <si>
    <t>WATCHING NEWS,GETTING UPDATES ON GLOBAL CONFLICTS AND WARS,DEFENCE UPDATES OF VARIOUS COUNTRIES</t>
  </si>
  <si>
    <t>7840 9981 9522</t>
  </si>
  <si>
    <t>SHESHADEV NAYAK</t>
  </si>
  <si>
    <t>RETD GOVT SERVANT</t>
  </si>
  <si>
    <t>MAMATA NAYAK</t>
  </si>
  <si>
    <t>NURSING OFFICER</t>
  </si>
  <si>
    <t>PLOT NO-318/894 RANASINGPUR NEAR AIIMS BBSR DIST-KHORDHA BHUBANESWAR</t>
  </si>
  <si>
    <t>KENDRIYA VIDYALAYA NO-2 CRPF BHUBANESWAR ODISHA</t>
  </si>
  <si>
    <t>CENTRAL BOARD OF SECONDARY EDUCATION,  BHUBANESWAR/ODISHA</t>
  </si>
  <si>
    <t>BUXI JAGABANDHU ENGLISH MEDIUM SCHOOL 2, SATYABHAMAPUR BHUBANESWAR ODISHA</t>
  </si>
  <si>
    <t>VEER SURENDRA SAI UNIVERSITY OF TECHNOLOGY, BURLA SAMBALPUR ODISHA</t>
  </si>
  <si>
    <t>CENTRAL TOOL ROOM &amp; TRAINING CENTRE | INTERN | BHUBANESWAR | Jun 2022 | Jun 2022 | 4.1428571428571 Weeks
ODISHA INDUSTRIAL INFRASTRUCTURE DEVELOPEMENT CORPORATION | INTERN | BHUBANESWAR | May 2023 | Jun 2023 | 2.7142857142857 Weeks
OFFICE OF THE EXECUTIVE ENGINEER (R&amp;B) BHUBANESWAR | TENDERING ,SOPS OF GOVT WORKING AND ESTIMATION WORKS | BHUBANESWAR | May 2023 | Jun 2023 | 4.2857142857143 Weeks</t>
  </si>
  <si>
    <t>STAAD PRO</t>
  </si>
  <si>
    <t>P25702061</t>
  </si>
  <si>
    <t>PRACHET</t>
  </si>
  <si>
    <t>ACHARY</t>
  </si>
  <si>
    <t>Prachet Babu Achary</t>
  </si>
  <si>
    <t>prachetkaka2010@gmail.com</t>
  </si>
  <si>
    <t>p25702061@student.nicmar.ac.in</t>
  </si>
  <si>
    <t>18-May-2002</t>
  </si>
  <si>
    <t>ENGLISH, HINDI, MARATHI AND MALAYALAM</t>
  </si>
  <si>
    <t>8999 1555 8994</t>
  </si>
  <si>
    <t>2nd Ranjana Niwas, Near Samarth Gym, Tank Pakhadi, Road No.3, Sahar Village, Andheri East_x000D_
Near Sahar BMC Ground</t>
  </si>
  <si>
    <t>BOMBAY CAMBRIDGE SCHOOL, MUMBAI</t>
  </si>
  <si>
    <t>DIVINE CHILD JUNIOR COLLEGE, MUMBAI</t>
  </si>
  <si>
    <t>SHREE L.R.TIWARI COLLEGE OF ENGINEERING, MIRA-BHAYANDAR, THANE, MAHARASHTRA</t>
  </si>
  <si>
    <t>AutoCAD,MS Excel</t>
  </si>
  <si>
    <t>Varun Enterprises | Trainee Site Supervisor | Mumbai | Dec 2022 | Jan 2023 | 4.4285714285714 Weeks
Shree L.R. Tiwari College Of Engineering | Intern | Mira Road | Jan 2023 | Jan 2023 | 3 Weeks</t>
  </si>
  <si>
    <t>P25702062</t>
  </si>
  <si>
    <t>PAWAN</t>
  </si>
  <si>
    <t>ANILRAO</t>
  </si>
  <si>
    <t>WANKAR</t>
  </si>
  <si>
    <t>Pawan Anilrao Wankar</t>
  </si>
  <si>
    <t>pawanwankar09@gmail.com</t>
  </si>
  <si>
    <t>p25702062@student.nicmar.ac.in</t>
  </si>
  <si>
    <t>08-Apr-2001</t>
  </si>
  <si>
    <t>2665 7870 3059</t>
  </si>
  <si>
    <t>ANIL DADAJI WANKAR</t>
  </si>
  <si>
    <t>MAYA ANILRAO WANKAR</t>
  </si>
  <si>
    <t>GANJRE LAYOUT, PIPRI, WARDHA.</t>
  </si>
  <si>
    <t>RASHTRA SANT TUKDOJI MAHARAJ VIDYALAY, WARDHA.</t>
  </si>
  <si>
    <t>MAHARASHTRA STATE BOARD OF SECONDARY AND HIGHER SECONDARY EDUCATION, WARDHA, MAHARASHTRA.</t>
  </si>
  <si>
    <t>JANKIDEVI BAJAJ COLLEGE OF SCIENCE, WARDHA.</t>
  </si>
  <si>
    <t>DR. BABASAHEB AMBEDKAR TECHNOLOGICAL UNIVERSITY, LONERE.</t>
  </si>
  <si>
    <t>BAJAJ INSTITUTE OF TECHNOLOGY, WARDHA.</t>
  </si>
  <si>
    <t>AutoCAD,MS Office,REVIT-ARCHITECTURE,REVIT-STRUCTURE</t>
  </si>
  <si>
    <t>HARSHAL BUILDCON LLP. | Site Engineer | Bajaj Auto Limited, Chakan, Plant - II, Pune. | Sep 2022 | Jun 2023 | 0Y 9M | 1.56
MILLENNIUM ENGINEERS &amp; CONTRACTORS PVT.LTD. | Jr. Engineer - Execution | Vishrantwadi, Pune. | Jul 2023 | Jun 2024 | 0Y 11M | 2.8
PS PROJECTS INDIA | Jr. Engineer - Execution | Malpani Industrial and logistic park, Chakan, Pune | Jun 2024 | Jul 2025 | 1Y 0M | 4.08</t>
  </si>
  <si>
    <t>HARSHAL BULDCON LLP. | Technical coordinator- Execution | Bajaj Auto Limited Phase- II, Chakan, Pune. | Feb 2022 | Jun 2022 | 18.142857142857 Weeks</t>
  </si>
  <si>
    <t>P25702063</t>
  </si>
  <si>
    <t>TANVI</t>
  </si>
  <si>
    <t>SUNE</t>
  </si>
  <si>
    <t>Tanvi Anil Sune</t>
  </si>
  <si>
    <t>tanvisune2@gmail.com</t>
  </si>
  <si>
    <t>p25702063@student.nicmar.ac.in</t>
  </si>
  <si>
    <t>25-Nov-2000</t>
  </si>
  <si>
    <t>8077 9405 5263</t>
  </si>
  <si>
    <t>ANIL P SUNE</t>
  </si>
  <si>
    <t>SANGITA ANIL SUNE</t>
  </si>
  <si>
    <t>12, New ITI Colony Kanta Nagar Camp, Amravati_x000D_
Near Gajanan Maharaj Mandir</t>
  </si>
  <si>
    <t>SAINT PAUL'S ACADEMY, AKOT, AKOLA, MAHARASHTRA, 444101</t>
  </si>
  <si>
    <t>LAL BAHADUR SHASTRI DNYANPEETH, JUNIOR COLLEGE OF SCIENCE &amp; COMMERCE, AKOT, AKOLA, MAHARASHTRA, 444101</t>
  </si>
  <si>
    <t>D.Y.PATIL SCHOOL OF ARCHITECTURE, AMBI, PUNE, MAHARSHTRA</t>
  </si>
  <si>
    <t>AutoCAD,MS Office,sketch up,lumion</t>
  </si>
  <si>
    <t>Kymera Design Studio | Intern Architect  | Aundh, Pune | Jun 2022 | Dec 2022 | 26.285714285714 Weeks</t>
  </si>
  <si>
    <t>P25702064</t>
  </si>
  <si>
    <t>BHASKARA SAI</t>
  </si>
  <si>
    <t>CHAKRAVARTULA</t>
  </si>
  <si>
    <t>Bhaskara Sai Chakravartula</t>
  </si>
  <si>
    <t>bhaskarasaic@gmail.com</t>
  </si>
  <si>
    <t>p25702064@student.nicmar.ac.in</t>
  </si>
  <si>
    <t>3939 0703 8961</t>
  </si>
  <si>
    <t>GANGA KUMAR CHAKRAVARTULA</t>
  </si>
  <si>
    <t>TULASI CHAKRAVARTULA</t>
  </si>
  <si>
    <t>H.NO-5, Phase-3, Jewel County Apartments Road, Sri Sai Srinivasa Nagar Colony, Keserapalli.</t>
  </si>
  <si>
    <t>P OBUL REDDY PUBLIC SCHOOL</t>
  </si>
  <si>
    <t>CENTRAL BOARD OF SECONDARY EDUCATION, TELANGANA</t>
  </si>
  <si>
    <t>VELAGAPUDI RAMAKRISHNA SIDDHARTHA ENGINEERING COLLEGE</t>
  </si>
  <si>
    <t>P25702065</t>
  </si>
  <si>
    <t>VED</t>
  </si>
  <si>
    <t>Ved Manoj Patel</t>
  </si>
  <si>
    <t>vedpatel9158@gmail.com</t>
  </si>
  <si>
    <t>p25702065@student.nicmar.ac.in</t>
  </si>
  <si>
    <t>ENGLISH, HINDI, MARATHI AND GUJARATI</t>
  </si>
  <si>
    <t>9560 6682 2240</t>
  </si>
  <si>
    <t>MANOJ PATEL</t>
  </si>
  <si>
    <t>RITA PATEL</t>
  </si>
  <si>
    <t>Samarpan Society, Moshi Pradhikaran Pune</t>
  </si>
  <si>
    <t>SHRI P P D SANSKAR MANDIR PUNE</t>
  </si>
  <si>
    <t>CBSE PUNE/MAHARASHTRA</t>
  </si>
  <si>
    <t>PRATIBHA JUNIOR COLLEGE</t>
  </si>
  <si>
    <t>MAHARASHTRA BOARD PUNE/MAHARASHTRA</t>
  </si>
  <si>
    <t>SYMBIOSIS SKILLS AND PROFESSIONAL UNIVERSITY</t>
  </si>
  <si>
    <t>SYMBIOSIS SKILLS AND PROFESSIONAL UNIVERSITY PUNE/MAHARASHTRA</t>
  </si>
  <si>
    <t>MS Office,MS Project,Tableau</t>
  </si>
  <si>
    <t>Future Icon | Web Developer  | Mumbai | Feb 2025 | Jun 2025 | 17.428571428571 Weeks
ARC Solution | Data Analyst Intern  | Pune | Jun 2024 | Aug 2024 | 8 Weeks
Cyber Secured India | Web Developer  | Pune | Jun 2023 | Sep 2023 | 15.285714285714 Weeks</t>
  </si>
  <si>
    <t>P25702066</t>
  </si>
  <si>
    <t>DHARMESH</t>
  </si>
  <si>
    <t>ZANJARI</t>
  </si>
  <si>
    <t>Dharmesh Pradeep Zanjari</t>
  </si>
  <si>
    <t>dharmeshzanjari011@gmail.com</t>
  </si>
  <si>
    <t>p25702066@student.nicmar.ac.in</t>
  </si>
  <si>
    <t>11-Apr-2004</t>
  </si>
  <si>
    <t>5412 2477 0926</t>
  </si>
  <si>
    <t>ENTREPRENEUR</t>
  </si>
  <si>
    <t>SAINATH COLONY,GANGAPUR ROAD,VAIJAPUR 423701</t>
  </si>
  <si>
    <t>SAINT MONICA ENGLISH SCHOOL</t>
  </si>
  <si>
    <t>DEOGIRI COLLEGE OF COMMERCE</t>
  </si>
  <si>
    <t>BRIHAN MAHARASHTRA COLLEGE OF COMMERCE</t>
  </si>
  <si>
    <t>other,MS EXCEL</t>
  </si>
  <si>
    <t>AADI ENGINEERS AND CONSULTANTS | PROJECT MANAGEMENT | AURANGABAD | Apr 2025 | Jul 2025 | 13 Weeks</t>
  </si>
  <si>
    <t>P25702067</t>
  </si>
  <si>
    <t>SHRAVANI</t>
  </si>
  <si>
    <t>Shravani Deepak Garud</t>
  </si>
  <si>
    <t>shravanigarud317109@gmail.com</t>
  </si>
  <si>
    <t>p25702067@student.nicmar.ac.in</t>
  </si>
  <si>
    <t>17-Jan-2004</t>
  </si>
  <si>
    <t>8969 5155 1552</t>
  </si>
  <si>
    <t>Paras Nagar, Shendurni Tal: Jamner Dist: Jalgaon</t>
  </si>
  <si>
    <t>A G R GARUD M V SHENDURNI</t>
  </si>
  <si>
    <t>MAHARASHTRA CITY: SHENDURNI</t>
  </si>
  <si>
    <t>GOVERNMENT POLYTECHNIQUE JALGAON</t>
  </si>
  <si>
    <t>AMRUTVAHINI COLLEGE OF ENGINEERING SANGAMNER</t>
  </si>
  <si>
    <t>Swaraj Construction Pvt Limited, Sangamner | Site Supervisor Trainee | sangamner | Dec 2023 | Jan 2024 | 4.4285714285714 Weeks</t>
  </si>
  <si>
    <t>Project management</t>
  </si>
  <si>
    <t>P25702068</t>
  </si>
  <si>
    <t>JAINIL</t>
  </si>
  <si>
    <t>UPESHBHAI</t>
  </si>
  <si>
    <t>Jainil Upeshbhai Shah</t>
  </si>
  <si>
    <t>jainil523@icloud.com</t>
  </si>
  <si>
    <t>p25702068@student.nicmar.ac.in</t>
  </si>
  <si>
    <t>11-Aug-2003</t>
  </si>
  <si>
    <t>HINDI,ENGLISH,GUJRATI</t>
  </si>
  <si>
    <t>7707 2952 7940</t>
  </si>
  <si>
    <t>UPESH SHAH</t>
  </si>
  <si>
    <t>BUISNESSMAN</t>
  </si>
  <si>
    <t>AMITA SHAH</t>
  </si>
  <si>
    <t>A-35 Shantiniketan Society Opposite Aashirvad Complex Beside Suryanagar Garba Ground ,waghodiya Road_x000D_
Colony</t>
  </si>
  <si>
    <t>BRIGHT SCHOOL</t>
  </si>
  <si>
    <t>GUJRAT SECONDARY AND HIGHER SECONDARY BOARD OF EDUCATION</t>
  </si>
  <si>
    <t>VITTHAL VIDHYALAYA</t>
  </si>
  <si>
    <t>GUJRAT TECHNICAL UNIVERSITY</t>
  </si>
  <si>
    <t>SARDAR VALLABHBHAI PATEL INSTITUTE OF TECHNOLOGY,VASAD</t>
  </si>
  <si>
    <t>DESAI CONSTRUCTION PRIVATE LIMITED  | SITE EXECUTION  | DHARAMPUR,GUJRAT  | May 2026 | Jul 2026 | 8.7142857142857 Weeks | Campus Internship
NILAMBER GROUPS | CONSTRUCTION SITE  (CONSTRUCTION EXECUTED BY NCCCL) | VADODARA | Feb 2025 | Apr 2025 | 11 Weeks</t>
  </si>
  <si>
    <t>P25702069</t>
  </si>
  <si>
    <t>Tejas Santosh Shede</t>
  </si>
  <si>
    <t>shedetejas2001@gmail.com</t>
  </si>
  <si>
    <t>p25702069@student.nicmar.ac.in</t>
  </si>
  <si>
    <t>4988 9063 7317</t>
  </si>
  <si>
    <t>SONAM</t>
  </si>
  <si>
    <t>At Post.Sakharpa, Tai- Sangameshwar</t>
  </si>
  <si>
    <t>SHREEMAN TUKARAM GANSHET GANDHI VIDYALAY, KONDGAON</t>
  </si>
  <si>
    <t>KOKAN DIVISIONAL BOARD/MAHARASHTRA</t>
  </si>
  <si>
    <t>KAI.SAU.MEENATAI THAKARE KANISHTA MAHAVIDYALAY, SADVALI</t>
  </si>
  <si>
    <t>D.Y.PATIL COLLEGE OF ENGINEERING AND TECHNOLOGY, KASABA, BAWADA, KOLHAPUR</t>
  </si>
  <si>
    <t>AutoCAD,ETABS</t>
  </si>
  <si>
    <t>ETABS
Autocad</t>
  </si>
  <si>
    <t>P25702070</t>
  </si>
  <si>
    <t>Daksh Vinod Patel</t>
  </si>
  <si>
    <t>dakshp640@gmail.com</t>
  </si>
  <si>
    <t>p25702070@student.nicmar.ac.in</t>
  </si>
  <si>
    <t>01-Sep-2004</t>
  </si>
  <si>
    <t>HINDI, GUJARATI, MARATHI, ENGLISH</t>
  </si>
  <si>
    <t>9522 9240 9735</t>
  </si>
  <si>
    <t>VINOD V. PATEL</t>
  </si>
  <si>
    <t>CHANDRIKA V. PATEL</t>
  </si>
  <si>
    <t>HOUSE WIFE/ HOUSE MAKER</t>
  </si>
  <si>
    <t>Behind Aashirwad Hall, Umred</t>
  </si>
  <si>
    <t>MODERN HIGH SCHOOL</t>
  </si>
  <si>
    <t>MAHARASHTRA STATE BOARD (SSC), NAGPUR, MAHARASHTRA</t>
  </si>
  <si>
    <t>ASHOK JUNIOR COLLEGE</t>
  </si>
  <si>
    <t>MAHARASHTRA STATE BOARD (HSC), NAGPUR, MAHARASHTRA</t>
  </si>
  <si>
    <t>CITY PRIMER COLLEGE, NAGPUR, MAHARASHTRA</t>
  </si>
  <si>
    <t>AutoCAD,MS Office,MS Project,Tally,Visual Studio Code,Tally Prime,TypingMaster</t>
  </si>
  <si>
    <t>The Tax Therapist  | Inten Finance, Taxation and Accounting  | Mumbai (Hybrid) | May 2026 | Jul 2026 | 9.8571428571429 Weeks</t>
  </si>
  <si>
    <t>Certificate Course in Advance Accounting
Sustainable Urban Water System
Urban Land Economics and Real Estate Market Dynamics
Introduction to Financial Accounting
Fundamentals of the C Language: Getting Started</t>
  </si>
  <si>
    <t>P25702071</t>
  </si>
  <si>
    <t>RISHIPATHAK</t>
  </si>
  <si>
    <t>Sarvesh Sanjay Rishipathak</t>
  </si>
  <si>
    <t>sarveshrishipathak2003@gmail.com</t>
  </si>
  <si>
    <t>p25702071@student.nicmar.ac.in</t>
  </si>
  <si>
    <t>2439 7294 9922</t>
  </si>
  <si>
    <t>SANJAY RAMESH RISHIPATHAK</t>
  </si>
  <si>
    <t>VAISHALI SANJAY RISHIPATHAK</t>
  </si>
  <si>
    <t>Flat No. 203, Plot No. 230, Priyadarshani Chs, Sector-04, Airoli, Navi Mumbai, 400708</t>
  </si>
  <si>
    <t>SMT. RADHIKABAI MEGHE VIDYALAYA, AIROLI, NAVI MUMBAI</t>
  </si>
  <si>
    <t>FR. AGNEL POLYTECHNIC, VASHI, NAVI MUMBAI</t>
  </si>
  <si>
    <t>MAHATMA GANDHI MISSION'S COLLEGE OF ENGINEERING, KAMOTHE, NAVI MUMBAI</t>
  </si>
  <si>
    <t>B G Shirke Construction Technology Pvt Ltd | Intern | Taloja, Navi Mumbai | Aug 2021 | Sep 2021 | 4.5714285714286 Weeks</t>
  </si>
  <si>
    <t>P25702072</t>
  </si>
  <si>
    <t>GHANGALE</t>
  </si>
  <si>
    <t>Pradnya Laxman Ghangale</t>
  </si>
  <si>
    <t>ghangalepradnya72@gmail.com</t>
  </si>
  <si>
    <t>p25702072@student.nicmar.ac.in</t>
  </si>
  <si>
    <t>17-May-2001</t>
  </si>
  <si>
    <t>6836 2431 8567</t>
  </si>
  <si>
    <t>WAKDEWADI,SHIVAJINAGAR,PUNE,411003_x000D_</t>
  </si>
  <si>
    <t>AT POST RAJURI,TAL-JUNNAR,DIST-PUNE</t>
  </si>
  <si>
    <t>VIDYA VIKAS MANDIR,RAJURI</t>
  </si>
  <si>
    <t>DR.BHANUBEN NANAVATI COLLEGE OF ARCHITECTURE,PUNE</t>
  </si>
  <si>
    <t>INESIS ARCHITECTS | ARCHITECTURE INTERN | JAIPUR  | Jun 2024 | Oct 2024 | 18.428571428571 Weeks</t>
  </si>
  <si>
    <t>EDGE
NPTEL- Housing planning and policy
COURSERA-Urban land Economics and real estate market dynamics
COURSERA- Introduction to Financial accounting</t>
  </si>
  <si>
    <t>P25702073</t>
  </si>
  <si>
    <t>SARPE</t>
  </si>
  <si>
    <t>Kunal Kiran Sarpe</t>
  </si>
  <si>
    <t>kunalsarpe242003@gmail.com</t>
  </si>
  <si>
    <t>p25702073@student.nicmar.ac.in</t>
  </si>
  <si>
    <t>24-Apr-2003</t>
  </si>
  <si>
    <t>9721 5358 6358</t>
  </si>
  <si>
    <t>KIRAN SARPE</t>
  </si>
  <si>
    <t>VISHAKHA SARPE</t>
  </si>
  <si>
    <t>SHIVAJI NAGAR, PUNE</t>
  </si>
  <si>
    <t>Shivaji Nagar, Pune</t>
  </si>
  <si>
    <t>DR K. D. SHENDGE ENGLISH MEDIUM SHOOL</t>
  </si>
  <si>
    <t>B.H.CHATE JR. COLLEGE , KHEDSHIVAPUR, PUNE</t>
  </si>
  <si>
    <t>SAVITARIBAI PHULE PUNE UNIVERSITY</t>
  </si>
  <si>
    <t>AISSMS COE, PUNE, MAHARASTRA</t>
  </si>
  <si>
    <t>MS Office,STADPRO</t>
  </si>
  <si>
    <t>MILLENNIUM ENGG.AND CONTRACTORS PVT.LTD | RESIDENTICAL PROJECT | PRIDE WORLD CITY, DHANORI, PUNE | Dec 2023 | Jan 2024 | 4.1428571428571 Weeks</t>
  </si>
  <si>
    <t>P25702074</t>
  </si>
  <si>
    <t>Rishikesh Patil</t>
  </si>
  <si>
    <t>rishi.pat17@gmail.com</t>
  </si>
  <si>
    <t>p25702074@student.nicmar.ac.in</t>
  </si>
  <si>
    <t>9925 4399 9305</t>
  </si>
  <si>
    <t>PADMAKAR PATIL</t>
  </si>
  <si>
    <t>PALLAVI PATIL</t>
  </si>
  <si>
    <t>B503, NISARG NIRMITI SOCIETY,_x000D_
KOKANE CHOWK, PIMPLE SAUDAGAR, PUNE</t>
  </si>
  <si>
    <t>Khedi Vyavhardal,_x000D_
Kurhe Khurd,_x000D_
Amalner, Jalgaon</t>
  </si>
  <si>
    <t>PODAR INTERNATIONAL SCHOOL , BESA NAGPUR</t>
  </si>
  <si>
    <t>CBSE, NAGPUR</t>
  </si>
  <si>
    <t>MKH SANCHETI PUBLIC SCHOOL AND JUNIOR COLLEGE</t>
  </si>
  <si>
    <t>AMITY UNIVERSITY, UTTAR PRADESH</t>
  </si>
  <si>
    <t>AMITY GLOBAL BUSINESS SCHOOL, PUNE</t>
  </si>
  <si>
    <t>MS Office,MS Project,Primavera,EXCEL,PowerBI,Candy,Equity Research,Infra finance,Risk Management,Investment Analysis,Budgeting,Marketing Analytics,Business Development,MS Word,Infra Management,Project Appraisal,Asset Management</t>
  </si>
  <si>
    <t>Edsom Fintech Pvt. Ltd | Finance and Banking Operations Intern | Pune | May 2026 | Jun 2026 | 8 Weeks | Campus Internship
MITTAL BROTHERS PVT LTD | SALES And Project Coordination Intern | PUNE | Jun 2024 | Aug 2024 | 8.5714285714286 Weeks</t>
  </si>
  <si>
    <t>Supply Chain Principles
Introduction To Business Analysis
Introduction To Corporate Finance
Real Estate Development: Building Value In Your Community
Internal Communications Framework
External Communications Channels
Introduction To Corporate Communications
Indian Town Planning And Architecture
Introduction To Financial Accounting
Housing Policy And Planning
Urban Land Economics And Real Estate Market Dynamics
Mckinsey Forward
Accounting Fundamentals
Excel Basics
AI and Chatgpt Workshop</t>
  </si>
  <si>
    <t>P25702075</t>
  </si>
  <si>
    <t>Anushka Anil Shet</t>
  </si>
  <si>
    <t>shetanushka1@gmail.com</t>
  </si>
  <si>
    <t>p25702075@student.nicmar.ac.in</t>
  </si>
  <si>
    <t>19-Sep-2000</t>
  </si>
  <si>
    <t>ENGLISH, HINDI, MARATHI, KONKANI</t>
  </si>
  <si>
    <t>3097 9364 4862</t>
  </si>
  <si>
    <t>ANIL SHET</t>
  </si>
  <si>
    <t>AKSHADA</t>
  </si>
  <si>
    <t>31, B-wing, Wildflower Hall CHS, Amboli, Andheri West</t>
  </si>
  <si>
    <t>ST. BLAISE HIGH SCHOOL</t>
  </si>
  <si>
    <t>BHAVAN'S COLLEGE, ANDHERI</t>
  </si>
  <si>
    <t>CTES COA, MUMBAI, MAHARASHTRA</t>
  </si>
  <si>
    <t>AutoCAD,MS Office,MS Project,Revit,Photoshop,Sketchup,Rhino</t>
  </si>
  <si>
    <t>Gautam Desai Designs | Junior Architect | Mumbai, Fort, Ministry of new. | Jul 2023 | Jun 2025 | 1Y 11M | 2.64</t>
  </si>
  <si>
    <t>Thite Valuers &amp; Engineers Pvt. Ltd | Intern | Mumbai | May 2026 | Jul 2026 | 8.7142857142857 Weeks | Campus Internship
VAASTU VIDHAN PROJECTS | INTERN DESIGNER | BORIVALI, MUMBAI | Dec 2021 | May 2022 | 24.571428571429 Weeks</t>
  </si>
  <si>
    <t>P25702076</t>
  </si>
  <si>
    <t>JITESH</t>
  </si>
  <si>
    <t>RATHI</t>
  </si>
  <si>
    <t>Jitesh Gopal Rathi</t>
  </si>
  <si>
    <t>jiteshrathi10@gmail.com</t>
  </si>
  <si>
    <t>p25702076@student.nicmar.ac.in</t>
  </si>
  <si>
    <t>07-Oct-2000</t>
  </si>
  <si>
    <t>2770 5964 1818</t>
  </si>
  <si>
    <t>Gopal Kirana, In Front Of Mahavir Medical, Main Road, Hiwarkhed</t>
  </si>
  <si>
    <t>SAHADEORAO BHOPLE VIDYALAYA AND JR COLLEGE HIWARKHED</t>
  </si>
  <si>
    <t>SHREE RAMKRISHNA KRIDA KANISHTHA MAHAVIDYALAYA,AMRAVATI</t>
  </si>
  <si>
    <t>VIVEKANAND INSTITUTE OF TECHNOLOGY'S PADMABHUSHAN DR. VASANTDADA PATIL COLLEGE OF ARCHITECTURE, PUNE</t>
  </si>
  <si>
    <t>AutoCAD , Graphisoft Archicad ,SketchUp,Enscape, Adobe Photoshop,Primavera P6, Microsoft Project (MS Project),Microsoft Office , Advanced Microsoft Excel</t>
  </si>
  <si>
    <t>Ashok Mokha Architect | Junior Architect | Nagpur,Maharashtra | Jul 2024 | Mar 2025 | 0Y 8M | 1.8</t>
  </si>
  <si>
    <t>Asain Paints | Executive I/II Sales Engineering-WP | Mumbai | May 2026 | Jul 2026 | 8.7142857142857 Weeks | Campus Internship
SHILANYAS DESIGN CONSULTANT |  ARCHITECT TRAINEE | AHEMDABAD | Jun 2023 | Dec 2023 | 26.285714285714 Weeks</t>
  </si>
  <si>
    <t>P25702077</t>
  </si>
  <si>
    <t>PERICHARLA</t>
  </si>
  <si>
    <t>Pericharla Narendra Varma</t>
  </si>
  <si>
    <t>narendravarma2810@gmail.com</t>
  </si>
  <si>
    <t>p25702077@student.nicmar.ac.in</t>
  </si>
  <si>
    <t>2581 3171 5866</t>
  </si>
  <si>
    <t>VARA PRASADA RAJU</t>
  </si>
  <si>
    <t>INDUSTRIAL CONSULTANT</t>
  </si>
  <si>
    <t>SRIDEVI</t>
  </si>
  <si>
    <t>Plot No.33,sun City, Near Hanuman Nagar Bridge, Padamatalakulu, Eluru.</t>
  </si>
  <si>
    <t>SIKHARA SCHOOL</t>
  </si>
  <si>
    <t>BOARD OF SECONDARY EDUCATION</t>
  </si>
  <si>
    <t>FIITJEE JR. COLLEGE</t>
  </si>
  <si>
    <t>BOARD OF INTERMEDIATE EDUCATION, VIJAYAWADA / ANDHRA PRADESH</t>
  </si>
  <si>
    <t>GANDHI INSTITUTION OF TECHNOLOGY AND MANAGEMENT</t>
  </si>
  <si>
    <t>GITAM (DEEMED TO BE UNIVERSITY) / VISAKHAPATNAM</t>
  </si>
  <si>
    <t>ADROIT TECHNICAL SERVICES PRIVATE LIMITED | VALUATION SERVICES INTERN | HYDERABAD | May 2026 | Jul 2026 | 8.7142857142857 Weeks | Campus Internship
SVS MOOKAMBIKA CONSTRUCTIONS PVT. LTD. | INTERN | VISAKHAPATNAM | May 2024 | Jun 2024 | 4.5714285714286 Weeks</t>
  </si>
  <si>
    <t>managing employee performance
recruiting, hiring, and onboarding employees
autocad for design and drafting exam prep
Introduction to computers and office productivity software
evreyday excel part 3</t>
  </si>
  <si>
    <t>P25702078</t>
  </si>
  <si>
    <t>HULE</t>
  </si>
  <si>
    <t>Manav Mahesh Hule</t>
  </si>
  <si>
    <t>manav.hule@gmail.com</t>
  </si>
  <si>
    <t>p25702078@student.nicmar.ac.in</t>
  </si>
  <si>
    <t>7893 2987 9855</t>
  </si>
  <si>
    <t>BUSINESS PERSON</t>
  </si>
  <si>
    <t>F203 Gulmarg Chs_x000D_
Chembur Naka_x000D_
Chembur,_x000D_
Mumbai 71, _x000D_
Maharashtra</t>
  </si>
  <si>
    <t>SWAMI VIVEKANAND HIGH SCHOOL</t>
  </si>
  <si>
    <t>MAHARASTRA STATE BOARD</t>
  </si>
  <si>
    <t>RAMNIRANJAN ANANDLAL PODAR COLLEGE OF COMMERCE AND ECONOMICS</t>
  </si>
  <si>
    <t>RAMNIRANJAN ANANDILAL PODAR COLLEGE OF COMMERCE AND ECONOMICS</t>
  </si>
  <si>
    <t>AutoCAD,MS Office,MS Project,Primavera,Advance excel</t>
  </si>
  <si>
    <t>P25702079</t>
  </si>
  <si>
    <t>BHELKE</t>
  </si>
  <si>
    <t>Kartik Ravindra Bhelke</t>
  </si>
  <si>
    <t>kartikrbhelke@gmail.com</t>
  </si>
  <si>
    <t>p25702079@student.nicmar.ac.in</t>
  </si>
  <si>
    <t>18-Apr-2003</t>
  </si>
  <si>
    <t>Trekking,Drama,Drawings,Hiking,Music</t>
  </si>
  <si>
    <t>4359 5470 1344</t>
  </si>
  <si>
    <t>RAVINDRA BHELKE</t>
  </si>
  <si>
    <t>VIDYA BHELKE</t>
  </si>
  <si>
    <t>Shreepad,Sr No-624, Bakul Nagar, Bibwewadi, Pune -411037</t>
  </si>
  <si>
    <t>ST VINCENT'S HIGH SCHOOL AND JUNIOR COLLEGE</t>
  </si>
  <si>
    <t>MAHARASTRA STATE BOARD EDUCATION,PUNE ,MAHARASTRA</t>
  </si>
  <si>
    <t>POONA GLOBAL SCHOOL AND JUNIOR COLLEGE</t>
  </si>
  <si>
    <t>MAHARASTRA STATE BOARD OF EDUCATION,PUNE,MAHARASTRA</t>
  </si>
  <si>
    <t>VISHWARMA INSTITUTE OF INFORMATION TECHNOLOGY AFFLIATED WITH SAVITRIBAI PHULE PUNE UNIVERSITY</t>
  </si>
  <si>
    <t>VISHWAKARMA INSTITUTE OF INFORMATION TECHONOLGY,PUNE ,MAHARASTRA</t>
  </si>
  <si>
    <t>AutoCAD,Excel</t>
  </si>
  <si>
    <t>Pragati Engineers | Project Manegment and Operational Intern | Pune | Jan 2025 | Jun 2025 | 21.571428571429 Weeks</t>
  </si>
  <si>
    <t>P25702081</t>
  </si>
  <si>
    <t>TANYA</t>
  </si>
  <si>
    <t>Tanya Singh</t>
  </si>
  <si>
    <t>tanya.dps99@gmail.com</t>
  </si>
  <si>
    <t>p25702081@student.nicmar.ac.in</t>
  </si>
  <si>
    <t>30-May-1999</t>
  </si>
  <si>
    <t>9908 9535 3395</t>
  </si>
  <si>
    <t>NAVEEN KR. SINGH</t>
  </si>
  <si>
    <t>SPM</t>
  </si>
  <si>
    <t>SEEMA SINGH</t>
  </si>
  <si>
    <t>A1-303, ARAVALI ENCLAVE, SECTOR-12,_x000D_
VRINDAVAN COLONY</t>
  </si>
  <si>
    <t>DELHI PUBLIC SCHOOL ALLAHABAD</t>
  </si>
  <si>
    <t>CENTRAL BOARD OF SECONDARY EXAMINATION, DELHI</t>
  </si>
  <si>
    <t>AutoCAD,MS Office,PHOTOSHOP,REVIT,LUMION,ENSCAPE,SKETCHUP</t>
  </si>
  <si>
    <t>Concept Designers | Junior Architect | Lucknow | Sep 2023 | Dec 2024 | 69.571428571429 Weeks
M.K. Singh &amp; Associates | Trainee Architect | Prayagraj | Jan 2022 | May 2022 | 17.142857142857 Weeks</t>
  </si>
  <si>
    <t>Sustainable Urban Water Systems
Urban Land Economics and Real Estate Market Dynamics
Corporate Finance</t>
  </si>
  <si>
    <t>P25702082</t>
  </si>
  <si>
    <t>PARAB</t>
  </si>
  <si>
    <t>Abhishek Sunil Parab</t>
  </si>
  <si>
    <t>abhishek.parab005@gmail.com</t>
  </si>
  <si>
    <t>p25702082@student.nicmar.ac.in</t>
  </si>
  <si>
    <t>5282 7926 1711</t>
  </si>
  <si>
    <t>SUNIL NARAYAN PARAB</t>
  </si>
  <si>
    <t>SONALI SUNIL PARAB</t>
  </si>
  <si>
    <t>C-14/3, P&amp;T Colony, Sahar Road, Andheri East</t>
  </si>
  <si>
    <t>OUR LADY OF HEALTH HIGH SCHOOL</t>
  </si>
  <si>
    <t>THAKUR POLYTECHNIC, MUMBAI</t>
  </si>
  <si>
    <t>UNIVERSAL COLLEGE OF ENGINEERING</t>
  </si>
  <si>
    <t>AutoCAD,MS Office,MS Project,Primavera,Revit,Naviswork,BIM 360,ACC,Civil 3D,Canva</t>
  </si>
  <si>
    <t>Transven Consulting Pvt Ltd | BIM Modeler (Senior) | Mumbai | Jun 2024 | Apr 2025 | 0Y 10M | 4.32
Chemionix E Solutions | BIM Engineer | Mumbai | Nov 2022 | Jan 2024 | 1Y 2M | 2.82</t>
  </si>
  <si>
    <t>ACE Project Management Consultant | Trainee engineer | Mumbai | Dec 2021 | Feb 2022 | 8.1428571428571 Weeks
Chemionix e Solutions | BIM Intern | Mumbai | Aug 2022 | Nov 2022 | 13.142857142857 Weeks</t>
  </si>
  <si>
    <t>P25702083</t>
  </si>
  <si>
    <t>Patel Priyansh Deepak</t>
  </si>
  <si>
    <t>priyanshpatel.1504@gmail.com</t>
  </si>
  <si>
    <t>p25702083@student.nicmar.ac.in</t>
  </si>
  <si>
    <t>15-Sep-2004</t>
  </si>
  <si>
    <t>7087 9098 8794</t>
  </si>
  <si>
    <t>PATEL DEEPAK PRIYAKANT</t>
  </si>
  <si>
    <t>PATEL BHAVITA DEEPAK</t>
  </si>
  <si>
    <t>E-104, SEPAL RESIDENCY BEHIND GANGOTRI PARTY PLOT, SAMA SAVLI ROAD, SAMA, VADODARA</t>
  </si>
  <si>
    <t>112-1,Panchmukhi Madhav Pole, Opposite Amdavadi Pole, Raopura, Vadodara.</t>
  </si>
  <si>
    <t>GUJARAT SECONDARY &amp; HIGHER SECONDARY BOARD</t>
  </si>
  <si>
    <t>NAVRACHANA VIDYANI VIDHAYALAY</t>
  </si>
  <si>
    <t>NAVRACHANA UNIVERSITY</t>
  </si>
  <si>
    <t>VADODARA, GUJARAT</t>
  </si>
  <si>
    <t>MS Office,MS Project,Excel,PowerBI,IBM SPSS</t>
  </si>
  <si>
    <t>SEAL FOR LIFE INDUSTRIES | Intern | Vadodara | May 2024 | Jul 2024 | 5.2857142857143 Weeks</t>
  </si>
  <si>
    <t>P25702084</t>
  </si>
  <si>
    <t>PIMPLE</t>
  </si>
  <si>
    <t>Yash Anil Pimple</t>
  </si>
  <si>
    <t>yashpimpale7@gmail.com</t>
  </si>
  <si>
    <t>p25702084@student.nicmar.ac.in</t>
  </si>
  <si>
    <t>20-Aug-2002</t>
  </si>
  <si>
    <t>2966 8180 8198</t>
  </si>
  <si>
    <t>ANIL SHANTARAM PIMPLE</t>
  </si>
  <si>
    <t>BUILDER/CONTRACTOR</t>
  </si>
  <si>
    <t>APURVA ANIL PIMPLE</t>
  </si>
  <si>
    <t>B-106 Shrushti Shobha Apartment, Near Navdeep Sarees, Tembhode Road, Palghar</t>
  </si>
  <si>
    <t>TWINKLE STAR ENGLISH HIGH SCHOOL</t>
  </si>
  <si>
    <t>ST. JOHN COLLEGE OF ENGINEERING AND MANAGEMENT, PALGHAR, MAHARASHTRA</t>
  </si>
  <si>
    <t>P25702085</t>
  </si>
  <si>
    <t>Sakshi Rajesh Mane</t>
  </si>
  <si>
    <t>p25702085@student.nicmar.ac.in</t>
  </si>
  <si>
    <t>13-Feb-2000</t>
  </si>
  <si>
    <t>BADMINTON,DESIGNING,DANCING,TRAVELLING,PHOTOGRAPHY,COOKING</t>
  </si>
  <si>
    <t>3795 9001 3698</t>
  </si>
  <si>
    <t>MANGAL VASTRA ALANKAR, PUSESAWALI, SATARA</t>
  </si>
  <si>
    <t>SWAMI VIVEKANAND JUNIOR COLLEGE</t>
  </si>
  <si>
    <t>MAHARASHTRA STATE BOARD OF EDUCATION, MUMBAI, MAHARASHTRA</t>
  </si>
  <si>
    <t>VIVEKANAND EDUCATION SOCIETY'S COLLEGE OF ARCHITECTURE, MUMBAI, MAHARASHTRA</t>
  </si>
  <si>
    <t>TEAM ONE ARTEq  Pvt. Ltd. | JR Architect | BKC, Mumbai | Jul 2023 | Apr 2024 | 0Y 9M | 2.5</t>
  </si>
  <si>
    <t>GA DESIGN CONSULTANTS LLP | ARCHITECT INTERN | CHEMBUR, MUMBAI | Dec 2021 | Apr 2022 | 20 Weeks</t>
  </si>
  <si>
    <t>P25702086</t>
  </si>
  <si>
    <t>KARTHIGEYAN</t>
  </si>
  <si>
    <t>Karthigeyan M S</t>
  </si>
  <si>
    <t>karthigeyanms5@gmail.com</t>
  </si>
  <si>
    <t>p25702086@student.nicmar.ac.in</t>
  </si>
  <si>
    <t>ENGLISH,TAMIL,MALAYALAM,HINDI</t>
  </si>
  <si>
    <t>Chess,Music,Design</t>
  </si>
  <si>
    <t>3511 5312 7205</t>
  </si>
  <si>
    <t>SWAMINATHAN A</t>
  </si>
  <si>
    <t>GEETHANJALI N</t>
  </si>
  <si>
    <t>No.79,5th Street, Ponnammal Garden, Thottipalayam Road, Karamadai, Coimbatore,Tamil Nadu. 641104</t>
  </si>
  <si>
    <t>SVGV MATRICULATION HR SEC SCHOOL KARAMADAI COIMBATORE</t>
  </si>
  <si>
    <t>SVGV MATRICULATION HR SEC SCHOOL KARAMADAI</t>
  </si>
  <si>
    <t>MANIPAL SCHOOL OF ARCHITECTURE AND PLANNING, MANIPAL.</t>
  </si>
  <si>
    <t>AutoCAD,MS Office,MS Project,AutoDesk Revit,Sketch Up,Rhinoceros,Design Builder,Lumion,Chaos Enscape,Adobe Photoshop,Adobe Indesign,Twin Motion</t>
  </si>
  <si>
    <t>Sankar and Associates | Junior Architect | Coimbatore | Dec 2024 | May 2025 | 0Y 5M | 1.81
Quadometry Designs (OPC) | Junior Architect | Bengaluru | Jul 2024 | Nov 2024 | 0Y 3M | 2.4</t>
  </si>
  <si>
    <t>Knight Frank India | Valuations and Advisory Services Intern | Bengaluru | May 2026 | Jul 2026 | 9.1428571428571 Weeks | Campus Internship
SHIBANEE+KAMAL ARCHITECTS (TOTAL ENVIRONMENT) | ARCHITECTURAL DESIGN INTERN | BENGALURU | Jan 2023 | May 2023 | 17.714285714286 Weeks</t>
  </si>
  <si>
    <t>â€œVulnerability Assessment and Resilience Development for Human Habitatsâ€ by the National Institute of Disaster Management (Ministry of Home Affairs, Govt. of India)
Smart Cities â€“ Management of Smart Urban Infrastructures by Ã‰cole Polytechnique FÃ©dÃ©rale de Lausanne
Research Methodologies by Queen Mary University of London
Managing Responsibly: Practicing Sustainability, Responsibility and Ethics by University of Manchester</t>
  </si>
  <si>
    <t>P25702089</t>
  </si>
  <si>
    <t>BHUVAN</t>
  </si>
  <si>
    <t>SUGOOR</t>
  </si>
  <si>
    <t>KS</t>
  </si>
  <si>
    <t>Bhuvan Sugoor Ks</t>
  </si>
  <si>
    <t>bhuvansugoor37@gmail.com</t>
  </si>
  <si>
    <t>p25702089@student.nicmar.ac.in</t>
  </si>
  <si>
    <t>2502 9645 0592</t>
  </si>
  <si>
    <t>SATHYANARAYANA K.A</t>
  </si>
  <si>
    <t>SAVITHA P</t>
  </si>
  <si>
    <t>Ashok Nagar_x000D_
Near Sharadhamba College</t>
  </si>
  <si>
    <t>ARVIND INTERNATIONAL HIGH SCHOOL</t>
  </si>
  <si>
    <t>KARNATAKA SECONDARY EDUCATION BOARD</t>
  </si>
  <si>
    <t>MAHESH PU COLLEGE TUMKUR</t>
  </si>
  <si>
    <t>DEPARTMENT OF PRE UNIVERSITY EDUCATION KARNATAKA</t>
  </si>
  <si>
    <t>VISVESVARAYA TECHNOLOGICAL UIVERSITY, BELAGAVI</t>
  </si>
  <si>
    <t>SIDDAGANGA INSTITUTE OF TECHNOLOGY, TUMKUR, KARNATAKA</t>
  </si>
  <si>
    <t>Infra Support Engineering Consultant Pvt. Ltd | Project Engineer | Chitradurga, Karnataka  | Oct 2024 | May 2025 | 0Y 7M | 1.92</t>
  </si>
  <si>
    <t>Certificate for plumbing course and emulsion application at Asian Paints
Training on Construction Management</t>
  </si>
  <si>
    <t>P25702090</t>
  </si>
  <si>
    <t>RAMTEKE</t>
  </si>
  <si>
    <t>Yash Atul Ramteke</t>
  </si>
  <si>
    <t>yash11klose@gmail.com</t>
  </si>
  <si>
    <t>p25702090@student.nicmar.ac.in</t>
  </si>
  <si>
    <t>27-Sep-1999</t>
  </si>
  <si>
    <t>Music Production,Football,Dj</t>
  </si>
  <si>
    <t>8997 4079 6015</t>
  </si>
  <si>
    <t>ATUL RAMTEKE</t>
  </si>
  <si>
    <t>PRITI RAMTEKE</t>
  </si>
  <si>
    <t>Plot No: 377, Yashoda Building, Kamptee Road, Near Indora Police Chowki, Indora, Bezonbagh, Nagpur.</t>
  </si>
  <si>
    <t>TULI PUBLIC SCHOOL</t>
  </si>
  <si>
    <t>DADA RAMCHAND BAKHRU SINDHU MAHAVIDYALAYA</t>
  </si>
  <si>
    <t>SHRI DATTA MEGHE POLYTECHNIC</t>
  </si>
  <si>
    <t>MIT-ADT UNIVERSITY</t>
  </si>
  <si>
    <t>MIT-SOES, PUNE</t>
  </si>
  <si>
    <t>AutoCAD,MS Office,MS Project,Primavera,Fl Studio (Sound Production),Abelton (Sound Production)</t>
  </si>
  <si>
    <t>P25702091</t>
  </si>
  <si>
    <t>MUKESHKUMAR</t>
  </si>
  <si>
    <t>Om Mukeshkumar Patel</t>
  </si>
  <si>
    <t>ompatel7320@gmail.com</t>
  </si>
  <si>
    <t>p25702091@student.nicmar.ac.in</t>
  </si>
  <si>
    <t>9608 0143 5478</t>
  </si>
  <si>
    <t>MUKESHKUMAR M PATEL</t>
  </si>
  <si>
    <t>PRAVINABEN M PATEL</t>
  </si>
  <si>
    <t>101, Samarpan Society, Sec-9, Moshi, Pune- 412105</t>
  </si>
  <si>
    <t>B.S.MEMORIAL SCHOOL</t>
  </si>
  <si>
    <t>PRATIBHA JR. COLLAGE</t>
  </si>
  <si>
    <t>INDIRA INSTITUTE OF MANAGEMENT, PUNE, MAHARASHTRA</t>
  </si>
  <si>
    <t>MS Office,MS Project,Canva,wix,zero bounce</t>
  </si>
  <si>
    <t>Rajshree Landmark LLP | Sales Executive | Dudulgaon, Moshi, Pune | Jun 2024 | Nov 2024 | 26 Weeks</t>
  </si>
  <si>
    <t>Linked In Learning (Advertising on Facebook 2022)
Linked In Learning (Advertising on Youtube 2020)</t>
  </si>
  <si>
    <t>P25702092</t>
  </si>
  <si>
    <t>ANSAF ALI</t>
  </si>
  <si>
    <t>A A</t>
  </si>
  <si>
    <t>Ansaf Ali A A</t>
  </si>
  <si>
    <t>p25702092@student.nicmar.ac.in</t>
  </si>
  <si>
    <t>P25702093</t>
  </si>
  <si>
    <t>RATNAKUMAR</t>
  </si>
  <si>
    <t>HIRASKAR</t>
  </si>
  <si>
    <t>Shreyas Ratnakumar Hiraskar</t>
  </si>
  <si>
    <t>hiraskarshreyas7@gmail.com</t>
  </si>
  <si>
    <t>p25702093@student.nicmar.ac.in</t>
  </si>
  <si>
    <t>04-Sep-2002</t>
  </si>
  <si>
    <t>Outdoor Sports,Video Games,Drawing,Art &amp; Craft</t>
  </si>
  <si>
    <t>3314 2364 7042</t>
  </si>
  <si>
    <t>Shivpooja Residency, Flat 3, Plot 104, Sector 4, Santnagar, Moshi Pradhikaran, Pune</t>
  </si>
  <si>
    <t>MARATHWADA MITRA MANDAL'S INSTITUTE OF TECHNOLOGY LOHEGAON PUNE</t>
  </si>
  <si>
    <t>Shree Ashtavinayak Developers | Intern | Pune | Feb 2023 | Feb 2023 | 3.8571428571429 Weeks</t>
  </si>
  <si>
    <t>P25702094</t>
  </si>
  <si>
    <t>Anuj Uttam Patil</t>
  </si>
  <si>
    <t>anujpatil7025@gmail.com</t>
  </si>
  <si>
    <t>p25702094@student.nicmar.ac.in</t>
  </si>
  <si>
    <t>01-May-2002</t>
  </si>
  <si>
    <t>8750 6192 4313</t>
  </si>
  <si>
    <t>UTTAM ANANDARAO PATIL</t>
  </si>
  <si>
    <t>USHA UTTAM PATIL</t>
  </si>
  <si>
    <t>A/P Arag</t>
  </si>
  <si>
    <t>ARAG HIGHSCHOOL, ARAG, SANGLI</t>
  </si>
  <si>
    <t>SANYOOGITA PATIL CAMBRIDGE SCHOOL AND JR. COLLEGE, MIRAJ</t>
  </si>
  <si>
    <t>DBATU, LONERE</t>
  </si>
  <si>
    <t>PADMABHOOSHAN VASANTRAODADA PATIL INSTITUTE OF TECHNOLOGY,BUDHGAON</t>
  </si>
  <si>
    <t>AutoCAD, Microsoft Project, Primavera p6, Microsoft office</t>
  </si>
  <si>
    <t>Vardhaman Amrante Pvt. Ltd. | Planning &amp; Monitoring of Finishing Sequence | Ludhiana, Panjab | May 2026 | Jul 2026 | 9.5714285714286 Weeks | Campus Internship
Shivgayatri Buildcon Pvt Ltd | Jr. Engineer | Sangli | Mar 2024 | Apr 2025 | 60.285714285714 Weeks</t>
  </si>
  <si>
    <t xml:space="preserve">Urban Land Economics and Real Estate Market Dynamics
Sustainable Urban Water Systems
Asian Paints Participation
Infrastructure Economics 
Business Writing  
Introduction to Corporate Finance
Real Estate Development: Building Value in Your Community
Indian Town planning &amp; Architecture </t>
  </si>
  <si>
    <t>P25702095</t>
  </si>
  <si>
    <t>PASHAM</t>
  </si>
  <si>
    <t>Pasham Akshith Yadav</t>
  </si>
  <si>
    <t>akshithyadavpasham6.0@gmail.com</t>
  </si>
  <si>
    <t>p25702095@student.nicmar.ac.in</t>
  </si>
  <si>
    <t>06-Jan-2004</t>
  </si>
  <si>
    <t>3549 1506 4361</t>
  </si>
  <si>
    <t>PASHAM RAMESH YADAV</t>
  </si>
  <si>
    <t>PASHAM ANITHA YADAV</t>
  </si>
  <si>
    <t>7-1-92, VANI NAGAR, FEROZGUDA, Kukatpally, Hyderabad.</t>
  </si>
  <si>
    <t>ST PETERS HIGH SCHOOL</t>
  </si>
  <si>
    <t>PAGE JUNIOR COLLEGE</t>
  </si>
  <si>
    <t>MANIPAL SCHOOL OF ECONOMICS AND COMMERCE</t>
  </si>
  <si>
    <t>MS Office,MS Project,Primavera,POWER BI,TABLEAU</t>
  </si>
  <si>
    <t>Lalitha FoodTech Pvt Ltd | Finance Intern  | Hyderabad | Jan 2023 | May 2023 | 17 Weeks
Instabites | Finance and Marketing  Intern  | Hyderabad | Apr 2025 | Jun 2025 | 8.7142857142857 Weeks
Risinia Builders | Project Coordination | Hyderabad | Dec 2024 | Apr 2025 | 17.142857142857 Weeks</t>
  </si>
  <si>
    <t>Create Social Media Dashboards in Tableau
Foundations of Business Strategy
Entrepreneurship I: Laying the Foundation</t>
  </si>
  <si>
    <t>P25702096</t>
  </si>
  <si>
    <t>KETAKI</t>
  </si>
  <si>
    <t>MUNDIWALE</t>
  </si>
  <si>
    <t>Ketaki Jayant Mundiwale</t>
  </si>
  <si>
    <t>ketakimundiwale1309@gmail.com</t>
  </si>
  <si>
    <t>p25702096@student.nicmar.ac.in</t>
  </si>
  <si>
    <t>Sports (Badminton),Trekking,Sketching and painting,Reading</t>
  </si>
  <si>
    <t>8963 1196 3877</t>
  </si>
  <si>
    <t>JAYANT SHAMRAO MUNDIWALE</t>
  </si>
  <si>
    <t>ELECTRICAL ENGINEER</t>
  </si>
  <si>
    <t>SEEMA JAYANT MUNDIWALE</t>
  </si>
  <si>
    <t>Plot No. 137, Bhausaheb Surve Nagar, Jaitala Road</t>
  </si>
  <si>
    <t>D. Y. PATIL INTERNATIONAL SCHOOL, MIHAN</t>
  </si>
  <si>
    <t>INTERNATIONAL GENERAL CERTIFICATE OF SECONDARY EDUCATION, NAGPUR</t>
  </si>
  <si>
    <t>ST. XAVIERS HIGH SCHOOL, HINGNA BRANCH</t>
  </si>
  <si>
    <t>BHARATI VIDYAPEETH (DEEMED TO BE) UNIVERSITY, PUNE</t>
  </si>
  <si>
    <t>BHARATI VIDYAPEETH COLLEGE OF ARCHITECTURE, PUNE, MAHARASHTRA</t>
  </si>
  <si>
    <t>AutoCAD,MS Office,MS Project,Lumion,Photoshop,sketchup</t>
  </si>
  <si>
    <t>Yo+ Architects | Architecture Intern | Pune | Jan 2016 | May 2024 | 433.71428571429 Weeks</t>
  </si>
  <si>
    <t>Housing Policy and Planning
Urban Land Economics and Real Estate Market Dynamics</t>
  </si>
  <si>
    <t>P25702097</t>
  </si>
  <si>
    <t>SHIVSHANKAR</t>
  </si>
  <si>
    <t>Pradip Shivshankar Chavan</t>
  </si>
  <si>
    <t>chavanprdp7@gmail.com</t>
  </si>
  <si>
    <t>p25702097@student.nicmar.ac.in</t>
  </si>
  <si>
    <t>25-Nov-1995</t>
  </si>
  <si>
    <t>ENGLISH , MARATHI &amp; HINDI</t>
  </si>
  <si>
    <t>Swimming,ESports,Cricket</t>
  </si>
  <si>
    <t>7381 0724 8111</t>
  </si>
  <si>
    <t>SHIVSHANKAR CHAVAN</t>
  </si>
  <si>
    <t>PUSHPA CHAVAN</t>
  </si>
  <si>
    <t>A/P Mudhe Galli , Mangalwedha_x000D_
Taluka - Mangalwedha District - Solapur</t>
  </si>
  <si>
    <t>ENGLISH SCHOOL MANGALWEDHA</t>
  </si>
  <si>
    <t>WALCHAND COLLEGE OF ARTS AND SCIENCE SOLAPUR</t>
  </si>
  <si>
    <t>DR. J J MAGDUM COLLEGE OF ENGINEERING , JAYSINGPUR</t>
  </si>
  <si>
    <t>Elements &amp; Application Of Total Station In Civil Engineering
Structural Drafting Using AUTOCAD</t>
  </si>
  <si>
    <t>P25702098</t>
  </si>
  <si>
    <t>Vinayak Sharma</t>
  </si>
  <si>
    <t>vs5280791@gmail.com</t>
  </si>
  <si>
    <t>p25702098@student.nicmar.ac.in</t>
  </si>
  <si>
    <t>ENGLISH,HINDI,PUNJABI</t>
  </si>
  <si>
    <t>2209 1512 4165</t>
  </si>
  <si>
    <t>SUSHEEL SHARMA</t>
  </si>
  <si>
    <t>MONIKA AWASTHI</t>
  </si>
  <si>
    <t>C/o Himachal Metal Industry Industrial Area, Kangra H.P</t>
  </si>
  <si>
    <t>Kangra</t>
  </si>
  <si>
    <t>AADHUNIK PUBLIC SENIOR SECONDARY SCHOOL</t>
  </si>
  <si>
    <t>THAPAR UNIVERSITY</t>
  </si>
  <si>
    <t>THAPAR INSTITUTE OF ENGINEERING AND TECHNOLOGY, PATIALA, PUNJAB</t>
  </si>
  <si>
    <t>AutoCAD,MS Office,MS Project,Business Development,Site Execution,Project Management</t>
  </si>
  <si>
    <t>NHAI | Engineer across all domains of highway | CHANDIGARH | Jun 2024 | Dec 2024 | 30.428571428571 Weeks</t>
  </si>
  <si>
    <t>Urban Land economics and Real estate Market Dynamics
NPTEL Housing Policy and planning
Autocad</t>
  </si>
  <si>
    <t>P25702099</t>
  </si>
  <si>
    <t>KAUSTUBH</t>
  </si>
  <si>
    <t>Kaustubh Vijay Mohane</t>
  </si>
  <si>
    <t>kaustubh.mohane00@gmail.com</t>
  </si>
  <si>
    <t>p25702099@student.nicmar.ac.in</t>
  </si>
  <si>
    <t>20-Jul-2000</t>
  </si>
  <si>
    <t>Smart cities,urban planning,and infrastructure innovation.2)Project management and real estate finance</t>
  </si>
  <si>
    <t>8049 5469 4367</t>
  </si>
  <si>
    <t>VIJAY BHAURAO MOHANE</t>
  </si>
  <si>
    <t>GOVERMENT MEDICAL OFFICER</t>
  </si>
  <si>
    <t>ANJANA HIRALAL MORE</t>
  </si>
  <si>
    <t>GOVERMENT ICDS SUPERVISOR</t>
  </si>
  <si>
    <t>Audumbar Colony-A, House No-46.warje Jakat Naka. Karvenagar Pune411052</t>
  </si>
  <si>
    <t>ABHINAV VIDYALAYA HIGHSCHOOL, NAL STOP</t>
  </si>
  <si>
    <t>MAHARASHTRA STATE BOARD OF SECONDARY AND HIGHER SECONDARY EDUCATION. PUNE.MAHARASHTRA</t>
  </si>
  <si>
    <t>POOJYA SANE GURUJI VIDHYA PRASHASAK MANDAL. SHAHADA</t>
  </si>
  <si>
    <t>MAHARASHTRA STATE BOARD OF SECONDARY EDUCATION,MAHARASHTRA</t>
  </si>
  <si>
    <t>G.M CHOUDHARI POLYTECHNIC SHAHADA</t>
  </si>
  <si>
    <t>SINHGAD INSTITUTE OF TECHNOLOGY AND SCIENCE,NARHE</t>
  </si>
  <si>
    <t>Suprabha construction PVT.LTD | Site supervisor | Nashik | Jan 2023 | Feb 2023 | 2.8571428571429 Weeks</t>
  </si>
  <si>
    <t>P25702101</t>
  </si>
  <si>
    <t>NIMBA</t>
  </si>
  <si>
    <t>Snehal Nimba Salunke</t>
  </si>
  <si>
    <t>snehalsalunke1725@gmail.com</t>
  </si>
  <si>
    <t>p25702101@student.nicmar.ac.in</t>
  </si>
  <si>
    <t>17-Aug-2000</t>
  </si>
  <si>
    <t>Dance,Playing batminton,Travelling,Playing chess,Drawing and painting,Anchoring,Theater</t>
  </si>
  <si>
    <t>6416 6395 2456</t>
  </si>
  <si>
    <t>NIMBA SALUNKE</t>
  </si>
  <si>
    <t>GRADUATE TEACHER</t>
  </si>
  <si>
    <t>Plot No. 20 Behind Vaibhav Mangal Karyalay Bhadgaon Road , Chalisgaon</t>
  </si>
  <si>
    <t>DR. KAKASAHEB PURNPATRE MADHYAMIK VIDHYALAY , CHALISGAON</t>
  </si>
  <si>
    <t>RASHTRIYA VIDHYALAY JUNIOR COLLEGE OF SCIENCE , CHALISGAON</t>
  </si>
  <si>
    <t>RAJARSHI SHAHU COLLEGE OF ENGINEERING , PUNE</t>
  </si>
  <si>
    <t>AutoCAD,MS Office,MS Project,Primavera,revit,civil3d,sketch up,photoshop,staadpro</t>
  </si>
  <si>
    <t>M Infra Projects Pvt. Ltd. | Project Management and Project Coordination inmtern | Baner , Pune | May 2026 | Jul 2026 | 8.5714285714286 Weeks | Campus Internship
ASMITA INFRASTRUCTURE | Quantity Estimation Intern | Pune, Maharashtra | Dec 2024 | May 2025 | 25.857142857143 Weeks
GIRITIRTH ASSOCIATES | INTERN AT SITE  | RAVET NEAR SHINDE VASTI  | Feb 2023 | Jun 2023 | 17.142857142857 Weeks
S. K. CONSTRUCTION | INTERN  | â€˜Aâ€™ WING, 2ND FLOOR, RANJAN HEIGHTS, RAVET, PUNE- 412 101 | Jan 2023 | Feb 2023 | 6.1428571428571 Weeks
KING MONGKUT'S INSTITUTE OF TECHNOLOGY LADKRABANG, THAILAND | RESEARCH INTERN  | ONLINE MODE  | Mar 2022 | Mar 2022 | 4.2857142857143 Weeks</t>
  </si>
  <si>
    <t>Global environment Management</t>
  </si>
  <si>
    <t>P25702102</t>
  </si>
  <si>
    <t>HEET</t>
  </si>
  <si>
    <t>Heet Dilip Jain</t>
  </si>
  <si>
    <t>jainheet2001@gmail.com</t>
  </si>
  <si>
    <t>p25702102@student.nicmar.ac.in</t>
  </si>
  <si>
    <t>12-Oct-2001</t>
  </si>
  <si>
    <t>ENGLISH,HINDI,GUJRATI,MARWARI,MARATHI</t>
  </si>
  <si>
    <t>5427 4409 4000</t>
  </si>
  <si>
    <t>DILIP AMBALAL JAIN</t>
  </si>
  <si>
    <t>PINKY DILIP JAIN</t>
  </si>
  <si>
    <t>31, Jariwala Building, Sadashiv Cross Road,Sickanagar_x000D_</t>
  </si>
  <si>
    <t>SHRI SHAKUNTALA KANTILAL ISHWARLAL JAIN HIGH SCHOOL</t>
  </si>
  <si>
    <t>MAHARASHTRA STATE BOARD OF SECONDARY AND HIGHER SECONDARY EDUCATION  , MUMBAI</t>
  </si>
  <si>
    <t>KISHINCHAND CHELLARAM COLLEGE</t>
  </si>
  <si>
    <t>MAHARASHTRA STATE BOARD OF SECONDARY AND HIGHER SECONDARY EDUCATION , MUMBAI</t>
  </si>
  <si>
    <t>INDIAN EDUCATION SOCIETY COLLEGE OF ARCHITECTURE</t>
  </si>
  <si>
    <t>AutoCAD,MS Office,MS Project,Revit,Sketchup,Lumion,Enscape,Navisworks,Adobe Photoshop,Adobe Illustrator,InDesign</t>
  </si>
  <si>
    <t>Studio MH02 | Architect | Vile Parle,Mumbai | Jun 2024 | Mar 2025 | 0Y 9M | 2.52
Access Architects | Architect | Dadar,Mumbai | Apr 2025 | Jun 2025 | 0Y 2M | 3.84</t>
  </si>
  <si>
    <t>Thite Valuers and Engineers | Valuation Intern | Mumbai | May 2026 | Jul 2026 | 8.7142857142857 Weeks | Campus Internship</t>
  </si>
  <si>
    <t>Urban Land Economics and Real Estate Market Dynamics
Corporate Finance</t>
  </si>
  <si>
    <t>P25702103</t>
  </si>
  <si>
    <t>ATHARV</t>
  </si>
  <si>
    <t>Atharv Pramod Bhalgat</t>
  </si>
  <si>
    <t>atharv.bhalgat1209@gmail.com</t>
  </si>
  <si>
    <t>p25702103@student.nicmar.ac.in</t>
  </si>
  <si>
    <t>12-Sep-2004</t>
  </si>
  <si>
    <t>English, Hindi, Marathi, Marwadi, Spanish(Beginner), French(Beginner)</t>
  </si>
  <si>
    <t>Trekking,Swimming,Boxing,Exploring</t>
  </si>
  <si>
    <t>6293 7718 5143</t>
  </si>
  <si>
    <t>PRAMOD BHALGAT</t>
  </si>
  <si>
    <t>KAVITA BHALGAT</t>
  </si>
  <si>
    <t>Anand Hospital, Dhamangoan Road_x000D_
Kada</t>
  </si>
  <si>
    <t>THE BISHOP'S CO-ED SCHOOL</t>
  </si>
  <si>
    <t>ICSE, PUNE</t>
  </si>
  <si>
    <t>P.M. MUNOT JUNIOR COLLEGE</t>
  </si>
  <si>
    <t>HSC, KADA/MAHARASHTRA</t>
  </si>
  <si>
    <t>NMIMS UNIVERSITY</t>
  </si>
  <si>
    <t>NMIMS, MUMBAI</t>
  </si>
  <si>
    <t>MS Office,MS Project,Canva</t>
  </si>
  <si>
    <t>Amanora (City Corporation Ltd.) | Project Management Intern | Pune | May 2026 | Jul 2026 | 7.7142857142857 Weeks | Campus Internship
Study Befikar | Digital Marketing Intern | Remote | Mar 2023 | May 2023 | 8.7142857142857 Weeks</t>
  </si>
  <si>
    <t>Sustainable Urban Water Systems
Urban Land Economics and Real Estate Market Dynamics
Housing Policy and Planning</t>
  </si>
  <si>
    <t>P25702104</t>
  </si>
  <si>
    <t>LEKHRAJ</t>
  </si>
  <si>
    <t>ROTTI</t>
  </si>
  <si>
    <t>Lekhraj Ishwar Rotti</t>
  </si>
  <si>
    <t>lekraj007@gmail.com</t>
  </si>
  <si>
    <t>p25702104@student.nicmar.ac.in</t>
  </si>
  <si>
    <t>24-Apr-2001</t>
  </si>
  <si>
    <t>Literature,Sports,Editing</t>
  </si>
  <si>
    <t>4037 4487 2200</t>
  </si>
  <si>
    <t>RETIRED S/O AT BSNL</t>
  </si>
  <si>
    <t>MILLENNIUM BOYS HOSTEL, NICMAR UNIVERSITY, PUNE</t>
  </si>
  <si>
    <t>Shri Laxmi Nivas, H.No. 158/B/13, Sabadi Compound, Near Old I.B., Extn. Area, Bagalkot</t>
  </si>
  <si>
    <t>SRI SATHYA SAI LOKA SEVA VIDYAKENDRA, ALIKE</t>
  </si>
  <si>
    <t>CENTRAL BOARD FOR SECONDARY EDUCATION, ALIKE, KARNATAKA</t>
  </si>
  <si>
    <t>PRARTHANA PU SCIENCE COLLEGE, BAGALKOT</t>
  </si>
  <si>
    <t>KARNATAKA STATE EDUCATION BOARD, BAGALKOT</t>
  </si>
  <si>
    <t>BANGALORE INSTITUTE OF TECHNOLOGY, BENGALURU, KARNATAKA</t>
  </si>
  <si>
    <t>AutoCAD,MS Office,MS Project,Primavera,REVIT,GIS,Adobe PhotoShop</t>
  </si>
  <si>
    <t>Puravankara Limited | Project Management Intern | Bengaluru | May 2026 | Jul 2026 | 8.7142857142857 Weeks | Campus Internship
NISHICON INFRASTRUCTURES | RETROFITTING AND REHABILITATION ENGINEER | KADUGODI, BENGALURU | Feb 2023 | Mar 2023 | 4 Weeks</t>
  </si>
  <si>
    <t>P25702105</t>
  </si>
  <si>
    <t>PRARTHANA</t>
  </si>
  <si>
    <t>Prarthana Subhash Pawar</t>
  </si>
  <si>
    <t>pawarprarthna@gmail.com</t>
  </si>
  <si>
    <t>p25702105@student.nicmar.ac.in</t>
  </si>
  <si>
    <t>8674 3400 1493</t>
  </si>
  <si>
    <t>SUBHASH PAWAR</t>
  </si>
  <si>
    <t>JAYSHREE PAWAR</t>
  </si>
  <si>
    <t>Punai Chaitanya Wadi Ward Number 16 Buldhana</t>
  </si>
  <si>
    <t>ST JOSEPH ENGLISH HIGH SCHOOL BULDHANA</t>
  </si>
  <si>
    <t>BULDHANA</t>
  </si>
  <si>
    <t>MGM POLYTECHNIC AURANGABAD</t>
  </si>
  <si>
    <t>DR.D.Y.PATIL INSTITUTE OF TECHNOLOGY PIMPRI PUNE 18</t>
  </si>
  <si>
    <t>AutoCAD,Excel,Power Point Presentation</t>
  </si>
  <si>
    <t>BUILDER ASSOCIATION OF INDIA | INTER  | PUNE | Dec 2023 | Jan 2024 | 4.2857142857143 Weeks</t>
  </si>
  <si>
    <t>P25702106</t>
  </si>
  <si>
    <t>MUDGAL</t>
  </si>
  <si>
    <t>Mudgal Aditya Gopichand</t>
  </si>
  <si>
    <t>adityamudgal8006@gmail.com</t>
  </si>
  <si>
    <t>p25702106@student.nicmar.ac.in</t>
  </si>
  <si>
    <t>6574 9491 9651</t>
  </si>
  <si>
    <t>GOPICHAND MUDGAL</t>
  </si>
  <si>
    <t>12TH</t>
  </si>
  <si>
    <t>SONIYA MUDGAL</t>
  </si>
  <si>
    <t>FLAT-503 FELICITY RAVET OPPOSITE CELEASTIAL CITY PHASE 1 RAVET</t>
  </si>
  <si>
    <t>46/32 Maatru Chhaya House,Vidyanagar,North Sadar Bazar, Behind Civil Hospital Solapur</t>
  </si>
  <si>
    <t>ST JOHN BOSCO HIGH SCHOOL</t>
  </si>
  <si>
    <t>MAHARASHTRA STATE BOARD OF SECOUNDARY AND HIGHER SECOUNDARY EDUCATION PUNE/MAHARASHTRA</t>
  </si>
  <si>
    <t>BHAUSAHEB VARTAK POLYTECHNIC VASAI/MAHARASHTRA</t>
  </si>
  <si>
    <t>DR D Y PATIL INSTITUTE OF ENGINEERING MANAGEMENT AND RESEARCH PUNE/MAHARASHTRA</t>
  </si>
  <si>
    <t>P25702108</t>
  </si>
  <si>
    <t>Ankita Dipak Patil</t>
  </si>
  <si>
    <t>ankitapatil200355@gmail.com</t>
  </si>
  <si>
    <t>p25702108@student.nicmar.ac.in</t>
  </si>
  <si>
    <t>08-Jul-2003</t>
  </si>
  <si>
    <t>9797 7255 2008</t>
  </si>
  <si>
    <t>DIPAK PATIL</t>
  </si>
  <si>
    <t>GAYTRI PATIL</t>
  </si>
  <si>
    <t>Patwari Colony, Sadaguru Apartment Amalner,Dist. Jalgaon</t>
  </si>
  <si>
    <t>SANE GURUJI KANYA HIGHSCHOOL AMALNER</t>
  </si>
  <si>
    <t>MAHARASHRA</t>
  </si>
  <si>
    <t>GOVT. POLYTECHNIC JALGAON</t>
  </si>
  <si>
    <t>RASIKLAL M. DHARIWAL SINHGAD TECHNICAL INSTITUTE PUNE , MAHARASHTRA</t>
  </si>
  <si>
    <t>Lagoo Apte Promoters &amp; Developers | Site Intern | Pune | May 2026 | Jun 2026 | 8.1428571428571 Weeks | Campus Internship
M/S. KAUSTUBH AJAY WALUNJ CIVIL ENGINEER &amp; GOVERNMENT CONTRACTOR | OPERATIONS INTERN - CIVIL EXECUTION  | AKOLE | Dec 2023 | Feb 2024 | 8.8571428571429 Weeks</t>
  </si>
  <si>
    <t>P25702109</t>
  </si>
  <si>
    <t>AAYUSH</t>
  </si>
  <si>
    <t>Aayush Agrawal</t>
  </si>
  <si>
    <t>aayushagrawal2018@gmail.com</t>
  </si>
  <si>
    <t>p25702109@student.nicmar.ac.in</t>
  </si>
  <si>
    <t>6685 7215 9795</t>
  </si>
  <si>
    <t>DINESH KUMAR AGRAWAL</t>
  </si>
  <si>
    <t>BUSINESS MEN</t>
  </si>
  <si>
    <t>RENU AGRAWAL</t>
  </si>
  <si>
    <t>YOUTHVILLE HOSTEL, BALEWADI 2,NEAR MITCON COLLEGE, BALEWADI,PUNE</t>
  </si>
  <si>
    <t>Hno.56 Bajrang Para, Sirsa Road Kohka, Bhilai</t>
  </si>
  <si>
    <t>MILE STONE ACADEMY</t>
  </si>
  <si>
    <t>CBSE/DURG</t>
  </si>
  <si>
    <t>LAL BAHADUR SHASTRI CONVENT SCHOOL</t>
  </si>
  <si>
    <t>CBSE/KOTA</t>
  </si>
  <si>
    <t>CSVTU</t>
  </si>
  <si>
    <t>BIT RAIPUR/RAIPUR</t>
  </si>
  <si>
    <t>AutoCAD,MS Office,MS Project,REVIT AND STAAD PRO</t>
  </si>
  <si>
    <t>C.G. STATE MANDI BOARD (DURG) | TRAINEE | DURG | Jul 2023 | Aug 2023 | 4.4285714285714 Weeks
PUBLIC WORKS DEPARTMENT (C.G.) GOVERNMENT | TRAINEE | DURG | Jul 2022 | Aug 2022 | 4.4285714285714 Weeks</t>
  </si>
  <si>
    <t>PROFESSIONAL AUTOCAD</t>
  </si>
  <si>
    <t>P25702110</t>
  </si>
  <si>
    <t>NITINKUMAR</t>
  </si>
  <si>
    <t>Om Nitinkumar Patel</t>
  </si>
  <si>
    <t>patel19om@gmail.com</t>
  </si>
  <si>
    <t>p25702110@student.nicmar.ac.in</t>
  </si>
  <si>
    <t>ENGLISH,HINDI,GUJRATI,MARATHI</t>
  </si>
  <si>
    <t>2705 9848 9561</t>
  </si>
  <si>
    <t>NITINKUMAR PATEL</t>
  </si>
  <si>
    <t>MEENA PATEL</t>
  </si>
  <si>
    <t>Shree Hari Society,sec-06,moshipradhikaran,pune</t>
  </si>
  <si>
    <t>SHREE PARSHWA PRADNYALAY DNYAN SANSKAR MANDIR</t>
  </si>
  <si>
    <t>CBSE-MAHARASHTRA</t>
  </si>
  <si>
    <t>SSC-MAHARASHTRA</t>
  </si>
  <si>
    <t>PRATIBHA COLLEGE OF COMMERCE AND COMPUTER STUDIES,PUNE,MAHARASHTRA</t>
  </si>
  <si>
    <t>P25702111</t>
  </si>
  <si>
    <t>SAHU</t>
  </si>
  <si>
    <t>Ketan Sahu</t>
  </si>
  <si>
    <t>arketansahu@gmail.com</t>
  </si>
  <si>
    <t>p25702111@student.nicmar.ac.in</t>
  </si>
  <si>
    <t>09-Apr-2003</t>
  </si>
  <si>
    <t>Biking,Travelling,Cycling,Swimming</t>
  </si>
  <si>
    <t>3634 3167 7333</t>
  </si>
  <si>
    <t>CHANDRA SHEKHAR SAHU</t>
  </si>
  <si>
    <t>ASSISTANT ENGINEER AT MUNICIPAL CORPORATION BILASPUR (C.G)</t>
  </si>
  <si>
    <t>SWATI SAHU</t>
  </si>
  <si>
    <t>329/16 Chadda Badi, Nehru Nagar, Bilaspur (C.G) -  495001</t>
  </si>
  <si>
    <t>DELHI PUBLIC SCHOOL BILASPUR</t>
  </si>
  <si>
    <t>PADMABHUSHAN DR. VASANTDADA PATIL COLLEGE OF  ARCHITECTURE, PUNE, MAHARASHTRA</t>
  </si>
  <si>
    <t>AutoCAD,MS Office,MS Project,Primavera,Revit,Photoshop,Lumion,Sketchup,Illustrator,Indesign</t>
  </si>
  <si>
    <t>Techno Architecture INC | Intern Architect | Bengaluru | Jun 2024 | Dec 2024 | 26.714285714286 Weeks</t>
  </si>
  <si>
    <t>P25702113</t>
  </si>
  <si>
    <t>MEERA</t>
  </si>
  <si>
    <t>FADNIS</t>
  </si>
  <si>
    <t>Meera Fadnis</t>
  </si>
  <si>
    <t>p25702113@student.nicmar.ac.in</t>
  </si>
  <si>
    <t>4427 9695 7468</t>
  </si>
  <si>
    <t>MAKARAND FADNIS</t>
  </si>
  <si>
    <t>MADHURIMA FADNIS</t>
  </si>
  <si>
    <t>YOUTH VILLE</t>
  </si>
  <si>
    <t>102 - Kedar Wing, Yashodham Enclave, Prashant Nagar, Ajni Sq., Wardha Road</t>
  </si>
  <si>
    <t>R.S. MUNDLE ENGLISH SCHOOL AND JUNIOR COLLEGE</t>
  </si>
  <si>
    <t>M.K.H. SANCHETI PUBLIC SCHOOL AND JUNIOR COLLEGE</t>
  </si>
  <si>
    <t>AutoCAD,MS Office,MS Project,SketchUp,Lumion,AdobePhotoshop,TwinMotion</t>
  </si>
  <si>
    <t>K &amp; J Projects Private Limited | Project Management Intern | Nagpur, Maharashtra, India | May 2026 | Jul 2026 | 8.5714285714286 Weeks | Campus Internship
Malewar Architects | Intern Architect | Nagpur | Jun 2023 | Oct 2023 | 16.285714285714 Weeks
Earthscapes Consultancy | Intern Architect | Ahmedabad | Jul 2022 | Nov 2022 | 17.571428571429 Weeks</t>
  </si>
  <si>
    <t>Edge Certification</t>
  </si>
  <si>
    <t>P25702114</t>
  </si>
  <si>
    <t>JAISWAL</t>
  </si>
  <si>
    <t>Ankita Jaiswal</t>
  </si>
  <si>
    <t>jaiswala237@gmail.com</t>
  </si>
  <si>
    <t>p25702114@student.nicmar.ac.in</t>
  </si>
  <si>
    <t>11-Jan-2000</t>
  </si>
  <si>
    <t>9145 5288 5155</t>
  </si>
  <si>
    <t>BINOD JAISWAL</t>
  </si>
  <si>
    <t>MANORAMA JAISWAL</t>
  </si>
  <si>
    <t>Jaiswal Medical Hall, Link Road, Jaigaon, West Bengal</t>
  </si>
  <si>
    <t>Alipurduar</t>
  </si>
  <si>
    <t>G.D GOENKA PUBLIC SCHOOL</t>
  </si>
  <si>
    <t>SILIGURI, WEST BENGAL</t>
  </si>
  <si>
    <t>SARVODAYA SENIOR SECONDARY SCHOOL</t>
  </si>
  <si>
    <t>BIJU PATNAIK UNIVERSITY OF TECHNOLOGY, ROURKELA, ODISHA</t>
  </si>
  <si>
    <t>PILOO MODY COLLEGE OF ARCHITECTURE, ABIT, CUTTACK, ODISHA</t>
  </si>
  <si>
    <t>AutoCAD,VRay,LUMION,SKETCHUP,PHOTOSHOP</t>
  </si>
  <si>
    <t>Shree Balaji Engicons Limited | Junior architect  | Belpahar, Jharsuguda, Odisha | Sep 2023 | Dec 2024 | 1Y 3M | 3.2</t>
  </si>
  <si>
    <t>KMBD Architect &amp; Engineers Consortium Pvt.Ltd | Intern Architect | Siliguri | Sep 2022 | Dec 2022 | 16.285714285714 Weeks</t>
  </si>
  <si>
    <t>P25702115</t>
  </si>
  <si>
    <t>HEMYA</t>
  </si>
  <si>
    <t>VARMAN</t>
  </si>
  <si>
    <t>Hemya Varman</t>
  </si>
  <si>
    <t>hemya8055@gmail.com</t>
  </si>
  <si>
    <t>p25702115@student.nicmar.ac.in</t>
  </si>
  <si>
    <t>04-Oct-1999</t>
  </si>
  <si>
    <t>2521 8204 4599</t>
  </si>
  <si>
    <t>VEDHAGIRI NC</t>
  </si>
  <si>
    <t>SATHEESWARI R</t>
  </si>
  <si>
    <t>No.44, 12th Cross, 2nd Block, Akshaynagar, Ramamurthy Nagar, Bengaluru</t>
  </si>
  <si>
    <t>JAIGOPAL GARODIA RASHTROTTHANA VIDYA KENDRA</t>
  </si>
  <si>
    <t>CENTRAL BOARD OF SECONDARY EDUCATION, BENGALURU, KARNATAKA</t>
  </si>
  <si>
    <t>ST. JOSEPH'S PRE-UNIVERSITY COLLEGE</t>
  </si>
  <si>
    <t>GOVT OF KARNATAKA, DEPARTMENT OF PRE-UNIVERSITY EDUCATION</t>
  </si>
  <si>
    <t>SRM SAID, CHENGALPATTU, TAMIL NADU</t>
  </si>
  <si>
    <t>AutoCAD,MS Office,MS Project,Sketchup,Revit,Lumion,Enscape,Candy</t>
  </si>
  <si>
    <t>Collaborative Workspace Consultants LLP | Associate | Bengaluru | Sep 2023 | Jan 2025 | 1Y 4M | 3.6</t>
  </si>
  <si>
    <t>DEBRIQUE CREATIVE LABS PVT LTD (MODULUS HOUSING) | INTERN | IITM RESEARCH PARK, CHENNAI | May 2026 | Jul 2026 | 9.5714285714286 Weeks | Campus Internship
Colliers International (India) Property Services Private Limited | Intern | Bengaluru | Jun 2022 | Oct 2022 | 17.571428571429 Weeks</t>
  </si>
  <si>
    <t>Real Estate Development : Building Value in your community
Introduction to Corporate Finance
Corporate Communications
Urban Land Economics and Real Estate Market Dynamics
Real Estate Financial Modeling
Sustainable Urban Water Systems
Introduction to Financial Accounting</t>
  </si>
  <si>
    <t>P25702116</t>
  </si>
  <si>
    <t>Tushar Sanjay Sarpe</t>
  </si>
  <si>
    <t>tusharsarpe07@gmail.com</t>
  </si>
  <si>
    <t>p25702116@student.nicmar.ac.in</t>
  </si>
  <si>
    <t>07-Jun-2002</t>
  </si>
  <si>
    <t>8763 7422 9096</t>
  </si>
  <si>
    <t>SANJAY TUKARAM SARPE</t>
  </si>
  <si>
    <t>RETIRED DEPUTY ENGINEER</t>
  </si>
  <si>
    <t>ANJALI SANJAY SARPE</t>
  </si>
  <si>
    <t>Bhim Nagar,omerga</t>
  </si>
  <si>
    <t>PODAR INTERNATIONAL SCHOOL, LATUR</t>
  </si>
  <si>
    <t>DAYANAND SCIENCE JUNIOR COLLEGE</t>
  </si>
  <si>
    <t>P25702117</t>
  </si>
  <si>
    <t>MUNOT</t>
  </si>
  <si>
    <t>Sakshi Munot</t>
  </si>
  <si>
    <t>sakshimunot04@gmail.com</t>
  </si>
  <si>
    <t>p25702117@student.nicmar.ac.in</t>
  </si>
  <si>
    <t>English, Hindi, Marwadi, Marathi</t>
  </si>
  <si>
    <t>9347 0740 0576</t>
  </si>
  <si>
    <t>JITENDRA MUNOT</t>
  </si>
  <si>
    <t>RAJASHRI MUNOT</t>
  </si>
  <si>
    <t>Sakshi Plot No 25, Lane 9, Natraj Society, Karvenagar</t>
  </si>
  <si>
    <t>ST. MICHAEL'S SCHOOL</t>
  </si>
  <si>
    <t>PEMRAJSAR SARDA COLLEGE</t>
  </si>
  <si>
    <t>DR. BHANUBEN NANAVATI COLLEGE OF ARCHITECTURE FOR WOMEN, PUNE</t>
  </si>
  <si>
    <t>AutoCAD,MS Office,MS Project,Primavera,Adobe Photoshop,Adobe InDesign,Autodesk Revit,Sketchup,Rhinoceros 3D,Lumion</t>
  </si>
  <si>
    <t>Architect Sachin and Sujata Sule | Junior Architect | Pune | Feb 2025 | Jun 2025 | 0Y 4M | 1.8</t>
  </si>
  <si>
    <t>Ignitus Architectural Studio | Intern Architect | Ahmedabad | Jul 2023 | Dec 2023 | 20.714285714286 Weeks</t>
  </si>
  <si>
    <t>P25702118</t>
  </si>
  <si>
    <t>Manav</t>
  </si>
  <si>
    <t>Kamat</t>
  </si>
  <si>
    <t>Manav Kamat</t>
  </si>
  <si>
    <t>p25702118@student.nicmar.ac.in</t>
  </si>
  <si>
    <t>P25702119</t>
  </si>
  <si>
    <t>PARTH</t>
  </si>
  <si>
    <t>Parth Aniruddha Pande</t>
  </si>
  <si>
    <t>parth.pande0112@gmail.com</t>
  </si>
  <si>
    <t>p25702119@student.nicmar.ac.in</t>
  </si>
  <si>
    <t>01-Dec-2003</t>
  </si>
  <si>
    <t>7436 7917 3207</t>
  </si>
  <si>
    <t>PALLAVI</t>
  </si>
  <si>
    <t>Flat No 202, C-wing, Jayanti Nagari-2, Besa, Beltarodi Road, Nagpur.</t>
  </si>
  <si>
    <t>T,B,R,A,N'S MUNDLE ENGLISH MEDIUM</t>
  </si>
  <si>
    <t>DIPLOMA IN CONSTRUCTION TECHNOLOGY</t>
  </si>
  <si>
    <t>DHARAMPETH POLYTECHNIC, NAGPUR, MAHARASHTRA</t>
  </si>
  <si>
    <t>ST VINCENT PALLOTI COLLEGE OF ENGINEERING AND TECHNOLOGY, NAGPUR, MAHARASHTRA</t>
  </si>
  <si>
    <t>P25702120</t>
  </si>
  <si>
    <t>RITISHA</t>
  </si>
  <si>
    <t>Ritisha Gupta</t>
  </si>
  <si>
    <t>ritishagupta1@gmail.com</t>
  </si>
  <si>
    <t>p25702120@student.nicmar.ac.in</t>
  </si>
  <si>
    <t>14-Nov-2001</t>
  </si>
  <si>
    <t>Digital Illustration &amp; Creative Design,Photography,Reading on Urban Development &amp; Architecture,Playing Sports,exploring architecture through travel</t>
  </si>
  <si>
    <t>7780 6164 4626</t>
  </si>
  <si>
    <t>COMPANY SECRETARY</t>
  </si>
  <si>
    <t>PALLAVI GUPTA</t>
  </si>
  <si>
    <t>A-11 Chandra Nagar Colony, MR-9 Square, A.B. Road, Behind Amarvilas Hotel</t>
  </si>
  <si>
    <t>SRI SATHYA SAI VIDYA VIHAR, INDORE</t>
  </si>
  <si>
    <t>SHRI VAISHNAV VIDYAPEETH VISHWAVIDALAYA, INDORE</t>
  </si>
  <si>
    <t>SHRI VAISHNAV INSTITUTE OF ARCHITECTURE, INDORE</t>
  </si>
  <si>
    <t>AutoCAD,MS Office,MS Project,Adobe Photoshop,Lumion,SketchUp,Advanced Excel,Adobe Illustrator,Canva</t>
  </si>
  <si>
    <t>Nine Squares Architects pvt. ltd. | Junior Architect | Indore | Jan 2025 | Jun 2025 | 0Y 5M | 3</t>
  </si>
  <si>
    <t>Fortress Infracon Limited | Infrastructure Advisory &amp; Project Consulting | Thane, Mumbai | May 2026 | Jul 2026 | 8.7142857142857 Weeks | Campus Internship
Archicon Design | Intern Architect | Pune | Jan 2023 | Jun 2023 | 21.285714285714 Weeks</t>
  </si>
  <si>
    <t>P25702121</t>
  </si>
  <si>
    <t>SARATH</t>
  </si>
  <si>
    <t>Sarath S</t>
  </si>
  <si>
    <t>srtart007@gmail.com</t>
  </si>
  <si>
    <t>p25702121@student.nicmar.ac.in</t>
  </si>
  <si>
    <t>24-Mar-2001</t>
  </si>
  <si>
    <t>ENGLISH, MALAYALAM, TAMIL AND HINDI</t>
  </si>
  <si>
    <t>8222 4298 5123</t>
  </si>
  <si>
    <t>SASIKUMAR</t>
  </si>
  <si>
    <t>RETIRED BANK EMPLOYEE</t>
  </si>
  <si>
    <t>RESMI D</t>
  </si>
  <si>
    <t>UPPER PRIMARY SCHOOL TEACHER</t>
  </si>
  <si>
    <t>9D NARAYANA APARTMENTS_x000D_
KALPATHY, PALAKKAD</t>
  </si>
  <si>
    <t>Aiswarya_x000D_
Arakurissi, Mannarkkad</t>
  </si>
  <si>
    <t>METEMHSS MANNARKKAD</t>
  </si>
  <si>
    <t>KERALA BOARD OF PUBLIC EXAMINATIONS</t>
  </si>
  <si>
    <t>GOVERNMENT HIGHER SECONDARY SCHOOL POTTASSERY</t>
  </si>
  <si>
    <t>BOARD OF HIGHER SECONDARY EXAMINATIONS, KERALA</t>
  </si>
  <si>
    <t>GOVERNMENT ENGINEERING COLLEGE THRISSUR, KERALA</t>
  </si>
  <si>
    <t>AutoCAD,MS Office,MS Project,Primavera,Sketchup,Revit,Adobe illustrator,Adobe photoshop,Lumion,D5 render</t>
  </si>
  <si>
    <t>Biom Medical Technology Pvt  Ltd | Design intern | Kerala | May 2025 | Jun 2025 | 8.5714285714286 Weeks
Hatch and Thatch Design Studio | Intern architect | Thrissur, Kerala | Jul 2023 | Dec 2023 | 21.857142857143 Weeks</t>
  </si>
  <si>
    <t>P25702122</t>
  </si>
  <si>
    <t>KHARAT</t>
  </si>
  <si>
    <t>Kharat Krishna Ravindra</t>
  </si>
  <si>
    <t>kharatpatil25@gmail.com</t>
  </si>
  <si>
    <t>p25702122@student.nicmar.ac.in</t>
  </si>
  <si>
    <t>3453 7590 3977</t>
  </si>
  <si>
    <t>C:1204, Cozy Homes , Awhalwadi Road ,wagholi ,pune</t>
  </si>
  <si>
    <t>LOKSEVA ENGLISH MEDIUM SCHOOL</t>
  </si>
  <si>
    <t>MAHARASHTRA STATE BOARD OF SECONDARY AND HIGHER SECONDARY EDUCATION,  PUNE</t>
  </si>
  <si>
    <t>BHIVRABAI SAWANT POLYTECHNIC , JSPM , WAGHOLI,PUNE</t>
  </si>
  <si>
    <t>IMPERIAL COLLEGE OF ENGINEERING AND RESEARCH , JSPM , WAGHOLI ,PUNE</t>
  </si>
  <si>
    <t>Amanora Park Town -City Corporation Limited | Planning  Department  | Gateway phase II - Hadapsar,Pune | May 2026 | Jul 2026 | 8.7142857142857 Weeks | Campus Internship
Larsen &amp; toubro | Intern in pipeline engineering  | Powai, Mumbai  | Apr 2025 | May 2025 | 8.5714285714286 Weeks</t>
  </si>
  <si>
    <t>P25702123</t>
  </si>
  <si>
    <t>Vivek Arya</t>
  </si>
  <si>
    <t>ar.vivek1997@gmail.com</t>
  </si>
  <si>
    <t>p25702123@student.nicmar.ac.in</t>
  </si>
  <si>
    <t>03-Jan-1997</t>
  </si>
  <si>
    <t>3858 9343 8768</t>
  </si>
  <si>
    <t>ASHOK ARYA</t>
  </si>
  <si>
    <t>SUPERINTENDENT AT NARCOTICS POLICE</t>
  </si>
  <si>
    <t>RAJSHREE ARYA</t>
  </si>
  <si>
    <t>Bungalow No. - 608, Omaxe Hills</t>
  </si>
  <si>
    <t>SANGAM SCHOOL OF EXCELLENCE</t>
  </si>
  <si>
    <t>SUBHASH ENGLISH H.S. SCHOOL</t>
  </si>
  <si>
    <t>BOARD OF SECONDARY EDUCATION, BHOPAL, MADHYA PRADESH</t>
  </si>
  <si>
    <t>UNIVERSITY INSTITUTE OF ARCHITECTURE, GHARUAN, PANJAB</t>
  </si>
  <si>
    <t>AutoCAD,MS Office,MS Project,Lumion,Rhinoceros,Site Survey,Virtual Reality,Client Handling,SAP,Project &amp; Operation Management,Detail Project Report</t>
  </si>
  <si>
    <t>TeamLease Services Limited  deputed to UltraTech Cement Limited |  Regional Lead Utec Experience centre | Jaipur | Aug 2022 | May 2024 | 1Y 9M | 5.12
Architect Raunak Parodkar | Junior Architect | Goa | Dec 2021 | Jun 2022 | 0Y 6M | 0.9</t>
  </si>
  <si>
    <t>M Infra Projects Pvt. Ltd. | Project Management and Project Coordination | Pune | May 2026 | Jul 2026 | 8.5714285714286 Weeks | Campus Internship
Guptas Associated &amp; Architects | Intern Architect | Indore | Jan 2020 | Jun 2020 | 24.285714285714 Weeks</t>
  </si>
  <si>
    <t>P25702124</t>
  </si>
  <si>
    <t>J K</t>
  </si>
  <si>
    <t>Aravind J K</t>
  </si>
  <si>
    <t>aravindjk21@gmail.com</t>
  </si>
  <si>
    <t>p25702124@student.nicmar.ac.in</t>
  </si>
  <si>
    <t>21-Feb-1997</t>
  </si>
  <si>
    <t>English, Hindi,Malayalam</t>
  </si>
  <si>
    <t>7932 0955 8784</t>
  </si>
  <si>
    <t>JAYAKUMAR G</t>
  </si>
  <si>
    <t>KUMARI SHEELA R</t>
  </si>
  <si>
    <t>RETIRED PRIVATE SCHOOL TEACHER</t>
  </si>
  <si>
    <t>Arunodayam, CRPN 113, Pangappara.P.O</t>
  </si>
  <si>
    <t>JYOTI NILAYAM SECONDARY SCHOOL, ST.ANDREWS, TRIVANDRUM, KERALA</t>
  </si>
  <si>
    <t>JYOTI NILAYAM HIGHER SECONDARY SCHOOL ST.ANDREWS TRIVANDRUM KERALA</t>
  </si>
  <si>
    <t>BOARD OF HIGHER SECONDARY EDUCATION KERALA</t>
  </si>
  <si>
    <t>APJ ABDUL KALAM TECHNOLOGICAL UNIVERSITY,THIRUVANANTHAPURAM, KERALA</t>
  </si>
  <si>
    <t>ST.THOMAS INSTITUTE FOR SCIENCE AND TECHNOLOGY, THIRUVANATHAPURAM, KERALA</t>
  </si>
  <si>
    <t>Sobha Limited | Planning, Project Management | Kochi, Kerala | May 2026 | Jul 2026 | 9 Weeks | Campus Internship
CONFIDENT GROUP | Site Engineer | Kozhikode, Thiruvanathapuram, Kerala | Oct 2024 | Jun 2025 | 33.571428571429 Weeks
RADIANZ Design-Build | Site Engineer | Thiruvananthapuram, Kerala | Apr 2022 | May 2023 | 58.714285714286 Weeks</t>
  </si>
  <si>
    <t>Business Communication
Foundations of Project Management
Sustainable Urban Water Systems
Real Estate Financial Modeling
Corporate Finance</t>
  </si>
  <si>
    <t>P25702125</t>
  </si>
  <si>
    <t>PRANITA</t>
  </si>
  <si>
    <t>PIPRADE</t>
  </si>
  <si>
    <t>Pranita Subhash Piprade</t>
  </si>
  <si>
    <t>pranitapiprade@gmail.com</t>
  </si>
  <si>
    <t>p25702125@student.nicmar.ac.in</t>
  </si>
  <si>
    <t>8967 5951 0219</t>
  </si>
  <si>
    <t>SHEGAON B.K NEAR BUS STOP AND PETROL PUMP</t>
  </si>
  <si>
    <t>Walmik Chowk, Sonal Talkies, Bhadrawati</t>
  </si>
  <si>
    <t>ST. ANNE'S HIGH SCHOOL WARORA</t>
  </si>
  <si>
    <t>SOMALWAR HIGH SCHOOL &amp; JUNIOR COLLEGE,NAGPUR</t>
  </si>
  <si>
    <t>PRIYADARSHINI INSTITUTE OF ARCHITECTURE &amp; DESIGN STUDIES</t>
  </si>
  <si>
    <t>AutoCAD,MS Office,photoshop,lumion,sketchup</t>
  </si>
  <si>
    <t>hasba design studio | junior architect | Nagpur | Jan 2024 | Apr 2025 | 1Y 2M | 1.2</t>
  </si>
  <si>
    <t>VINAY JAISWAL AND ASSOCIATES | ARCHITECT INTERN | NAGPUR | Feb 2022 | Nov 2022 | 39.714285714286 Weeks</t>
  </si>
  <si>
    <t>autocad,photoshop,sketchup and lumion</t>
  </si>
  <si>
    <t>P25702126</t>
  </si>
  <si>
    <t>SAMANT</t>
  </si>
  <si>
    <t>Rahul Rajesh Samant</t>
  </si>
  <si>
    <t>rahul.r.samant@gmail.com</t>
  </si>
  <si>
    <t>p25702126@student.nicmar.ac.in</t>
  </si>
  <si>
    <t>20-Jul-1999</t>
  </si>
  <si>
    <t>Dance,Music,Gaming</t>
  </si>
  <si>
    <t>2861 3281 8106</t>
  </si>
  <si>
    <t>RAJESH SAMANT</t>
  </si>
  <si>
    <t>SAP CONSULTANT</t>
  </si>
  <si>
    <t>SHRUTI SAMANT</t>
  </si>
  <si>
    <t>BANK BRANCH MANAGER</t>
  </si>
  <si>
    <t>Room No. 4, Chandrauday Colony, Mahakali Caves Road, Near Little Flower High School, Andheri East</t>
  </si>
  <si>
    <t>ST. DOMINIC SAVIO HIGH SCHOOL</t>
  </si>
  <si>
    <t>SSC - MUMBAI, MAHRASHTRA</t>
  </si>
  <si>
    <t>BHAVAN'S COLLEGE</t>
  </si>
  <si>
    <t>HSC - MUMBAI, MAHARASHTRA</t>
  </si>
  <si>
    <t>VIVA SCHOOL OF ARCHITECTURE</t>
  </si>
  <si>
    <t>AutoCAD,MS Office,MS Project,Sketchup,Lumion,Enscape,Photoshop,Excel,Indesign</t>
  </si>
  <si>
    <t>TINGE By Rhea Truptesh | Jr. Architect | Andheri East, Mumbai | Jul 2022 | Jun 2024 | 1Y 11M | 2.37
Zeel Architects | Jr. Architect | Goregaon East, Mumbai | Jun 2024 | May 2025 | 0Y 11M | 3.36</t>
  </si>
  <si>
    <t>P25702127</t>
  </si>
  <si>
    <t>SUDHANSHU</t>
  </si>
  <si>
    <t>DAYMA</t>
  </si>
  <si>
    <t>Sudhanshu Mahendra Dayma</t>
  </si>
  <si>
    <t>sdayma316@gmail.com</t>
  </si>
  <si>
    <t>p25702127@student.nicmar.ac.in</t>
  </si>
  <si>
    <t>07-May-1996</t>
  </si>
  <si>
    <t>7205 9601 0877</t>
  </si>
  <si>
    <t>MAHENDRA DAYMA</t>
  </si>
  <si>
    <t>DURGA DAYMA</t>
  </si>
  <si>
    <t>Sukhakarta Row House No.9 Near Bus Stop , Shivaji Nagar, Satpur Nashik</t>
  </si>
  <si>
    <t>H.A.B ENGLISH MEDIUM SCHOOL</t>
  </si>
  <si>
    <t>GOKHALE'S EDUCATION SOCIETY (R.Y.K SCIENCE COLLEGE)</t>
  </si>
  <si>
    <t>OYSTER COLLEGE OF ARCHITECTURE, AURANGABAD, MAHARASHTRA</t>
  </si>
  <si>
    <t>AutoCAD,MS Office,MS Project,Primavera,Photoshop,Lumion,Adobe indesign,illustrator,corona render</t>
  </si>
  <si>
    <t>Puneet Urban spaces | Jr. Architect | Thane, Mumbai | Feb 2024 | Jul 2025 | 1Y 4M | 3.93
Atelier Design Studio | Jr. Architect | Kalyan | Dec 2021 | Jun 2023 | 1Y 5M | 2.16
Pvv infra | Jr. Architect | CST , Mumbai | Jun 2023 | Dec 2023 | 0Y 6M | 3.36</t>
  </si>
  <si>
    <t>3 Years 5 Months</t>
  </si>
  <si>
    <t>P25702128</t>
  </si>
  <si>
    <t>SAWALE</t>
  </si>
  <si>
    <t>Atharv Dipak Sawale</t>
  </si>
  <si>
    <t>atharvsawale2000@gmail.com</t>
  </si>
  <si>
    <t>p25702128@student.nicmar.ac.in</t>
  </si>
  <si>
    <t>ENGLISH,HINDI &amp; MARATHI</t>
  </si>
  <si>
    <t>2285 4256 3036</t>
  </si>
  <si>
    <t>HEMLATA</t>
  </si>
  <si>
    <t>PB BARBOLE FLAT NO. 8 RACHANA AVENUE, GOODLUK CHOUK, FC ROAD, DECCAN, PUNE</t>
  </si>
  <si>
    <t>Solapur Road,Sawale Chal, Barshi</t>
  </si>
  <si>
    <t>SULAKHE HIGH SCHOOL BARSHI</t>
  </si>
  <si>
    <t>SHRIMAN BHAUSAHEB ZADBUKE JR COLLEGE BARSHI</t>
  </si>
  <si>
    <t>MAEER'S MIT COLLEGE OF RAILWAY ENGINEERING &amp; RESEARCH, JAMGAON BARSHI</t>
  </si>
  <si>
    <t>Karan Builders  | Planning Intern  | Pune | May 2026 | Jul 2026 | 8.7142857142857 Weeks | Campus Internship</t>
  </si>
  <si>
    <t>Diploma Course in Railway Track Technology</t>
  </si>
  <si>
    <t>P25702129</t>
  </si>
  <si>
    <t>HIMMATBHAI</t>
  </si>
  <si>
    <t>MAKWANA</t>
  </si>
  <si>
    <t>Akash Himmatbhai Makwana</t>
  </si>
  <si>
    <t>akashmakwana347971@gmail.com</t>
  </si>
  <si>
    <t>p25702129@student.nicmar.ac.in</t>
  </si>
  <si>
    <t>16-Oct-1997</t>
  </si>
  <si>
    <t>ENGLISH, HINDI, GUJARATHI, MARATHI</t>
  </si>
  <si>
    <t>4485 4265 3650</t>
  </si>
  <si>
    <t>HIMMATBHAI BABUBHAI MAKWANA</t>
  </si>
  <si>
    <t>JAYA HIMMATBHAI MAKWANA</t>
  </si>
  <si>
    <t>5A/103, Shraddha Building, Asha Nagar, Thakur Complex, Kandivali East.</t>
  </si>
  <si>
    <t>CHILDRENS ACADEMY</t>
  </si>
  <si>
    <t>MAHARASHTRA STATE BOARD OF SECONDARY AND HIGHER SECONDARY EDUCATION, MUMBAI</t>
  </si>
  <si>
    <t>SHRI T P BHATIA COLLEGE OF SCIENCE, MUMBAI</t>
  </si>
  <si>
    <t>UNIVERSITY OF MUMBAI, MAHARASHTRA</t>
  </si>
  <si>
    <t>UNIVERSAL COLLEGE OF ENGINEERING, VASAI</t>
  </si>
  <si>
    <t>F. M. ENTERPRISES | PROJECT ENGINEER | MUMBAI | Mar 2021 | Jul 2022 | 1Y 4M | 1.92
C B AND SONS CONSTRUCTIONS PVT LTD | SITE ENGINEER | MUMBAI | Aug 2019 | Feb 2021 | 1Y 6M | 1.56</t>
  </si>
  <si>
    <t>P25702130</t>
  </si>
  <si>
    <t>VARUDEV</t>
  </si>
  <si>
    <t>Varudev Singh</t>
  </si>
  <si>
    <t>varudevsingh551@gmail.com</t>
  </si>
  <si>
    <t>p25702130@student.nicmar.ac.in</t>
  </si>
  <si>
    <t>30-Aug-2003</t>
  </si>
  <si>
    <t>HINDI , ENGLISH</t>
  </si>
  <si>
    <t>7134 6368 2680</t>
  </si>
  <si>
    <t>SURYADEV SINGH</t>
  </si>
  <si>
    <t>ANITA SINGH</t>
  </si>
  <si>
    <t>34 D Vijay Mandal Enclave Kalu Sarai</t>
  </si>
  <si>
    <t>THE MOTHERS INTERNATIONAL SCHOOL</t>
  </si>
  <si>
    <t>NEW DELHI</t>
  </si>
  <si>
    <t>THAPAR INSTITUTE OF ENGINEERING AND TECHNOLOGY PATIALA PUNJAB</t>
  </si>
  <si>
    <t>P25702131</t>
  </si>
  <si>
    <t>JAVALIKAR</t>
  </si>
  <si>
    <t>Tushar Kumar Javalikar</t>
  </si>
  <si>
    <t>tusharjavalikar7@gmail.com</t>
  </si>
  <si>
    <t>p25702131@student.nicmar.ac.in</t>
  </si>
  <si>
    <t>29-Sep-2002</t>
  </si>
  <si>
    <t>ENGLISH,HINDI,MARATHI,KANNADA.</t>
  </si>
  <si>
    <t>4158 1680 2368</t>
  </si>
  <si>
    <t>KUMAR JAVALIKAR</t>
  </si>
  <si>
    <t>BUISNESS MAN</t>
  </si>
  <si>
    <t>ANUPAMA KUMAR JAVALIKAR</t>
  </si>
  <si>
    <t>NEAR IB OFFICE PATTEKAR LAYOUT HALIYAL_x000D_</t>
  </si>
  <si>
    <t>Uttara Kannada</t>
  </si>
  <si>
    <t>At Post Mangalwad Tq Haliyal.</t>
  </si>
  <si>
    <t>V.V.D SCHOOL OF EXCELLENCE HALIYAL</t>
  </si>
  <si>
    <t>KLS PU COLLEGE HALIYAL</t>
  </si>
  <si>
    <t>KLS VDIT HALIYAL</t>
  </si>
  <si>
    <t>KLS VDIT HALIYAL KARNATAKA</t>
  </si>
  <si>
    <t>B.M.ASSOCIATES | Site Engineer  | huballi karnataka | Aug 2023 | Sep 2023 | 3.4285714285714 Weeks</t>
  </si>
  <si>
    <t>CIVIL ENGINEERS TRAINING INSTITUTE</t>
  </si>
  <si>
    <t>P25702132</t>
  </si>
  <si>
    <t>KHYATI</t>
  </si>
  <si>
    <t>SUSHIL</t>
  </si>
  <si>
    <t>Khyati Sushil Gupta</t>
  </si>
  <si>
    <t>ar.khyati08@gmail.com</t>
  </si>
  <si>
    <t>p25702132@student.nicmar.ac.in</t>
  </si>
  <si>
    <t>28-Mar-2001</t>
  </si>
  <si>
    <t>4241 5494 8087</t>
  </si>
  <si>
    <t>SUSHIL GUPTA</t>
  </si>
  <si>
    <t>MONIKA KUMARI</t>
  </si>
  <si>
    <t>804, Hitakshi Heights, Indralok, Phase-8, Near Kamlakar Patil Hall, Bhayander East, Thane-401105</t>
  </si>
  <si>
    <t>MAHARASHTRA STATE BOARD OF SECONDARY AND HIGHER SECONDARY EDUCATION â€“ THANE, MAHARASHTRA</t>
  </si>
  <si>
    <t>SARDAR VALLABHBHAI PATEL VIDYALAYA AND JR. COLLEGE</t>
  </si>
  <si>
    <t>MAHARASHTRA STATE BOARD OF SECONDARY AND HIGHER SECONDARY EDUCATION â€“ MUMBAI, MAHARASHTRA</t>
  </si>
  <si>
    <t>THAKUR SCHOOL OF ARCHITECTURE AND PLANNING â€“ MUMBAI, MAHARASHTRA</t>
  </si>
  <si>
    <t>AutoCAD,MS Office,MS Project,Photoshop,Sketchup,lumion,powerpoint</t>
  </si>
  <si>
    <t>Vision 1 Architects | Junior Architect | Kandivali East, Mumbai, Maharashtra 400093 | Jul 2023 | Apr 2024 | 0Y 9M | 2.16
EKA Architects | Junior Architect | Andheri West, Mumbai, Maharashtra 400093 | Jun 2024 | Dec 2024 | 0Y 6M | 3</t>
  </si>
  <si>
    <t>ANA DESIGNS PVT. LTD. | INTERN ARCHITECT | ANDHERI EAST, MUMBAI, MAHARASHTRA | Feb 2022 | May 2022 | 15.714285714286 Weeks
Ashwin Sheth Group | Planning Intern | Thane, Mumbai | May 2026 | Jul 2026 | 8.8571428571429 Weeks</t>
  </si>
  <si>
    <t>Architecture Software &amp; Workshops</t>
  </si>
  <si>
    <t>P25702133</t>
  </si>
  <si>
    <t>ANGAD</t>
  </si>
  <si>
    <t>SIRSAT</t>
  </si>
  <si>
    <t>Omkar Angad Sirsat</t>
  </si>
  <si>
    <t>omkarsirsat15@gmail.com</t>
  </si>
  <si>
    <t>p25702133@student.nicmar.ac.in</t>
  </si>
  <si>
    <t>15-Jun-2003</t>
  </si>
  <si>
    <t>2545 4480 2875</t>
  </si>
  <si>
    <t>ANGAD SIRSAT</t>
  </si>
  <si>
    <t>ANURADHA SIRSAT</t>
  </si>
  <si>
    <t>Dhaneshwar,plot No-45, Sector No-10 Shriram Colony , Sector-10, Bhosari Pradhikaran</t>
  </si>
  <si>
    <t>PIMPRI CHINCHWAD POLYTECHNIC / PUNE</t>
  </si>
  <si>
    <t>DR.D.Y. PATIL SCHOOL OF ENGINEERING&amp;TECHNOLOGY PUNE-26</t>
  </si>
  <si>
    <t>R.D. DESPANDAY CONSULTANTS PVT LTD | TRAINEE ENGINEER  | PRADHIKARAN NIGDI | May 2024 | Nov 2024 | 25.142857142857 Weeks</t>
  </si>
  <si>
    <t>P25702134</t>
  </si>
  <si>
    <t>Prajapati Kirtan Nitinkumar</t>
  </si>
  <si>
    <t>prajapatikirtan09@gmail.com</t>
  </si>
  <si>
    <t>p25702134@student.nicmar.ac.in</t>
  </si>
  <si>
    <t>31-Aug-2004</t>
  </si>
  <si>
    <t>ENGLISH, GUJARATI, HINDI</t>
  </si>
  <si>
    <t>3059 4229 8769</t>
  </si>
  <si>
    <t>YOGITABEN</t>
  </si>
  <si>
    <t>2/889, Bhagvati Society, Behind Mahi Colony, Collage Chowkdi, Petlad</t>
  </si>
  <si>
    <t>CONVENT OF JESUS AND MARY HIGH SCHOOL</t>
  </si>
  <si>
    <t>DHARMSINH DESAI UNIVERSITY NADIAD</t>
  </si>
  <si>
    <t>AutoCAD,MS Office,MS Project,Primavera,SketchUp,Revit/BIM</t>
  </si>
  <si>
    <t>RUDRANI INFRASTRUCTURE &amp; DEVELOPER | PROJECT MANAGEMENT INTERN | VADODARA | May 2026 | Jul 2026 | 8.7142857142857 Weeks | Campus Internship
R &amp; B Sub Division Anand | Civil Engineering Intern | Anand | Dec 2024 | Mar 2025 | 16.714285714286 Weeks
DARSHANAM SMART SPACES | JUNIOR CIVIL ENGINEER | VADODARA | May 2024 | Jun 2024 | 4.8571428571429 Weeks</t>
  </si>
  <si>
    <t>P25702136</t>
  </si>
  <si>
    <t>YASHWANT</t>
  </si>
  <si>
    <t>Swapnil Yashwant Jadhav</t>
  </si>
  <si>
    <t>31s.swapniljadhav@gmail.com</t>
  </si>
  <si>
    <t>p25702136@student.nicmar.ac.in</t>
  </si>
  <si>
    <t>27-Jul-2001</t>
  </si>
  <si>
    <t>5437 2265 3473</t>
  </si>
  <si>
    <t>GOLD VALUER</t>
  </si>
  <si>
    <t>FLAT NO -403, WING C, PLOT NO 12, VASTU. FILM CITY, ZONE 4 NR RAHEJA TOWER</t>
  </si>
  <si>
    <t>85/631, Swarganga  Co. Op. Housing Society, MHB Colony, Dindoshi  Nagar, Near Reliance Energy</t>
  </si>
  <si>
    <t>YASHODHAM HIGH SCHOOL &amp; JUNIOR COLLEGE</t>
  </si>
  <si>
    <t>THAKUR POLYTECHNIC, KANDIVALI(E), MUMBAI-400101, MAHARASHTRA</t>
  </si>
  <si>
    <t>VIDYA VIKAS EDUCATION TRUSTS UNIVERSAL  COLLEGE OF ENGINEERING,KAMAN,VASAI-401208</t>
  </si>
  <si>
    <t>AutoCAD,MS Office,MS Project,Primavera,Interpretation of structural and architectural drawings,Labor and staff management,Good communication skills,Leadership skills,Time management,Analytical &amp; Problem Solving  Skills,Material management,Quantity Take-Of</t>
  </si>
  <si>
    <t>Prithvi Enterprises | Trainee Engineer | Goregaon(W), Mumbai-400104, Maharashtra  | Jun 2023 | Dec 2023 | 0Y 6M | 2.64
Talib &amp; Shamsi Construction PVT LTD | Jr Engineer | Borivali (E), Mumbai-400104, Maharashtra. | Jan 2024 | May 2025 | 1Y 4M | 3.24</t>
  </si>
  <si>
    <t>PSP Projects Limited | Civil Intern | Dharavi,Mumbai | May 2026 | Jun 2026 | 7.8571428571429 Weeks | Campus Internship</t>
  </si>
  <si>
    <t>Course on Primavera project management(P6),Certified by Cadd center, Andheri(East) ,Mumbai
Certification in auto cad 2D ,Certified by Max computer education, Kandivali (W),Mumbai
Certifications course in Auto cad 2D and Primavera P6 in project management
Certificate course in auto cad 2D and Primavera P6 project management
1) Certificate course in Auto cad 2D</t>
  </si>
  <si>
    <t>P25702137</t>
  </si>
  <si>
    <t>AASHAY</t>
  </si>
  <si>
    <t>Aashay Suresh Bhagat</t>
  </si>
  <si>
    <t>aashaybhagat22@gmail.com</t>
  </si>
  <si>
    <t>p25702137@student.nicmar.ac.in</t>
  </si>
  <si>
    <t>22-Oct-1999</t>
  </si>
  <si>
    <t>4902 5905 9130</t>
  </si>
  <si>
    <t>SURESH BHAGAT</t>
  </si>
  <si>
    <t>ARUNA BHAGAT</t>
  </si>
  <si>
    <t>YOUTHVILLE BALEWADI 2, NEAR AMAR TECH PARK, BALEWADI, PUNE</t>
  </si>
  <si>
    <t>10, Bhagat Nagar, Near Sutgirni, Wanadongri, Hingna, Nagpur</t>
  </si>
  <si>
    <t>VIMALTAI TIDKE CONVENT AND JR. COLLEGE</t>
  </si>
  <si>
    <t>AutoCAD,MS Office,MS Project,Primavera,Revit (Architectural MEP &amp; Structural),Navisworks,Recap Pro,Adobe InDesign,Lumion,Sketchup,Twinmotion</t>
  </si>
  <si>
    <t>Akshay Bobde and Associates | Jr. Architect | Nagpur | Sep 2023 | Jun 2024 | 0Y 9M | 1.5
Specuwin (a subsidiary of pinnacleiit) | BIM Modeller | Remote | Jan 2023 | Aug 2023 | 0Y 7M | 1.5</t>
  </si>
  <si>
    <t>Ar. Joseph D'silva | Intern Architect | Panjim, Goa | Mar 2021 | Jul 2021 | 19.428571428571 Weeks</t>
  </si>
  <si>
    <t>Revit
Autocad
Advance BIM Professional Training</t>
  </si>
  <si>
    <t>P25702138</t>
  </si>
  <si>
    <t>BAPU</t>
  </si>
  <si>
    <t>Aditya Bapu Jadhav</t>
  </si>
  <si>
    <t>adityajadhav17831@gmail.com</t>
  </si>
  <si>
    <t>p25702138@student.nicmar.ac.in</t>
  </si>
  <si>
    <t>17-Jun-2003</t>
  </si>
  <si>
    <t>6469 4028 8753</t>
  </si>
  <si>
    <t>BAPU JADHAV</t>
  </si>
  <si>
    <t>USHA JADHAV</t>
  </si>
  <si>
    <t>FLAT NO 5 SHRI HARI PALACE SWAMI VIVEKANANDA COLONY  BEHIND ROYAL MEDICO CHAUDHARY PARK WAKAD</t>
  </si>
  <si>
    <t>Ramwadi Jinti Near Vitthal Temple Solapur</t>
  </si>
  <si>
    <t>SHRI FATTECHAND JAIN VIDYALAYA AND JUNIOR COLLEGE CHINCHWAD</t>
  </si>
  <si>
    <t>GOVERMENT POLYTECHNIC PUNE</t>
  </si>
  <si>
    <t>SINHGAD INSTITUTE OF TECHNOLOGY AND SCIENCE PUNE</t>
  </si>
  <si>
    <t>Sobha Ltd. | Project planning  | Sobha Ayana Bangalore  | May 2026 | Jul 2026 | 9 Weeks | Campus Internship
NYATI ENGINEERS CONSULTANTS PVT. LTD | SITE ENGINEER | THE CORINTHIANS RESORTS &amp; CLUB UNDRI PUNE | Aug 2021 | Sep 2021 | 5.7142857142857 Weeks
AK construction  &amp; Architectural | site engineer | mangalmay restaurant vidani tal.phaltan Dist.satara | Dec 2023 | Jan 2024 | 3.8571428571429 Weeks</t>
  </si>
  <si>
    <t>P25702139</t>
  </si>
  <si>
    <t>H</t>
  </si>
  <si>
    <t>Darshan B H</t>
  </si>
  <si>
    <t>darshanbhgowrpade@gmail.com</t>
  </si>
  <si>
    <t>p25702139@student.nicmar.ac.in</t>
  </si>
  <si>
    <t>15-Feb-2002</t>
  </si>
  <si>
    <t>ENGLISH, HINDI, KANNADA &amp; TELUGU</t>
  </si>
  <si>
    <t>9467 5920 7185</t>
  </si>
  <si>
    <t>HANUMANTHAPPA</t>
  </si>
  <si>
    <t>ASHA H B</t>
  </si>
  <si>
    <t>5/1 2ND FLOOR, 2ND MAIN_x000D_
AZADNAGAR, CHAMARAJPET</t>
  </si>
  <si>
    <t>S/O Hanumanthappa, Benkikere(v) Hodigere (p) Channagiri(T) Davanagere(D)</t>
  </si>
  <si>
    <t>SRI RAMAKRISHNA ENGLISH MEDIUM H S</t>
  </si>
  <si>
    <t>MAGANUR BASAPPA PU COLLAGE</t>
  </si>
  <si>
    <t>DEPARTMENT OF PRE-UNIVERCITY EDUCATION</t>
  </si>
  <si>
    <t>VISVESVARAYA TECHNOLOGICAL UNIVERCITY</t>
  </si>
  <si>
    <t>NITTE MEENAKSHI INSTITUE OF TECHNOLOGY</t>
  </si>
  <si>
    <t>SAFEX TECHNO SOLUTIONS | PROJECT MANAGEMENT INTERN | Kushalanagara | May 2026 | Jul 2026 | 10.571428571429 Weeks | Campus Internship
Sobha Limited | Trainee Site Engineer | Bangalore  | Jul 2023 | Aug 2023 | 4.4285714285714 Weeks</t>
  </si>
  <si>
    <t>P25702140</t>
  </si>
  <si>
    <t>SUBHASHREE</t>
  </si>
  <si>
    <t>ACHARYA</t>
  </si>
  <si>
    <t>Subhashree Acharya</t>
  </si>
  <si>
    <t>acharyasubhashree58@gmail.com</t>
  </si>
  <si>
    <t>p25702140@student.nicmar.ac.in</t>
  </si>
  <si>
    <t>01-Jul-1998</t>
  </si>
  <si>
    <t>8050 0226 1799</t>
  </si>
  <si>
    <t>BIRAJA PRASAD ACHARYA</t>
  </si>
  <si>
    <t>GOVT. EMPLOYEE</t>
  </si>
  <si>
    <t>SNEHALATA ACHARYA</t>
  </si>
  <si>
    <t>D-1, Lane-1, Bairagi Nagar, Jharpada Cenal Road</t>
  </si>
  <si>
    <t>VIVEKANANDA SIKSHA KENDRA</t>
  </si>
  <si>
    <t>BOARD OF SECONDARY EDUCATION, ODISHA</t>
  </si>
  <si>
    <t>ARCHITECTURAL ASSISTANTSHIP</t>
  </si>
  <si>
    <t>GOVERNMENT POLYTECHNIC, BHUBANESWAR</t>
  </si>
  <si>
    <t>PILOO MODY COLLEGE OF ARCHITECTURE, CUTTACK</t>
  </si>
  <si>
    <t>AutoCAD,MS Office,MS Project,Photoshop,sketchup,lumion,indesign,GIS</t>
  </si>
  <si>
    <t>Cushman &amp; Wakefield India | Project management Intern | Pune | May 2026 | Jul 2026 | 8.7142857142857 Weeks | Campus Internship</t>
  </si>
  <si>
    <t>P25702141</t>
  </si>
  <si>
    <t>PAYAL</t>
  </si>
  <si>
    <t>R.</t>
  </si>
  <si>
    <t>Payal R. Kshirsagar</t>
  </si>
  <si>
    <t>payalkshirsagar237@gmail.com</t>
  </si>
  <si>
    <t>p25702141@student.nicmar.ac.in</t>
  </si>
  <si>
    <t>24-Feb-2000</t>
  </si>
  <si>
    <t>3155 4040 6377</t>
  </si>
  <si>
    <t>101, Plot 208/209 Surangama Appartment_x000D_
Manewada</t>
  </si>
  <si>
    <t>KSHIRSAGAR PAYAL RAVINDRA</t>
  </si>
  <si>
    <t>INSTITUTE OF DESIGN EDUCATION &amp; ARCHITECTURAL STUDIES, NAGPUR, MAHARASHTRA</t>
  </si>
  <si>
    <t>AutoCAD,MS Office,MS Project,sketup,photoshop,lumion,revit,coral</t>
  </si>
  <si>
    <t>Origin Associates | Junior Architect | Pune  | Dec 2022 | Apr 2025 | 2Y 4M | 5.4</t>
  </si>
  <si>
    <t>Misal Architects And Associates | Intern  | Nagpur | May 2021 | Oct 2021 | 22.571428571429 Weeks</t>
  </si>
  <si>
    <t>P25702142</t>
  </si>
  <si>
    <t>RAIKAR</t>
  </si>
  <si>
    <t>Vedant Damodar Raikar</t>
  </si>
  <si>
    <t>raikar.vedant@gmail.com</t>
  </si>
  <si>
    <t>p25702142@student.nicmar.ac.in</t>
  </si>
  <si>
    <t>09-Mar-2000</t>
  </si>
  <si>
    <t>ENGLISH, HINDI, MARATHI, KONKANI, GUJRATI</t>
  </si>
  <si>
    <t>3984 6902 0953</t>
  </si>
  <si>
    <t>DAMODAR RAIKAR</t>
  </si>
  <si>
    <t>VIDYA RAIKAR</t>
  </si>
  <si>
    <t>501 VISHWADHAM CO-OP SOCIETY, NEHRU NAGAR, KURLA E</t>
  </si>
  <si>
    <t>A/14 Pethe Nagar Society, Kedarmal Road , Malad East</t>
  </si>
  <si>
    <t>AVM HIGH SCHOOL</t>
  </si>
  <si>
    <t>MUMBAI, MAHARASHTRA</t>
  </si>
  <si>
    <t>SHRI T P BHATIA JR. COLLEGE OF SCIENCE</t>
  </si>
  <si>
    <t>AutoCAD,MS Office,Lumion,Sketchup,Photoshop,vray</t>
  </si>
  <si>
    <t>Metadesigns | Junior Architect/ Project Architect | Mumbai, Maharashtra | Feb 2024 | Apr 2025 | 1Y 2M | 2.4
Form Space and Design Architects (FSND) | Junior Architect | Mumbai, Maharashtra | Jul 2023 | Sep 2023 | 0Y 2M | 2.16</t>
  </si>
  <si>
    <t>SHASHI PRABHU AND ASSOCIATES | INTERN ARCHITECT | MUMBAI, MAHARASHTRA | Dec 2021 | Apr 2022 | 18.428571428571 Weeks</t>
  </si>
  <si>
    <t>P25702143</t>
  </si>
  <si>
    <t>SIDDARTH</t>
  </si>
  <si>
    <t>Siddarth S</t>
  </si>
  <si>
    <t>siddarthselvaraj3@gmail.com</t>
  </si>
  <si>
    <t>p25702143@student.nicmar.ac.in</t>
  </si>
  <si>
    <t>24-May-2003</t>
  </si>
  <si>
    <t>Tamil, English, Kannada</t>
  </si>
  <si>
    <t>4940 0127 2075</t>
  </si>
  <si>
    <t>SELVARAJ K</t>
  </si>
  <si>
    <t>COOK</t>
  </si>
  <si>
    <t>NITHYANANTHI</t>
  </si>
  <si>
    <t>1/229, 4th Street, Rasichettipalayam,_x000D_
Zamin Uthukuli(PO),_x000D_
Pollachi - 642004</t>
  </si>
  <si>
    <t>MANI HIGHER SECONDARY SCHOOL</t>
  </si>
  <si>
    <t>TAMILNADU STATEBOARD</t>
  </si>
  <si>
    <t>KPR INSTITUTE OF ENGINEERING AND TECHNOLOGY, COIMBATORE, TAMIL NADU.</t>
  </si>
  <si>
    <t>AutoCAD,MS Office,MS Project,SketchUp,Tekla Structures,Adobe illustrator,RIB Candy</t>
  </si>
  <si>
    <t>Sublime Structures | Junior Detailing Engineer | Coimbatore | May 2024 | Jun 2025 | 1Y 1M | 2.4</t>
  </si>
  <si>
    <t>KPR Institute of Engineering and Technology | Designing Trainee | Coimbatore | Jun 2022 | Jun 2022 | 2 Weeks
G Ramamoorthi Constructions (I) Pvt Ltd | Assistant Site Engineer | Coimbatore | Dec 2021 | Dec 2021 | 2.2857142857143 Weeks</t>
  </si>
  <si>
    <t>L&amp;T Edutech - Formwork Engineering Practices
L&amp;T Edutech - Project Management For Engineers
L&amp;T Edutech - Concreting Techniques and Practices
NPTEL - Corporate Finance</t>
  </si>
  <si>
    <t>P25702144</t>
  </si>
  <si>
    <t>DAVE</t>
  </si>
  <si>
    <t>Hrishikesh Gopal Dave</t>
  </si>
  <si>
    <t>hrishikeshdave99@gmail.com</t>
  </si>
  <si>
    <t>p25702144@student.nicmar.ac.in</t>
  </si>
  <si>
    <t>Hindi, English, Marathi, Marwari</t>
  </si>
  <si>
    <t>Exploring new places,Interacting with new  people,Photography,Trekking &amp; hiking,Sports</t>
  </si>
  <si>
    <t>7019 2724 9204</t>
  </si>
  <si>
    <t>GOPAL MADANLAL DAVE</t>
  </si>
  <si>
    <t>REKHA GOPAL DAVE</t>
  </si>
  <si>
    <t>FL A 102 TODKAR ANGAN SN-41/2A YEWALEWADI NR. ZP SCHOOL PUNE-48</t>
  </si>
  <si>
    <t>ROSARY SCHOOLS &amp; JR COLLEGE</t>
  </si>
  <si>
    <t>MAHARASHTRA BOARD OF SECONDARY SCHOOL CERTIFICATE PUNE</t>
  </si>
  <si>
    <t>TRINITY POLYTECHNIC</t>
  </si>
  <si>
    <t>TRINITY ACADEMY COLLEGE OF ENGINEERING</t>
  </si>
  <si>
    <t>Pragati Engineering | Operational Intern  | Pune | Dec 2024 | May 2025 | 21.571428571429 Weeks</t>
  </si>
  <si>
    <t>P25702145</t>
  </si>
  <si>
    <t>CHORE</t>
  </si>
  <si>
    <t>Chore Vaibhavi Pradip</t>
  </si>
  <si>
    <t>vaibhavichore49@gmail.com</t>
  </si>
  <si>
    <t>p25702145@student.nicmar.ac.in</t>
  </si>
  <si>
    <t>3114 0649 1140</t>
  </si>
  <si>
    <t>Dnyneshwari Nagar,Near Arav Pride ,Shegaon-Rahatgaon Road,</t>
  </si>
  <si>
    <t>RAJESHWARI VIDYA MANDIR</t>
  </si>
  <si>
    <t>P.R.PATIL COLLEGE OF ARCHITECTURE, AMRAVATI</t>
  </si>
  <si>
    <t>P25702146</t>
  </si>
  <si>
    <t>MOOLVANSHI</t>
  </si>
  <si>
    <t>Abhinav Moolvanshi</t>
  </si>
  <si>
    <t>abhinavmoolvanshi71617@gmail.com</t>
  </si>
  <si>
    <t>p25702146@student.nicmar.ac.in</t>
  </si>
  <si>
    <t>2835 7840 2701</t>
  </si>
  <si>
    <t>AKHILESH KUMAR</t>
  </si>
  <si>
    <t>9B/89 VRINDAVAN YOJNA,RAIBARELI ROAD,LUCKNOW</t>
  </si>
  <si>
    <t>LUCKNOW PUBLIC SCH VRINDAVAN YOJANA LUCKNOW UP</t>
  </si>
  <si>
    <t>CBSE LUCKNOW UP</t>
  </si>
  <si>
    <t>ST HENRY PUB IC MADEHGANJ KHADRA LUCKNOW</t>
  </si>
  <si>
    <t>UP BOARD, LUCKNOW/UTTAR PRADESH</t>
  </si>
  <si>
    <t>BABASAHEB BHIMRAO AMBEDKAR UNIVERSITY</t>
  </si>
  <si>
    <t>BABASAHEB BHIMRAO AMBEDKAR UNIVERSITY LUCKNOW</t>
  </si>
  <si>
    <t>AutoCAD,MS Office,MS Project,REVIT ARCHITECTURE 2021,STAAD PRO V8i</t>
  </si>
  <si>
    <t>AMNA | Trainee | Basti | Mar 2024 | Sep 2024 | 30.285714285714 Weeks
RDSO | Trainee | Lucknow | Jun 2022 | Jul 2022 | 3.5714285714286 Weeks</t>
  </si>
  <si>
    <t>Autodesk AutoCad, Revit Architecture</t>
  </si>
  <si>
    <t>P25702147</t>
  </si>
  <si>
    <t>Bhushan Gopal Chaudhari</t>
  </si>
  <si>
    <t>chaudharibhushan9990@gmail.com</t>
  </si>
  <si>
    <t>p25702147@student.nicmar.ac.in</t>
  </si>
  <si>
    <t>18-Nov-2001</t>
  </si>
  <si>
    <t>2276 2390 8175</t>
  </si>
  <si>
    <t>GOPAL CHAUDHARI</t>
  </si>
  <si>
    <t>VANDANA CHAUDHARI</t>
  </si>
  <si>
    <t>Plot No.12,professor Colony,near Biyani High School,Bhusawal</t>
  </si>
  <si>
    <t>ST. ALOYSIUS CONVENT HIGH SCHOOL</t>
  </si>
  <si>
    <t>SCC MAHARASHTRA BOARD</t>
  </si>
  <si>
    <t>P O NAHATA COLLEGE, BHUSAWAL</t>
  </si>
  <si>
    <t>SHRI GULABRAO DEONAR COLLEGE OF ENGINEERING</t>
  </si>
  <si>
    <t>DR. BABASAHEB AMBEDKAR TECHNOLOGICAL UNIVERSITY, BHUSAWAL</t>
  </si>
  <si>
    <t>SHRI. SANT GADGEBABA COLLEGE OF ENGINEERING AND TECHNOLOGY, BHUSAWAL</t>
  </si>
  <si>
    <t>Quantity surveying and project billing using MS-EXCEL
Microsoft project
Autocad
Construction project management
Sustainable Urban Water Systems
Urban Land Economics and Real Estate Market Dynamics</t>
  </si>
  <si>
    <t>P25702148</t>
  </si>
  <si>
    <t>KHEMCHAND</t>
  </si>
  <si>
    <t>CHAINANI</t>
  </si>
  <si>
    <t>Aditya Khemchand Chainani</t>
  </si>
  <si>
    <t>adityachainani29@gmail.com</t>
  </si>
  <si>
    <t>p25702148@student.nicmar.ac.in</t>
  </si>
  <si>
    <t>09-Jun-2002</t>
  </si>
  <si>
    <t>Exploring new places,Interacting with new people,Photography,Trekking &amp; hiking,Sports</t>
  </si>
  <si>
    <t>2034 2840 7117</t>
  </si>
  <si>
    <t>VINITA</t>
  </si>
  <si>
    <t>LIFE REPUBLIC,R16 AREZO A, WING A, GAIKWAD NAGAR RD, PUNAWALE, PUNE</t>
  </si>
  <si>
    <t>Plot No 478,Sindhi Colony , Khamla, Nagpur</t>
  </si>
  <si>
    <t>SOMALWAR NIKALAS HIGH SCHOOL &amp; JR. COLLEGE</t>
  </si>
  <si>
    <t>MAHARASHTRA BOARD OF SECONDARY AND HIGHER SECONDARY EDUCATION PUNE. NAGPUR/MAHARASHTRA</t>
  </si>
  <si>
    <t>AutoCAD,MS Project,Project Planning and Management,NAVISWORK MANAGE 2025,REVIT ARCHITECTURE 2025</t>
  </si>
  <si>
    <t>NIRMAYI CONSTRUCTION | TRAINEE SITE ENGINEER | NAGPUR | Jun 2024 | Jul 2024 | 3.2857142857143 Weeks
PLA PROJECTS PRIVATE LIMITED | TRAINEE SITE ENGINEER | NAGPUR | Dec 2024 | Apr 2025 | 19 Weeks</t>
  </si>
  <si>
    <t>Naviswork Manage
Revit Architecture
Project Planning and Management</t>
  </si>
  <si>
    <t>P25702149</t>
  </si>
  <si>
    <t>p25702149@student.nicmar.ac.in</t>
  </si>
  <si>
    <t>P25702150</t>
  </si>
  <si>
    <t>SRUSHTI</t>
  </si>
  <si>
    <t>LOMTE</t>
  </si>
  <si>
    <t>Srushti Viraj Lomte</t>
  </si>
  <si>
    <t>lomte.srushti@gmail.com</t>
  </si>
  <si>
    <t>p25702150@student.nicmar.ac.in</t>
  </si>
  <si>
    <t>7587 6418 1462</t>
  </si>
  <si>
    <t>VIRAJ LOMTE</t>
  </si>
  <si>
    <t>YOGITA LOMTE</t>
  </si>
  <si>
    <t>I 1104 AMITS BLOOMFIELD,AMBEGAON BK . NEAR INDRAYANI SCHOOL PUNE</t>
  </si>
  <si>
    <t>Rajeev Township_x000D_
1 Vijayshree Apt_x000D_
Rajiv Nagar</t>
  </si>
  <si>
    <t>SYMBIOSIS SCHOOL , NASHIK</t>
  </si>
  <si>
    <t>SHREE PRAMOD PATIL JUNIOR COLLEGE</t>
  </si>
  <si>
    <t>SPACE EVOLVE CONSULTANTS | ARCHITECTURAL INTERN  | NASHIK  | Jun 2024 | Oct 2024 | 19.857142857143 Weeks</t>
  </si>
  <si>
    <t>Green Building certication , elective course</t>
  </si>
  <si>
    <t>P25702151</t>
  </si>
  <si>
    <t>RAJAT</t>
  </si>
  <si>
    <t>RASANE</t>
  </si>
  <si>
    <t>Rajat Rahul Rasane</t>
  </si>
  <si>
    <t>rajatxrasane@gmail.com</t>
  </si>
  <si>
    <t>p25702151@student.nicmar.ac.in</t>
  </si>
  <si>
    <t>06-May-2002</t>
  </si>
  <si>
    <t>6729 3291 5479</t>
  </si>
  <si>
    <t>RAHUL RASANE</t>
  </si>
  <si>
    <t>RAKHEE RASANE</t>
  </si>
  <si>
    <t>6, Shriketan Apartments, 425/13 TMV Colony, Mukundnagar, Pune 411037</t>
  </si>
  <si>
    <t>HUTCHINGS HIGH SCHOOL</t>
  </si>
  <si>
    <t>RAJIV GANDHI ACADEMY OF E-LEARNING SCHOOL &amp; JUNIOR COLLEGE OF SCIENCE</t>
  </si>
  <si>
    <t>M/s Rahul Rasane | Site Engineer / Project Manager | Girikunj - Taljai Hills, Taljai Pathar, Dhankawadi, Pune 411043 | Jun 2024 | Jan 2025 | 0Y 7M | 4.2</t>
  </si>
  <si>
    <t>Corporate Finance</t>
  </si>
  <si>
    <t>P25702152</t>
  </si>
  <si>
    <t>RUTIK</t>
  </si>
  <si>
    <t>LAXMANRAO</t>
  </si>
  <si>
    <t>GIRADKAR</t>
  </si>
  <si>
    <t>Rutik Laxmanrao Giradkar</t>
  </si>
  <si>
    <t>rutikgiradkar@gmail.com</t>
  </si>
  <si>
    <t>p25702152@student.nicmar.ac.in</t>
  </si>
  <si>
    <t>05-Oct-2000</t>
  </si>
  <si>
    <t>2470 1320 6060</t>
  </si>
  <si>
    <t>Ekurli, Po- Talegaon Talatule, Tah- Wardha, Dist- Wardha, Maharashtra, 442001</t>
  </si>
  <si>
    <t>INDIAN MILITARY SCHOOL</t>
  </si>
  <si>
    <t>SHRI VYANKAYTESH JUNIOR COLLEGE</t>
  </si>
  <si>
    <t>MS Project, Primavera P6, MS Office, AutoCAD, Revit-Architecture</t>
  </si>
  <si>
    <t>REPPLEN PROJECTS PRIVATE LIMITED | Planning Intern | Pune | May 2026 | Jun 2026 | 8.1428571428571 Weeks | Campus Internship
PUBLIC WORKS DIVISION | Intern | P.W. Sub Division, Seloo, Wardha, Maharashtra | Feb 2022 | Jul 2022 | 25.571428571429 Weeks
BAJAJ AUTO LIMITED | Intern | Bajaj Nagar, Waluj, Midc, Aurangabad, Maharashtra | Aug 2019 | Aug 2019 | 0.71428571428571 Weeks</t>
  </si>
  <si>
    <t>AutoCAD
Revit Architecture
SAP2000</t>
  </si>
  <si>
    <t>P25702153</t>
  </si>
  <si>
    <t>AMDHARE</t>
  </si>
  <si>
    <t>Ayush Narendra Amdhare</t>
  </si>
  <si>
    <t>ayush664041@gmail.com</t>
  </si>
  <si>
    <t>p25702153@student.nicmar.ac.in</t>
  </si>
  <si>
    <t>03-Dec-2002</t>
  </si>
  <si>
    <t>7673 1483 7106</t>
  </si>
  <si>
    <t>YOUTHVILLE BALEWADI 2, NEXT TO AMAR TECH PARK, PUNE, MAHARASHTRA 411045</t>
  </si>
  <si>
    <t>Plot No.31,kohley Layout,khadgaon Road,wadi,</t>
  </si>
  <si>
    <t>CDS SCHOOL NAGPUR</t>
  </si>
  <si>
    <t>G H RAISONI VIDYA NIKETAN NAGPUR MAHARASHTRA</t>
  </si>
  <si>
    <t>TIRPUDE INSTITUTE OF MANAGEMENT EDUCATION, SADAR, NAGPUR/MAHARASHTRA</t>
  </si>
  <si>
    <t>OPEN WINGS FOUNDATION | Non-profit organization | Noida, Uttar Pradesh | Jul 2024 | Oct 2024 | 13.142857142857 Weeks</t>
  </si>
  <si>
    <t>P2201001</t>
  </si>
  <si>
    <t>ESHIKA</t>
  </si>
  <si>
    <t>Eshika Vikas Patil</t>
  </si>
  <si>
    <t>eshikapatil8@gmail.com</t>
  </si>
  <si>
    <t>p2201001@student.nicmar.ac.in</t>
  </si>
  <si>
    <t>22-Jun-2004</t>
  </si>
  <si>
    <t>Dance,Singing,Painting,Swimming,Reading</t>
  </si>
  <si>
    <t>3568 7659 0201</t>
  </si>
  <si>
    <t>VIKAS TUKARAM PATIL</t>
  </si>
  <si>
    <t>MEGHA VIKAS PATIL</t>
  </si>
  <si>
    <t>H - 1003, Lake Vista Society, Shaninagar, Katraj</t>
  </si>
  <si>
    <t>AARYANS WORLDS SCHOOL</t>
  </si>
  <si>
    <t>NATIONAL INSTITUTE OF OPEN SCHOOLING</t>
  </si>
  <si>
    <t>NICMAR UNIVERSITY, PUNE</t>
  </si>
  <si>
    <t>MS Office,C++,c</t>
  </si>
  <si>
    <t>RUCHA GROUP | HR INTERN  | SHIVAJINAGAR, PUNE | May 2024 | Jul 2024 | 8.7142857142857 Weeks
COGNIZEN INNOVATION | HR+ MARKETING  | DELHI  | May 2025 | Jul 2025 | 8.7142857142857 Weeks</t>
  </si>
  <si>
    <t>Yoga and positive psychology for managing career and life
Hindi Bhasha Bodh
Korean I
English for research paper writing</t>
  </si>
  <si>
    <t>P2201002</t>
  </si>
  <si>
    <t>UDIT</t>
  </si>
  <si>
    <t>Udit Singh</t>
  </si>
  <si>
    <t>kabirsingh231456@gmail.com</t>
  </si>
  <si>
    <t>p2201002@student.nicmar.ac.in</t>
  </si>
  <si>
    <t>25-Feb-2004</t>
  </si>
  <si>
    <t>7816 1680 8281</t>
  </si>
  <si>
    <t>LOKENDRA SINGH</t>
  </si>
  <si>
    <t>RASHMI SINGH</t>
  </si>
  <si>
    <t>115, MBH BOYS HOSTEL, NICMAR UNIVERSITY, POST OFFICE, 25/1, BALEWADI ROAD, RAM NAGAR, BANER, PUNE, MAHARASHTRA</t>
  </si>
  <si>
    <t>HOUSE NUMBER 119, AVTAR SINGH ROAD, AGRA CANTT, AGRA, UTTAR PRADESH</t>
  </si>
  <si>
    <t>Agra</t>
  </si>
  <si>
    <t>NALANDA ACADEMY ANANTPURA, KOTA, RAJASTHAN</t>
  </si>
  <si>
    <t>CENTRAL BOARD OF SECONDARY EDUCATION, KOTA, RAJASTHAN</t>
  </si>
  <si>
    <t>MAHI INTERNATIONAL SCHOOL, AGRA, UTTAR PRADESH</t>
  </si>
  <si>
    <t>CENTRAL BOARD OF SECONDARY EDUCATION, AGRA, UTTAR PRADESH</t>
  </si>
  <si>
    <t>MS Office,C &amp; C++ PROGRAMMING,ORACLE,PHOTOSHOP,ILLUSTRATOR</t>
  </si>
  <si>
    <t>SRV MEDIA PVT. LTD | DIGITAL MARKETING | 3RD FLOOR, OFFICE NO. 301, NANDAN PROBIZ, NEAR BALEWADI HIGH STREET, LAXMAN NAGAR, BANER, PUNE, MAHARASHTRA 411045 | May 2024 | Jul 2024 | 8.7142857142857 Weeks
Nicmar | Data Analyst  | Online  | Jul 2024 | Sep 2024 | 8.8571428571429 Weeks
UNIVERSITY OF ILLINOIS | FINANCIAL ACCOUNTING WORK THROUGH COURSERA | ONLINE  | May 2025 | Jul 2025 | 8.7142857142857 Weeks</t>
  </si>
  <si>
    <t>P2201003</t>
  </si>
  <si>
    <t>VIJIT</t>
  </si>
  <si>
    <t>Vijit Yadav</t>
  </si>
  <si>
    <t>vijityadav37@gmail.com</t>
  </si>
  <si>
    <t>p2201003@student.nicmar.ac.in</t>
  </si>
  <si>
    <t>10-Feb-2005</t>
  </si>
  <si>
    <t>ENGLISH AND  HINDI</t>
  </si>
  <si>
    <t>Sports,Yoga,Trekking,Reading,Rubik&amp;#39;s Cube</t>
  </si>
  <si>
    <t>8589 1137 0658</t>
  </si>
  <si>
    <t>GREESH CHANDRA YADAV</t>
  </si>
  <si>
    <t>EX-SERVICEMAN</t>
  </si>
  <si>
    <t>MANJU LATA</t>
  </si>
  <si>
    <t>NICMAR UNIVERSITY, MBH ROOM NO- 116, 25/1, BALEWADI, NEAR NIA POST OFFICE</t>
  </si>
  <si>
    <t>14/ JASWANT ESTATE COLONY, KOLLAKHA, DEORI ROAD, AGRA, UTTAR PRADESH</t>
  </si>
  <si>
    <t>VIJIT YADAV</t>
  </si>
  <si>
    <t>MS Office,Python (programming language),C (programming language),RDBMS (relational database management system),MS EXCEL,Adobe Photoshop,Adobe Illustrator</t>
  </si>
  <si>
    <t>SRV MEDIA PVT. LTD | DIGITAL MARKETING  | PUNE | May 2024 | Jul 2024 | 8.7142857142857 Weeks
UNIVERSITY OF ILLINOIS | FINANCIAL ACCOUNTING WORK THROUGH COURSERA | ONLINE | May 2025 | Jul 2025 | 8.7142857142857 Weeks</t>
  </si>
  <si>
    <t>Excel in finance
Python</t>
  </si>
  <si>
    <t>P2201006</t>
  </si>
  <si>
    <t>ANINDITA</t>
  </si>
  <si>
    <t>JEEVAN</t>
  </si>
  <si>
    <t>Anindita Jeevan</t>
  </si>
  <si>
    <t>aninditaj1234@gmail.com</t>
  </si>
  <si>
    <t>p2201006@student.nicmar.ac.in</t>
  </si>
  <si>
    <t>20-May-2003</t>
  </si>
  <si>
    <t>ENGLISH,HINDI,MALAYALAM,MARATHI,FRENCH</t>
  </si>
  <si>
    <t>Dancing,Painting,Content creation,Journalling,Swimming,Singing,Listening to Music</t>
  </si>
  <si>
    <t>9731 1150 6250</t>
  </si>
  <si>
    <t>JEEVAN KOOLOTHUMKANDY</t>
  </si>
  <si>
    <t>SONA JEEVAN</t>
  </si>
  <si>
    <t>C 902, Vatsalya Vihar, Nagras Road, Aundh,Pune 411007</t>
  </si>
  <si>
    <t>INDIRA NATIONAL SCHOOL</t>
  </si>
  <si>
    <t>CBSE DELHI BOARD(MAHARASHTRA)</t>
  </si>
  <si>
    <t>MS Office,Basics of MS Excel,MYSQL Basics,PYTHON Basics,ILLUSTRATOR Basics,Photoshop basics,Office 365,RDBMS BASICS,C++ basics</t>
  </si>
  <si>
    <t>Dancing Curve Institute | Instructor, Admin | Aundh  | Aug 2021 | Sep 2025 | 4Y 1M | 2</t>
  </si>
  <si>
    <t>Millennium Engineers and Contractors | HR INTERN | Balewadi Pune | May 2024 | Jul 2024 | 8 Weeks
Dancing Curve Institute | Marketing , Sales and Administration Executive | Pune | May 2025 | Jul 2025 | 8.7142857142857 Weeks</t>
  </si>
  <si>
    <t>Getting started with MS Office 365</t>
  </si>
  <si>
    <t>P2201007</t>
  </si>
  <si>
    <t>BHANGALE</t>
  </si>
  <si>
    <t>Pooja Jayant Bhangale</t>
  </si>
  <si>
    <t>pjbnicmar@gmail.com</t>
  </si>
  <si>
    <t>p2201007@student.nicmar.ac.in</t>
  </si>
  <si>
    <t>21-Jul-2003</t>
  </si>
  <si>
    <t>Music,Badminton,Trekking</t>
  </si>
  <si>
    <t>2527 7626 9526</t>
  </si>
  <si>
    <t>CHARUSHILA</t>
  </si>
  <si>
    <t>B-2 Suyash Row Bunglow, Krushna Park, Panchak, Jail Road, Nashik Road</t>
  </si>
  <si>
    <t>RYAN INTERNATIONAL SCHOOL</t>
  </si>
  <si>
    <t>NUTAN VIDYAMANDIR</t>
  </si>
  <si>
    <t>NICMAR UNIVERSITY,. PUNE</t>
  </si>
  <si>
    <t>MS Office,PowerPoint</t>
  </si>
  <si>
    <t>RUCHA GROUP | HR INTERN | SHIVAJI NAGAR, PUNE | May 2024 | Jul 2024 | 8.7142857142857 Weeks
COGNIZEN INNOVATIONS | HR AND MARKETING INTERN  | DELHI-NCR (WORK FROM HOME) | May 2025 | Jul 2025 | 8.7142857142857 Weeks</t>
  </si>
  <si>
    <t>Yoga and Positive Psychology for Managing Career and Life
Hindi Bhasha Bhod
English for research paper writing</t>
  </si>
  <si>
    <t>P2201008</t>
  </si>
  <si>
    <t>ZAKIYA</t>
  </si>
  <si>
    <t>SHAMSHUDDIN</t>
  </si>
  <si>
    <t>MULLA</t>
  </si>
  <si>
    <t>Zakiya Shamshuddin Mulla</t>
  </si>
  <si>
    <t>zakiyamulla08@gmail.com</t>
  </si>
  <si>
    <t>p2201008@student.nicmar.ac.in</t>
  </si>
  <si>
    <t>08-Jul-2004</t>
  </si>
  <si>
    <t>English ,Hindi ,Marathi</t>
  </si>
  <si>
    <t>sketching,painting,singing,travelling,learning new languages</t>
  </si>
  <si>
    <t>5174 4560 7081</t>
  </si>
  <si>
    <t>RETIRED STATE GOVERNMENT OFFICER</t>
  </si>
  <si>
    <t>TARANNUM</t>
  </si>
  <si>
    <t>A-403 Mithras Park ,Near Shivar Chowk, Pimple Saudagar</t>
  </si>
  <si>
    <t>D A V PUBLIC SCHOOL</t>
  </si>
  <si>
    <t>S N B P INTERNATIONAL SCHOOL</t>
  </si>
  <si>
    <t>NICMAR UNIVERISTY, PUNE</t>
  </si>
  <si>
    <t>MS Office,Ms Powerpoint,Canva,Ms Excel,Ms office,Basic use of PowerBi,Adobe Photoshop and illustrator,Basic SQL</t>
  </si>
  <si>
    <t>SRV MEDIA PVT. LTD | DIGITAL MARKETING - INTERN | BALEWADI HIGH STREET, LAXMAN NAGAR, BANER, PUNE, MAHARASHTRA 411045 | May 2024 | Jun 2024 | 7.5714285714286 Weeks
UNIVERSITY OF ILLINOIS | FINANCIAL ACCOUNTING WORK THROUGH COURSERA | ONLINE  | May 2025 | Jul 2025 | 8.7142857142857 Weeks</t>
  </si>
  <si>
    <t>Lean Six Sigma Green Belt Certification Programme by KPMG
Investment Risk Management
Create a Financial Statement using Microsoft Excel
Business Analysis &amp; Process Management
Financial Management
Financial Analysis - Skills  for Success</t>
  </si>
  <si>
    <t>P2201010</t>
  </si>
  <si>
    <t>PRAMIT</t>
  </si>
  <si>
    <t>Pramit - Gupta</t>
  </si>
  <si>
    <t>primepramit@gmail.com</t>
  </si>
  <si>
    <t>p2201010@student.nicmar.ac.in</t>
  </si>
  <si>
    <t>02-Sep-2004</t>
  </si>
  <si>
    <t>Artwork,collecting books,Technology,Simulators,Lego</t>
  </si>
  <si>
    <t>3771 5557 9327</t>
  </si>
  <si>
    <t>SOFTWARE ENGIRNEER,DIRECTOR</t>
  </si>
  <si>
    <t>GEETA</t>
  </si>
  <si>
    <t>HOUSEWIFE(PREVIOUSLY HOME TUTOR AND BUSINESS WOMAN)</t>
  </si>
  <si>
    <t>B 601 Golden Trellis ,golden Street,near Madhuban Society Balewadi,pune_x000D_
411045</t>
  </si>
  <si>
    <t>RADCLIFFE</t>
  </si>
  <si>
    <t>THANE</t>
  </si>
  <si>
    <t>BARNES SCHOOL AND JUNIOR COLLEGE</t>
  </si>
  <si>
    <t>NASIK</t>
  </si>
  <si>
    <t>NICMAR UNIVERSITY, PUNE/MAHARASTRA</t>
  </si>
  <si>
    <t>other,powerpoint</t>
  </si>
  <si>
    <t>CANOPUS INFOSYSTEMS PVT. LTD. | MARKET RESEARCHER  | MUNICH, GERMANNY | Jun 2024 | Jul 2024 | 8.5714285714286 Weeks
Coursera (Industry-Recognized Certification Program | Summer Intern (Finance &amp; Business Management via Online Certification | Remote/Online (Partner Universities: University of Pennsylvania, Duke University, University of Illinois Urbana-Champaign | Jun 2025 | Jul 2025 | 8.5714285714286 Weeks</t>
  </si>
  <si>
    <t>P25703001</t>
  </si>
  <si>
    <t>DHANPAL</t>
  </si>
  <si>
    <t>KAWALE</t>
  </si>
  <si>
    <t>Chinmay Dhanpal Kawale</t>
  </si>
  <si>
    <t>chinmayk090401@gmail.com</t>
  </si>
  <si>
    <t>p25703001@student.nicmar.ac.in</t>
  </si>
  <si>
    <t>09-Apr-2001</t>
  </si>
  <si>
    <t>9692 8181 4424</t>
  </si>
  <si>
    <t>DHANPAL KAWALE</t>
  </si>
  <si>
    <t>REKHA KAWALE</t>
  </si>
  <si>
    <t>SKY LINE PG 2, 503, OPPOSITE HIRAI SITAI MANDIR</t>
  </si>
  <si>
    <t>Sai Mauly Colony, Fulchur Peth</t>
  </si>
  <si>
    <t>GUJARATI NATIONAL HIGH SCHOOL, GONDIA-441614</t>
  </si>
  <si>
    <t>MAHARASHTRA STATE BOARD SECONDARY EDUCATION, PUNE, MAHARASHTRA</t>
  </si>
  <si>
    <t>SAKET JR. COLLEGE GONDIA</t>
  </si>
  <si>
    <t>KAVI KULGURU INSTITUTE OF TECHNOLOGY AND SCIENCE, RAMTEK</t>
  </si>
  <si>
    <t>P25703002</t>
  </si>
  <si>
    <t>ROSHNI</t>
  </si>
  <si>
    <t>SANDEEP</t>
  </si>
  <si>
    <t>GODBOLE</t>
  </si>
  <si>
    <t>Roshni Sandeep Godbole</t>
  </si>
  <si>
    <t>roshni.godbole7@gmail.com</t>
  </si>
  <si>
    <t>p25703002@student.nicmar.ac.in</t>
  </si>
  <si>
    <t>07-Sep-2003</t>
  </si>
  <si>
    <t>6498 5713 0324</t>
  </si>
  <si>
    <t>SANDEEP GODBOLE</t>
  </si>
  <si>
    <t>VIDYA GODBOLE</t>
  </si>
  <si>
    <t>Flat No.- 5, Jenika Apt, Near Shivaji Uday Mandal, Tanaji Nagar, Chinchwad, Pune-33.</t>
  </si>
  <si>
    <t>BLOSSOM PUBLIC SCHOOL, TATHAWADE</t>
  </si>
  <si>
    <t>MECHANICAL ENGINEERING</t>
  </si>
  <si>
    <t>GOVERNMENT POLYTECHNIC, PUNE, MAHARASHTRA</t>
  </si>
  <si>
    <t>PIMPRI CHINCHWAD COLLEGE OF ENGINEERING, NIGDI, PUNE-44.</t>
  </si>
  <si>
    <t>AutoCAD,MS Project,Solid Edge,Python,Tableau,SQL,Microsoft Power BI,MS Excel</t>
  </si>
  <si>
    <t>INTRAINZ INNOVATION PVT LTD. | RESEARCH INTERN  | BENGALURU, KARNATAKA | Feb 2024 | Apr 2024 | 8.5714285714286 Weeks
High Energy Materials Research Laboratory, DRDO, Ministry of Defence. | Design Intern | Sutarwadi, Pune-411021 | May 2024 | Jul 2024 | 10 Weeks</t>
  </si>
  <si>
    <t>emS Stock Market Institute - Basic to Advance (Indian stock market)
CAD DESK- NX CAD
NPTEL - Computer Integrated Manufacturing.
Unstop Brand Management
Coursera Operations Management
Coursera International Business</t>
  </si>
  <si>
    <t>P25703003</t>
  </si>
  <si>
    <t>PRERNA</t>
  </si>
  <si>
    <t>Prerna Kumari</t>
  </si>
  <si>
    <t>prerna840900@gmail.com</t>
  </si>
  <si>
    <t>p25703003@student.nicmar.ac.in</t>
  </si>
  <si>
    <t>11-Oct-2004</t>
  </si>
  <si>
    <t>5937 8786 3732</t>
  </si>
  <si>
    <t>HARENDRA KISHOR PD SINGH</t>
  </si>
  <si>
    <t>RITA KUMARI</t>
  </si>
  <si>
    <t>NICMAR UNIVERSITY, MILLENNIUM GIRL'S HOSTEL, _x000D_
ROOM NO - 801</t>
  </si>
  <si>
    <t>Simra , Parsa Bazar_x000D_</t>
  </si>
  <si>
    <t>DESTINY INTERNATIONAL SCHOOL</t>
  </si>
  <si>
    <t>GYANODAYA GURUKUL</t>
  </si>
  <si>
    <t>PATLIPUTRA UNIVERSITY</t>
  </si>
  <si>
    <t>ARCADE BUSINESS COLLAGE, PATNA</t>
  </si>
  <si>
    <t>MS Office,Tally prime</t>
  </si>
  <si>
    <t>Certificate of Completion Advance Diploma In Computer Application
Certificate for Completion of LibreOffice Suite Calc 6.3 Training by Spoken Tutorial Project
Certificate for Completion of LibreOffice Suite Impress 6.3 Training by Spoken Tutorial Project
Certificate For Completion of LibreOffice Suite Writer 6.3 Training by Spoken Tutorial Project
Certificate for Completion of Introduction to Computer Training by Spoken Tutorial Project
Certificate of Completion Communication Skills by Microsoft
Certificate of Completion Digital Productivity  by Microsoft
Certificate of completion Enterpreneurship by Microsoft
Certificate of completion Employability skills by Microsoft
Certificate programme in Banking, Finance and Insurance by Bajaj Finserv Limited</t>
  </si>
  <si>
    <t>P25703004</t>
  </si>
  <si>
    <t>Sneha Kumari</t>
  </si>
  <si>
    <t>snehakumari1592000@gmail.com</t>
  </si>
  <si>
    <t>p25703004@student.nicmar.ac.in</t>
  </si>
  <si>
    <t>15-Sep-2001</t>
  </si>
  <si>
    <t>7065 4965 7148</t>
  </si>
  <si>
    <t>VISHWANATH PRASAD</t>
  </si>
  <si>
    <t>DIMPAL DEVI</t>
  </si>
  <si>
    <t>NICMAR UNIVERSITY, MILLENNIUM GIRL'S HOSTEL, ROOM NO. 801</t>
  </si>
  <si>
    <t>NANDLAL CHHAPRA</t>
  </si>
  <si>
    <t>PREMALOK MISSION SCHOOL</t>
  </si>
  <si>
    <t>AMIRCHAND BALIKA UCHH VIDYALAYA</t>
  </si>
  <si>
    <t>BIHAR BOARD OF OPEN SCHOOLING &amp; EXAMINATION, PATNA</t>
  </si>
  <si>
    <t>ARCADE BUSINESS COLLEGE, PATNA</t>
  </si>
  <si>
    <t>MS Office,Tally Prime</t>
  </si>
  <si>
    <t>Certificate for completion of Certified Industrial Accountant (Modular)
Certificate for completion of LibreOffice Suite Calc 6.3 Training by Spoken Tutorial Project
Certificate for completion of LibreOffice Suite Impress 6.3 training by Spoken Tutorial Project
Certificate for completion of LibreOffice Suite Writer 6.3 training by Spoken Tutorial Project
Certificate for completion of Gedit Text Editor training by Spoken Tutorial Project
Certificate for completion of introduction to computer training by Spoken Tutorial Project
Certificate of completion Communication Skills by Microsoft
Certificate of completion of Digital productivity by Microsoft
Certificate of completion Entrepreneurship by Microsoft
Certificate of completion Employbility Skills by Microsoft
Certificate programme  in Banking, finance and Insurance by Bajaj Finserv Limited
HR Workshop Certificate Programme in Banking, Finance and Insurance by Bajaj Finserv Limited</t>
  </si>
  <si>
    <t>P25703005</t>
  </si>
  <si>
    <t>RATH</t>
  </si>
  <si>
    <t>Ayush Rath</t>
  </si>
  <si>
    <t>ayushrathdb@gmail.com</t>
  </si>
  <si>
    <t>p25703005@student.nicmar.ac.in</t>
  </si>
  <si>
    <t>English, Hindi &amp; Odia</t>
  </si>
  <si>
    <t>4501 3198 7662</t>
  </si>
  <si>
    <t>PRAKASH CHANDRA RATHA</t>
  </si>
  <si>
    <t>LAXMIPRIYA MISHRA</t>
  </si>
  <si>
    <t>D2-202, NISARG NIRMITI HOUSING SOCIETY, PIMPLE SAUDAGAR</t>
  </si>
  <si>
    <t>Nuapada Chhak, Madhupatna</t>
  </si>
  <si>
    <t>Cuttack</t>
  </si>
  <si>
    <t>SNBP INTERNATIONAL SCHOOL</t>
  </si>
  <si>
    <t>MIT SCHOOL OF ENGINEERING PUNE</t>
  </si>
  <si>
    <t>Spades Entertainment | Executive Marketing &amp; Business Development | Pune | Jun 2023 | Jun 2025 | 2Y 0M | 2.88</t>
  </si>
  <si>
    <t>P25703006</t>
  </si>
  <si>
    <t>VARIMA</t>
  </si>
  <si>
    <t>Varima Tripathi</t>
  </si>
  <si>
    <t>varimatripathi@gmail.com</t>
  </si>
  <si>
    <t>p25703006@student.nicmar.ac.in</t>
  </si>
  <si>
    <t>7804 9253 7674</t>
  </si>
  <si>
    <t>ATUL KANTI TRIPATHI</t>
  </si>
  <si>
    <t>NISHA TRIPATHI</t>
  </si>
  <si>
    <t>20/1, First Floor, West Patel Nagar</t>
  </si>
  <si>
    <t>New Delhi</t>
  </si>
  <si>
    <t>BR AMBEDKAR UNIVERSITY DELHI</t>
  </si>
  <si>
    <t>AMBEDKAR COLLEGE, NEW DELHI, DELHI</t>
  </si>
  <si>
    <t>MS Office,MS Project,MS Excel,JIRA</t>
  </si>
  <si>
    <t>Ahluwalia Contracts (India) ltd.  | Supply chain and security intern  | Okhla, Delhi NCR  | May 2026 | Jul 2026 | 8.7142857142857 Weeks | Campus Internship
Playhard Academy | Assistant Coach | Delhi | Mar 2025 | Jul 2025 | 17.428571428571 Weeks
Pamm Advertising and Marketing | Finance Intern | Delhi | Jul 2023 | Jul 2023 | 3.8571428571429 Weeks</t>
  </si>
  <si>
    <t>Methods and statistics in social science- final research project
Qualitative Research Methods
Operations Management
Basic statistics
National level case study competition in supply chain
Advanced Entrepreneurship-Cum Skill Development Programme
TCS Youth Employment Program</t>
  </si>
  <si>
    <t>P25703007</t>
  </si>
  <si>
    <t>Sakshi Jaiswal</t>
  </si>
  <si>
    <t>jaiswalsakshi22062001@gmail.com</t>
  </si>
  <si>
    <t>p25703007@student.nicmar.ac.in</t>
  </si>
  <si>
    <t>9653 3010 7200</t>
  </si>
  <si>
    <t>DHIRENDRA JAISWAL</t>
  </si>
  <si>
    <t>SARITA JAISWAL</t>
  </si>
  <si>
    <t>GEETAPURI CHAURAHA , KHARGAPUR , GOMTINAGAR</t>
  </si>
  <si>
    <t>Durga Mandir Road , Bhatpar Rani</t>
  </si>
  <si>
    <t>Deoria</t>
  </si>
  <si>
    <t>LITTLE FLOWER SCHOOL , SALEMPUR</t>
  </si>
  <si>
    <t>LUCKNOW PUB COL VINAMRA KHAND GOMTI NGR LUCKNOW</t>
  </si>
  <si>
    <t>BABU BANARASI DAS UNIVERSITY</t>
  </si>
  <si>
    <t>BABU BANARASI DAS UNIVERSITY LUCKNOW</t>
  </si>
  <si>
    <t>Product Management
Excel for Beginners
Nisargamitra natural farming and study center
Business Analytics with Excel: Elementary to Advanced
International Business I
Operations Management
Introduction to Marketing
Microsoft office 365
Negotiation fundamentals</t>
  </si>
  <si>
    <t>P25703008</t>
  </si>
  <si>
    <t>VAIDYA</t>
  </si>
  <si>
    <t>Atharva Sudhir Vaidya</t>
  </si>
  <si>
    <t>atharvavaidya0711@gmail.com</t>
  </si>
  <si>
    <t>p25703008@student.nicmar.ac.in</t>
  </si>
  <si>
    <t>9834 0588 9722</t>
  </si>
  <si>
    <t>SUDHIR RAMBHAU VAIDYA</t>
  </si>
  <si>
    <t>DE</t>
  </si>
  <si>
    <t>RANJANA SUDHIR VAIDYA</t>
  </si>
  <si>
    <t>Plot No. 133, Parvati Nagar, Behind Jeevan School, Nagpur 440027</t>
  </si>
  <si>
    <t>SOMALWAR HIGHSCHOOL NIKALAS BRANCH</t>
  </si>
  <si>
    <t>STATE BOARD NAGPUR/MAHARASHTRA</t>
  </si>
  <si>
    <t>DIPLOMA IN AUTOMOBILE ENGINEERING</t>
  </si>
  <si>
    <t>VISHWAKARMA INSTITUTE OF TECHNOLOGY, PUNE/MAHARASHTRA</t>
  </si>
  <si>
    <t>AutoCAD,MS Office,Powerbi,Fusion 360,Advanced Exel,SQL</t>
  </si>
  <si>
    <t>Metafold Engineering Pvt. Ltd. | ERP Engineer Trainee | Pune, India | Aug 2024 | Apr 2025 | 0Y 8M | 3.97</t>
  </si>
  <si>
    <t>INDTAMP INDUSTRIES | INTERN | PUNE | Jan 2024 | Jun 2024 | 21.714285714286 Weeks</t>
  </si>
  <si>
    <t>P25703009</t>
  </si>
  <si>
    <t>SHEETAL</t>
  </si>
  <si>
    <t>Sheetal S</t>
  </si>
  <si>
    <t>sheetalgowda.1216@gmail.com</t>
  </si>
  <si>
    <t>p25703009@student.nicmar.ac.in</t>
  </si>
  <si>
    <t>10-Jan-1998</t>
  </si>
  <si>
    <t>English, Hindi, Kannada, Konkani</t>
  </si>
  <si>
    <t>6369 9604 8642</t>
  </si>
  <si>
    <t>SHIVALINGAIAH</t>
  </si>
  <si>
    <t>#11, Near Sadhana Public School, Ganigarapalya, Talaghattpura Post</t>
  </si>
  <si>
    <t>PRARTHANA CENTRAL SCHOOL</t>
  </si>
  <si>
    <t>CBSE BENGALURU</t>
  </si>
  <si>
    <t>JNANASWEEKAR PU COLLEGE</t>
  </si>
  <si>
    <t>DAYANANDA SAGAR ACADEMY OF TECHNOLOGY AND MANAGEMENT, BENGALURU</t>
  </si>
  <si>
    <t>MS Office,Power BI</t>
  </si>
  <si>
    <t>Concentrix | Senior Engineer | Bengaluru | Jul 2019 | Jun 2021 | 1Y 10M | 2.85
Telus International | Online Data Analyst | Freelance | Dec 2021 | Mar 2025 | 3Y 2M | 1.5</t>
  </si>
  <si>
    <t>5 Years 0 Months</t>
  </si>
  <si>
    <t>Twikk Sustainability Solutions LLP | Executive - Sustainable Supply Chain | Ahmedabad | May 2026 | Jul 2026 | 9.7142857142857 Weeks | Campus Internship
Bosch Rexroth | Intern | Bengaluru | Jul 2018 | Aug 2018 | 3.5714285714286 Weeks</t>
  </si>
  <si>
    <t>P25703010</t>
  </si>
  <si>
    <t>JORWEKAR</t>
  </si>
  <si>
    <t>Ajinkya Chandrakant Jorwekar</t>
  </si>
  <si>
    <t>ajinkyajorwekar6847@gmail.com</t>
  </si>
  <si>
    <t>p25703010@student.nicmar.ac.in</t>
  </si>
  <si>
    <t>10-May-2002</t>
  </si>
  <si>
    <t>4938 0986 6692</t>
  </si>
  <si>
    <t>CHANDRAKANT JORWEKAR</t>
  </si>
  <si>
    <t>GEETAANJALI JORWEKAR</t>
  </si>
  <si>
    <t>Court Road Gajanannagar Kopargaon</t>
  </si>
  <si>
    <t>MAHARSHI VIDHYA MANDIR</t>
  </si>
  <si>
    <t>CBSE KOPARGAON/MAHARASHTRA</t>
  </si>
  <si>
    <t>2006-Aug</t>
  </si>
  <si>
    <t>SHRI SAI BABA UCCHA MADHYAMIK MAHAVIDHYALAY</t>
  </si>
  <si>
    <t>SPPU, PUNE</t>
  </si>
  <si>
    <t>SANJIVANI COLLEGE OF PHARMACEUTICAL AND RESEARCH KOPARGAON/MAHARASHTRA</t>
  </si>
  <si>
    <t>MS Office,MS Project,RGui,Python</t>
  </si>
  <si>
    <t>Econstruct Design and Build | Business Devlopment | Bangalore | May 2026 | Jul 2026 | 9.7142857142857 Weeks | Campus Internship
Advanced Enzymes | Intern | Malegaon MIDC sinnar,Nashik-422113 | Jul 2023 | Aug 2023 | 2.4285714285714 Weeks
Holden Medical Laboratories | Intern | Malegaon MIDC sinnar,Nashik-422113 | Jul 2023 | Aug 2023 | 4.2857142857143 Weeks</t>
  </si>
  <si>
    <t>P25703011</t>
  </si>
  <si>
    <t>VAGISHA</t>
  </si>
  <si>
    <t>KASHYAP</t>
  </si>
  <si>
    <t>Vagisha Kashyap</t>
  </si>
  <si>
    <t>vagishak962@mail.com</t>
  </si>
  <si>
    <t>p25703011@student.nicmar.ac.in</t>
  </si>
  <si>
    <t>19-Mar-2003</t>
  </si>
  <si>
    <t>2225 5907 3135</t>
  </si>
  <si>
    <t>VINOD KUMAR TIWARI</t>
  </si>
  <si>
    <t>GAZETTE VETERINARY DOCTOR</t>
  </si>
  <si>
    <t>NEHA TIWARI</t>
  </si>
  <si>
    <t>H/o Y.N Tiwari , Azad Nagar , Road No 2 , East Lane , Kankarbagh , Patna</t>
  </si>
  <si>
    <t>CARMEL HIGH SCHOOL , PATNA</t>
  </si>
  <si>
    <t>ICSE ,BIHAR</t>
  </si>
  <si>
    <t>ISC , BIHAR</t>
  </si>
  <si>
    <t>BANARAS HINDU UNIVERSITY</t>
  </si>
  <si>
    <t>ARYA MAHILA POST GRADUATE COLLEGE , VARANASI</t>
  </si>
  <si>
    <t>MS Office,I HAVE A BACKGRAOUND KNOWLEDGE ON CANVAS</t>
  </si>
  <si>
    <t>4Ps of Marketing Mix</t>
  </si>
  <si>
    <t>P25703014</t>
  </si>
  <si>
    <t>Aditya Singh</t>
  </si>
  <si>
    <t>aditya3708@gmail.com</t>
  </si>
  <si>
    <t>p25703014@student.nicmar.ac.in</t>
  </si>
  <si>
    <t>7384 8400 8088</t>
  </si>
  <si>
    <t>SANJEEV KUMAR SINGH</t>
  </si>
  <si>
    <t>BABITA SINGH</t>
  </si>
  <si>
    <t>1st Floor , Cerise Floors , Central Park Flower Valley , Sector 32-33 , Sohna , Gurugram.</t>
  </si>
  <si>
    <t>ARAVALI INTERNATIONAL SCHOOL</t>
  </si>
  <si>
    <t>FARIDABAD / HARYANA</t>
  </si>
  <si>
    <t>J.C BOSE UNIVERSITY OF SCIENCE AND TECHNOLOGY</t>
  </si>
  <si>
    <t>ARAVALI COLLEGE OF ENGINEERING AND MANAGEMENT , FARIDABAD / HARYANA</t>
  </si>
  <si>
    <t>DECATHLON SPORTS INDIA PVT. LTD. | SPORT LEADER | FARIDABAD / HARYANA | Sep 2022 | Jun 2023 | 0Y 8M | 1.8</t>
  </si>
  <si>
    <t>TRAINING OF TRAINERS</t>
  </si>
  <si>
    <t>P25703015</t>
  </si>
  <si>
    <t>SHALIGRAM</t>
  </si>
  <si>
    <t>Atharva Nitin Shaligram</t>
  </si>
  <si>
    <t>atharvashaligram18@gmail.com</t>
  </si>
  <si>
    <t>p25703015@student.nicmar.ac.in</t>
  </si>
  <si>
    <t>18-Mar-1999</t>
  </si>
  <si>
    <t>5164 7234 6982</t>
  </si>
  <si>
    <t>NITIN SHALIGRAM</t>
  </si>
  <si>
    <t>SAYALI SHALIGRAM</t>
  </si>
  <si>
    <t>Malhar, S.No.16, Plot No.20, Balewadi, Pune-411045</t>
  </si>
  <si>
    <t>DR. KALMADI SHAMARAO HIGH SCHOOL AUNDH</t>
  </si>
  <si>
    <t>DR. KALMADI SHAMARAO JUNIOR COLLEGE</t>
  </si>
  <si>
    <t>MODERN COLLEGE OF ARTS, SCIENCE AND COMMERCE</t>
  </si>
  <si>
    <t>DWS India Private Limited | Senior Analyst | Pune | Jan 2022 | May 2024 | 2Y 4M | 6.3</t>
  </si>
  <si>
    <t>PowerMann Consult | Trainee | Pune | Dec 2020 | May 2021 | 25.857142857143 Weeks
AMFI Registered Mutual Fund Distributor | Intern | Pune | Apr 2020 | Nov 2020 | 34.714285714286 Weeks</t>
  </si>
  <si>
    <t>P25703016</t>
  </si>
  <si>
    <t>AADRIKA</t>
  </si>
  <si>
    <t>RATHORE</t>
  </si>
  <si>
    <t>Aadrika Rathore</t>
  </si>
  <si>
    <t>anshirathore97@gmail.com</t>
  </si>
  <si>
    <t>p25703016@student.nicmar.ac.in</t>
  </si>
  <si>
    <t>Art and craft,diy,music,cooking,painting</t>
  </si>
  <si>
    <t>6233 5092 1251</t>
  </si>
  <si>
    <t>LATE MITHLESH RATHORE</t>
  </si>
  <si>
    <t>NIL</t>
  </si>
  <si>
    <t>DEEPALI RATHORE</t>
  </si>
  <si>
    <t>F-1204 SILVER GARDENIA SOCIETY BRT ROAD RAVET</t>
  </si>
  <si>
    <t>126 Rohit Nagar Phase 2</t>
  </si>
  <si>
    <t>ST. JOSEPHS CONVENT SR SEC SCHOOL</t>
  </si>
  <si>
    <t>BARKATULLAH UNIVERSITY</t>
  </si>
  <si>
    <t>THE BHOPAL SCHOOL OF SOCIAL SCIENCES, BHOPAL, MADHYA PRADESH</t>
  </si>
  <si>
    <t>P25703017</t>
  </si>
  <si>
    <t>NIVAS</t>
  </si>
  <si>
    <t>Harshvardhan Nivas Desai</t>
  </si>
  <si>
    <t>harshnivasdesai@gmail.com</t>
  </si>
  <si>
    <t>p25703017@student.nicmar.ac.in</t>
  </si>
  <si>
    <t>02-Apr-2003</t>
  </si>
  <si>
    <t>2610 4033 9455</t>
  </si>
  <si>
    <t>NIVAS DESAI</t>
  </si>
  <si>
    <t>SANGITA DESAI</t>
  </si>
  <si>
    <t>Saneguruji Vasahat,Kolhapur</t>
  </si>
  <si>
    <t>SHRI V. J. DESHMUKH HIGHSCHOOL,KOLHAPUR</t>
  </si>
  <si>
    <t>KOLHAPUR,MAHARASHTRA</t>
  </si>
  <si>
    <t>THE NEW COLLEGE ,KOLHAPUR</t>
  </si>
  <si>
    <t>PUNE,MAHARASHTRA</t>
  </si>
  <si>
    <t>P25703020</t>
  </si>
  <si>
    <t>SALGAR</t>
  </si>
  <si>
    <t>Abhishek Atul Salgar</t>
  </si>
  <si>
    <t>abhi.salgar999@gmail.com</t>
  </si>
  <si>
    <t>p25703020@student.nicmar.ac.in</t>
  </si>
  <si>
    <t>5649 1983 9704</t>
  </si>
  <si>
    <t>Sushila Sadan, Juni Bhaji Mandai Road, Near Mantri Wada, Urun Islampur</t>
  </si>
  <si>
    <t>MAHATMA GANDHI VIDYALAYA</t>
  </si>
  <si>
    <t>HUTATMA RAJGURU MAHAVIDYALAYA</t>
  </si>
  <si>
    <t>MAHARASHTRA METRO RAIL CORPORATION LIMITED  | Intern | Pune | May 2026 | Jul 2026 | 9.7142857142857 Weeks | Campus Internship
Gala Habitats LLP | Trainee Engineer | Mumbai | Dec 2022 | Mar 2023 | 12 Weeks</t>
  </si>
  <si>
    <t>MS-CIT
Certificate of Participation
Auto CAD</t>
  </si>
  <si>
    <t>P25703021</t>
  </si>
  <si>
    <t>KISHU</t>
  </si>
  <si>
    <t>Kishu Rajput</t>
  </si>
  <si>
    <t>kishurajput194@gmail.com</t>
  </si>
  <si>
    <t>p25703021@student.nicmar.ac.in</t>
  </si>
  <si>
    <t>01-Jan-2004</t>
  </si>
  <si>
    <t>9704 0567 0554</t>
  </si>
  <si>
    <t>HARENDRA KUMAR</t>
  </si>
  <si>
    <t>VINEETA DEVI</t>
  </si>
  <si>
    <t>NAGLA PIPAL AKABARPUR KUTUBPUR FIROZABAD</t>
  </si>
  <si>
    <t>SHRI DURGA INT COLL JASRANA FIROZABAD</t>
  </si>
  <si>
    <t>BOARD OF HIGH SCHOOL AND INTERMEDIATE EDUCATION UTTAR PRADESH</t>
  </si>
  <si>
    <t>CHAUDHARY CHARAN SINGH UNIVERSITY MEERUT</t>
  </si>
  <si>
    <t>PRINCE INSTITUTE OF INNOVATIVE TECHNOLOGY, GHAZIABAD</t>
  </si>
  <si>
    <t>Negotiation, Mediation, and Conflict Resolution  Capstone Project
Salesforce Certificate
International Business
Negotiation Fundamentals
Operations  management
Getting started with Microsoft Office 365
High Performance Collaboration: Leadership, Teamwork, and Negotiation
Business Analytics with Excel: Elementary to Advanced
Marketing Strategy
Introduction to Marketing</t>
  </si>
  <si>
    <t>P25703022</t>
  </si>
  <si>
    <t>Vaibhavi Pravin Chaudhari</t>
  </si>
  <si>
    <t>vaibhavi.chaudhari@icloud.com</t>
  </si>
  <si>
    <t>p25703022@student.nicmar.ac.in</t>
  </si>
  <si>
    <t>10-Mar-2003</t>
  </si>
  <si>
    <t>4155 1572 8820</t>
  </si>
  <si>
    <t>PRAVIN CHAUDHARI</t>
  </si>
  <si>
    <t>JYOTI CHAUDHARI</t>
  </si>
  <si>
    <t>Plot No 56, Jay Vishwa Bharati Colony, Aurangabad -431005</t>
  </si>
  <si>
    <t>BHASKARACHARYA ENGLISH SCHOOL</t>
  </si>
  <si>
    <t>DEVGIRI COLLEGE</t>
  </si>
  <si>
    <t>P25703023</t>
  </si>
  <si>
    <t>Siddharth Mani</t>
  </si>
  <si>
    <t>yadavsiddharth0708@gmail.com</t>
  </si>
  <si>
    <t>p25703023@student.nicmar.ac.in</t>
  </si>
  <si>
    <t>07-Aug-2001</t>
  </si>
  <si>
    <t>4709 9761 2096</t>
  </si>
  <si>
    <t>SUSHANT KUMAR YADAV</t>
  </si>
  <si>
    <t>PUBLIC SERVICE</t>
  </si>
  <si>
    <t>SAVITA DEVI</t>
  </si>
  <si>
    <t>S/O- SUSHANT KUMAR YADAV, GRAM - LAXMIPUR BABHANIYAN, BABHANIA, BHAGALPUR, BIHAR - 813204</t>
  </si>
  <si>
    <t>Bhagalpur</t>
  </si>
  <si>
    <t>ST JOSEPH'S SCHOOL NTPC KAHALGAON BHAGALPUR BIHAR</t>
  </si>
  <si>
    <t>VJ INTERNATIONAL SCHOOL LODHIPUR GORADIH ROAD BHAGALPUR BIHAR</t>
  </si>
  <si>
    <t>T.M. BHAGALPUR UNIVERSITY</t>
  </si>
  <si>
    <t>S.S.V. COLLEGE, KAHALGAON, BIHAR</t>
  </si>
  <si>
    <t>Negotiation Fundamentals
Business Analytics with Excel: Elementary to  Advanced
Introduction to Marketing
International Business I
Operations Management
Getting started with Microsoft Office 365
Negotiation, Mediation, and Conflict Resolution  Capstone Project
Procurement Negotiation</t>
  </si>
  <si>
    <t>P25703024</t>
  </si>
  <si>
    <t>PRITIDEEPA</t>
  </si>
  <si>
    <t>MALLIA</t>
  </si>
  <si>
    <t>Pritideepa Mallia</t>
  </si>
  <si>
    <t>pritideepamallia@gmail.com</t>
  </si>
  <si>
    <t>p25703024@student.nicmar.ac.in</t>
  </si>
  <si>
    <t>04-Feb-2000</t>
  </si>
  <si>
    <t>Odia, English, Hindi</t>
  </si>
  <si>
    <t>6553 1550 4971</t>
  </si>
  <si>
    <t>MANORANJAN MALLIA</t>
  </si>
  <si>
    <t>PRAVATI MALLIA</t>
  </si>
  <si>
    <t>Brundawan Bhawan, Plot No.-1818, Friends Colony, Bhimtangi , Land Mark- Versha Plaza Apartment, Bhubaneswar-2 ,Odisha</t>
  </si>
  <si>
    <t>DAV PUBLIC SCHOOL, POKHARIPUT</t>
  </si>
  <si>
    <t>CBSE, ODISHA/BHUBANESWAR</t>
  </si>
  <si>
    <t>GLOBAL INTERNATIONAL SCHOOL, BHIKANPURA</t>
  </si>
  <si>
    <t>S'O'A NATIONAL INSTITUTE OF LAW, BHUBANESWAR/ODISHA</t>
  </si>
  <si>
    <t>MS Project</t>
  </si>
  <si>
    <t>Majestic Realties | Human Resource Management Intern | Kothrud, Pune | May 2026 | Jun 2026 | 7.7142857142857 Weeks | Campus Internship
Orissa High Court | Legal Intern | Cuttack, Odisha | Sep 2022 | Sep 2022 | 4.1428571428571 Weeks
District Court of Bhubaneswar | Legal Intern | Bhubaneswar, Odisha | Aug 2021 | Aug 2021 | 4.2857142857143 Weeks
NALCO | Legal Intern | BHUBANESWAR | Jan 2021 | Feb 2021 | 3.2857142857143 Weeks</t>
  </si>
  <si>
    <t>P25703025</t>
  </si>
  <si>
    <t>PREM</t>
  </si>
  <si>
    <t>ANGALI</t>
  </si>
  <si>
    <t>Prem Chand Angali</t>
  </si>
  <si>
    <t>prem.angali97051@gmail.com</t>
  </si>
  <si>
    <t>p25703025@student.nicmar.ac.in</t>
  </si>
  <si>
    <t>19-Jun-2002</t>
  </si>
  <si>
    <t>9952 0778 5086</t>
  </si>
  <si>
    <t>RAMESH ANGALI</t>
  </si>
  <si>
    <t>AREA SALES MANAGER</t>
  </si>
  <si>
    <t>NIRMALA ANGALI</t>
  </si>
  <si>
    <t>H.no. 22-449/EP, Road No. 8, Vinayaka Hills, Almasguda</t>
  </si>
  <si>
    <t>HYDERABAD</t>
  </si>
  <si>
    <t>P25703026</t>
  </si>
  <si>
    <t>ASMITA</t>
  </si>
  <si>
    <t>Asmita Tripathi</t>
  </si>
  <si>
    <t>asmitatripathi68@gmail.com</t>
  </si>
  <si>
    <t>p25703026@student.nicmar.ac.in</t>
  </si>
  <si>
    <t>4811 4282 8010</t>
  </si>
  <si>
    <t>SHASHIKANT MANI TRIPATHI</t>
  </si>
  <si>
    <t>Jawahar Navodaya Vidyalaya Dabhasemar Ayodhya</t>
  </si>
  <si>
    <t>Ayodhya</t>
  </si>
  <si>
    <t>JAWAHAR NAVODAYA VIDYALAYA MAHARAJGANJ</t>
  </si>
  <si>
    <t>CBSE  MAHARAJGANJ</t>
  </si>
  <si>
    <t>JAWAHAR NAVODAYA VIDYALAYA DABHASEMAR</t>
  </si>
  <si>
    <t>CBSE  AYODHYA</t>
  </si>
  <si>
    <t>LUCKNOW UNIVERSITY</t>
  </si>
  <si>
    <t>BAPPA SHRI NARAYAN VOCATIONAL PG COLLEGE</t>
  </si>
  <si>
    <t>MS Office,POWER BI,MS EXCEL,POWERPOINT,WORD,OUTLOOK,GOOGLE WORKSPACE,CANVA</t>
  </si>
  <si>
    <t>Vitaly India pvt Ltd | Executive Marketing Manager  | Gorakhpur  | Jun 2023 | Mar 2024 | 0Y 9M | 3
Nakshatra infrastructure | Human Resource Manager | Nagpur  | Jun 2024 | May 2025 | 0Y 11M | 4.2</t>
  </si>
  <si>
    <t>Majestic Realties  | Digital Marketing Intern | Pune | May 2026 | Jul 2026 | 12 Weeks | Campus Internship
Prism Johnson limited | HR intern | Varanasi  | Jan 2022 | Mar 2022 | 12.714285714286 Weeks</t>
  </si>
  <si>
    <t>Zero cost hiring
Preparing to manage human resource
Introduction to Blockchain technology
Introduction to excel
Search Engine Optimization (SEO) with Squarespace
Operation Management
Negotiation,Mediation,and Conflict Resolution
Business Analytics with Excel
International Business
Getting started with Microsoft office 365
Introduction to Marketing
Negotiation fundamental</t>
  </si>
  <si>
    <t>P25703027</t>
  </si>
  <si>
    <t>RICHA</t>
  </si>
  <si>
    <t>Richa Sharma</t>
  </si>
  <si>
    <t>richasharma.dholpur@gmail.com</t>
  </si>
  <si>
    <t>p25703027@student.nicmar.ac.in</t>
  </si>
  <si>
    <t>21-Dec-1994</t>
  </si>
  <si>
    <t>6831 2443 8810</t>
  </si>
  <si>
    <t>SHIVDATT SHARMA</t>
  </si>
  <si>
    <t>MEERA SHARMA</t>
  </si>
  <si>
    <t>Behind Gurudwara, Ashok Vihar Colony</t>
  </si>
  <si>
    <t>JAWAHAR NAVODAYA VIDYALAYA, DHOLPUR (RAJASTHAN)</t>
  </si>
  <si>
    <t>BARKATULLAH VISHWAVIDYALAYA, BHOPAL</t>
  </si>
  <si>
    <t>EXTOL INSTITUTE OF MANAGEMENT, BHOPAL (MP)</t>
  </si>
  <si>
    <t>THE IIS UNIVERSITY, JAIPUR</t>
  </si>
  <si>
    <t>M.Sc</t>
  </si>
  <si>
    <t>Nexgen Infra Solution | Business Development Associate | Gurugram, Haryana | Jun 2020 | Jul 2022 | 2Y 0M | 3</t>
  </si>
  <si>
    <t>Birla Institute of Scientific Research | Research Trainee | Jaipur (Rajasthan) | Jul 2016 | Dec 2016 | 26.142857142857 Weeks
Madhya Pradesh Vigyan Sabha | Research Trainee | Bhopal (MP) | Mar 2015 | Apr 2015 | 5.1428571428571 Weeks</t>
  </si>
  <si>
    <t>P25703028</t>
  </si>
  <si>
    <t>PAVAN</t>
  </si>
  <si>
    <t>RAOSAHEB</t>
  </si>
  <si>
    <t>MUNDANE</t>
  </si>
  <si>
    <t>Pavan Raosaheb Mundane</t>
  </si>
  <si>
    <t>shreemundane6@gmail.com</t>
  </si>
  <si>
    <t>p25703028@student.nicmar.ac.in</t>
  </si>
  <si>
    <t>07-Jan-1999</t>
  </si>
  <si>
    <t>Marathi, Hindi , English</t>
  </si>
  <si>
    <t>8979 5197 7383</t>
  </si>
  <si>
    <t>RASOSAHEB MUNDANE</t>
  </si>
  <si>
    <t>RAMA MUNDANE</t>
  </si>
  <si>
    <t>Saurabh Colony Vmv Road House No 29 Raosaheb Keshavrao Mundane</t>
  </si>
  <si>
    <t>SHREE SAMARTH HIGHSCHOOL AMRAVATI</t>
  </si>
  <si>
    <t>MAHARASTRA STATE BOARD EDUCATION</t>
  </si>
  <si>
    <t>P.R.PATIL INSTITUTE OF DIPLOMA AND TECHNOLOGY</t>
  </si>
  <si>
    <t>TSSMS BHIVARABAI SAWANT NARHE PUNE</t>
  </si>
  <si>
    <t>MS Office,MS Project,JIRA,JAVA,SELENIUM,TESTNG,SQL,POWERBI,excel</t>
  </si>
  <si>
    <t>TESTOMTER PVT LTD | QA AUTOMATION TESTER | pune | Nov 2022 | Apr 2025 | 2Y 5M | 4.2</t>
  </si>
  <si>
    <t>P25703029</t>
  </si>
  <si>
    <t>SHREYA</t>
  </si>
  <si>
    <t>SUMAN</t>
  </si>
  <si>
    <t>Shreya Suman</t>
  </si>
  <si>
    <t>sumanshreya272000@gmail.com</t>
  </si>
  <si>
    <t>p25703029@student.nicmar.ac.in</t>
  </si>
  <si>
    <t>27-Nov-2000</t>
  </si>
  <si>
    <t>7402 0657 6255</t>
  </si>
  <si>
    <t>SHAMBHU NATH GUPTA</t>
  </si>
  <si>
    <t>ARTI DEVI</t>
  </si>
  <si>
    <t>Kali Sthan Gali, Nathnagar,Bhagalpur</t>
  </si>
  <si>
    <t>SAINT JOSEPH'S SCHOOL</t>
  </si>
  <si>
    <t>INTER SCHOOL SABOUR,BHAGALPUR</t>
  </si>
  <si>
    <t>BIHAR BOARD OF OPEN SCHOOLING AND EXAMINATIONS,PATNA</t>
  </si>
  <si>
    <t>T. M. BHAGALPUR UNIVERSITY</t>
  </si>
  <si>
    <t>MARWARI COLLEGE, BHAGALPUR</t>
  </si>
  <si>
    <t>P25703030</t>
  </si>
  <si>
    <t>HARSHDA</t>
  </si>
  <si>
    <t>Harshda Raut</t>
  </si>
  <si>
    <t>harshuraut879@gmail.com</t>
  </si>
  <si>
    <t>p25703030@student.nicmar.ac.in</t>
  </si>
  <si>
    <t>08-Nov-2001</t>
  </si>
  <si>
    <t>6724 1384 5460</t>
  </si>
  <si>
    <t>GAJANAN T RAUT</t>
  </si>
  <si>
    <t>EX ARMY</t>
  </si>
  <si>
    <t>SUNITA RAUT</t>
  </si>
  <si>
    <t>FLAT NO.101, WING -H, TANISH SRUSHTI GAT NO. 504, ALANDI MARKAL ROAD, CHAROLI KHURD, PUNE -412105</t>
  </si>
  <si>
    <t>ARMY SCHOOL BEG &amp; CENTRE KIRKEE PUNE MR</t>
  </si>
  <si>
    <t>MIT ARTS,COMMERCE &amp; SCIENCE COLLEGE, ALANDI, PUNE</t>
  </si>
  <si>
    <t>Bombay Stock Exchange Broker's Forum | Capital Market Operations Intern | Mumbai  | May 2026 | Jul 2026 | 9.5714285714286 Weeks | Campus Internship
INTERSHIP STUDIO | SALES INTERN | PUNE | May 2022 | Jun 2022 | 4.8571428571429 Weeks
Career Help | Human Resource Intern | Hyderabad  | Sep 2024 | Nov 2024 | 8.7142857142857 Weeks</t>
  </si>
  <si>
    <t>Introduction to Marketing
Negotiation, Mediation, and Conflict Resolution - Capstone Project
Operations Management
International Business I
Getting started with Microsoft Office 365</t>
  </si>
  <si>
    <t>P25703031</t>
  </si>
  <si>
    <t>HARSHA</t>
  </si>
  <si>
    <t>Harsha S</t>
  </si>
  <si>
    <t>harsha0501s@gmail.com</t>
  </si>
  <si>
    <t>p25703031@student.nicmar.ac.in</t>
  </si>
  <si>
    <t>05-Feb-2001</t>
  </si>
  <si>
    <t>3871 4990 4108</t>
  </si>
  <si>
    <t>SASI K R</t>
  </si>
  <si>
    <t>ANITHAKUMARI M S</t>
  </si>
  <si>
    <t>GURUKRIPA, CHARAMANGALAM, MUHAMMA.P.O, CHERTHALA</t>
  </si>
  <si>
    <t>JAWAHAR NAVODAYA VIDYALAYA</t>
  </si>
  <si>
    <t>CBSE,KERALA</t>
  </si>
  <si>
    <t>ZAKIR HUSAIN DELHI COLLEGE, DELHI</t>
  </si>
  <si>
    <t>other,M S EXCEL</t>
  </si>
  <si>
    <t>BOMBAY STOCK EXCHANGE BROKERS' FORUM(BBF) | Capital Market Operation Intern | MUMBAI | May 2026 | Jul 2026 | 9.5714285714286 Weeks | Campus Internship</t>
  </si>
  <si>
    <t>P25703032</t>
  </si>
  <si>
    <t>KHEDEKAR</t>
  </si>
  <si>
    <t>Yash Vilas Khedekar</t>
  </si>
  <si>
    <t>khedekaryash19@gmail.com</t>
  </si>
  <si>
    <t>p25703032@student.nicmar.ac.in</t>
  </si>
  <si>
    <t>19-Jun-2003</t>
  </si>
  <si>
    <t>4088 8741 3124</t>
  </si>
  <si>
    <t>403, B WING, BLD NO. 3, KADSIDHESHWAR SOCIETY,_x000D_
RAMTEKDI , NR GOPI TAILORS,_x000D_
SEWREE</t>
  </si>
  <si>
    <t>ANTONIO DE SOUZA HIGH SCHOOL</t>
  </si>
  <si>
    <t>MAHARASHTRA STATE BOARD SECONDARY AND SECONDARY EDUCATION,PUNE</t>
  </si>
  <si>
    <t>CHETANA COLLEGE</t>
  </si>
  <si>
    <t>D.G RUPAREL COLLEGE</t>
  </si>
  <si>
    <t>other,MSCIT,TALLY PRIME</t>
  </si>
  <si>
    <t>Majestic Realities | Digital Marketing intern | Pune  | May 2026 | Jun 2026 | 7.7142857142857 Weeks | Campus Internship</t>
  </si>
  <si>
    <t>P25703033</t>
  </si>
  <si>
    <t>MAHARSHI</t>
  </si>
  <si>
    <t>Maharshi Devendra Joshi</t>
  </si>
  <si>
    <t>maharshidjoshi@gmail.com</t>
  </si>
  <si>
    <t>p25703033@student.nicmar.ac.in</t>
  </si>
  <si>
    <t>02-May-2001</t>
  </si>
  <si>
    <t>English, Hindi, Gujarati.</t>
  </si>
  <si>
    <t>5453 9988 5160</t>
  </si>
  <si>
    <t>DEVENDRA JOSHI</t>
  </si>
  <si>
    <t>NEETA JOSHI</t>
  </si>
  <si>
    <t>402 Shreeji App, _x000D_
Patel Col - 4</t>
  </si>
  <si>
    <t>Jamnagar</t>
  </si>
  <si>
    <t>AHMEDABAD UNIVERSITY</t>
  </si>
  <si>
    <t>AHMEDABAD UNIVERSITY, AHMEDABAD, GUJARAT</t>
  </si>
  <si>
    <t>AutoCAD,MS Office,MS Excel</t>
  </si>
  <si>
    <t>Ahmedabad University | Teaching Assistant | Ahmedabad | Jul 2023 | Oct 2023 | 0Y 2M | 1.8</t>
  </si>
  <si>
    <t>Nayara Energy | Vocational Trainee | Jamnagar, Gujarat | Jun 2022 | Jul 2022 | 8.2857142857143 Weeks</t>
  </si>
  <si>
    <t>P25703034</t>
  </si>
  <si>
    <t>NIHAR</t>
  </si>
  <si>
    <t>PALAV</t>
  </si>
  <si>
    <t>Nihar Tanaji Palav</t>
  </si>
  <si>
    <t>np12122000@gmail.com</t>
  </si>
  <si>
    <t>p25703034@student.nicmar.ac.in</t>
  </si>
  <si>
    <t>12-Dec-2000</t>
  </si>
  <si>
    <t>Marathi, English, Hindi, Kokani</t>
  </si>
  <si>
    <t>9908 4745 6340</t>
  </si>
  <si>
    <t>AVISHA PALAV</t>
  </si>
  <si>
    <t>FLAT NO 408, 4TH FLOOR, B WING, PINNACLE NEELANCHAL, SUS, PUNE</t>
  </si>
  <si>
    <t>Sarvoday Nagar, Teacher's Colony, New Salaiwada, Sawantwadi</t>
  </si>
  <si>
    <t>MILAGRIS HIGH SCHOOL</t>
  </si>
  <si>
    <t>SHREE PANCHAM KHEMRAJ MAHAVIDHYALAI</t>
  </si>
  <si>
    <t>VISHWAKARMA INSTITUE OF INFORMATION TECHNOLOGY</t>
  </si>
  <si>
    <t>AutoCAD,MS Office,Power BI,Tabluea,SQL</t>
  </si>
  <si>
    <t>Shree Sai Consultancy Pvt Ltd | Site Engineer | Sawantwadi, Maharashtra | Mar 2024 | Dec 2024 | 43.571428571429 Weeks
Centrix Project Solutions. Pvt  Ltd | Site Engineer | Powai, Mumbai | Sep 2023 | Jan 2024 | 17.428571428571 Weeks</t>
  </si>
  <si>
    <t>P25703035</t>
  </si>
  <si>
    <t>WADKAR</t>
  </si>
  <si>
    <t>Siddhi Sachin Wadkar</t>
  </si>
  <si>
    <t>siddhiwadkar25@gmail.com</t>
  </si>
  <si>
    <t>p25703035@student.nicmar.ac.in</t>
  </si>
  <si>
    <t>25-Jul-2003</t>
  </si>
  <si>
    <t>Reading,Writing poetry,Playing badminton</t>
  </si>
  <si>
    <t>4126 1391 1990</t>
  </si>
  <si>
    <t>SACHIN WADKAR</t>
  </si>
  <si>
    <t>HARSHALA WADKAR</t>
  </si>
  <si>
    <t>SERVICE SECTOR</t>
  </si>
  <si>
    <t>A-801, Kapil Vastu, Above Bank Of India, Near Vitthal Mandir, Navsahydri, Pune</t>
  </si>
  <si>
    <t>ROSARY SCHOOL</t>
  </si>
  <si>
    <t>SINHAGAD COLLEGE OF ARTS AND COMMERCE</t>
  </si>
  <si>
    <t>ABASAHEB GARWARE</t>
  </si>
  <si>
    <t>ABASAHEB GARWARE COLLEGE OF ARTS AND SCIENCE, PUNE/MAHARASHTRA</t>
  </si>
  <si>
    <t>RWTH Aachen University India Office | Marketing Executive | Pune, India | Jun 2024 | Feb 2025 | 0Y 8M | 2.4</t>
  </si>
  <si>
    <t>P25703037</t>
  </si>
  <si>
    <t>Ashish Ranjan Kumar</t>
  </si>
  <si>
    <t>kumarashishranjan18@gmail.com</t>
  </si>
  <si>
    <t>p25703037@student.nicmar.ac.in</t>
  </si>
  <si>
    <t>10-Mar-1999</t>
  </si>
  <si>
    <t>7101 5056 4241</t>
  </si>
  <si>
    <t>REKHAN KUMARI</t>
  </si>
  <si>
    <t>RAVI RANJAN, FLAT NO. G-38 , SUGHAM SABUJ COMPLEX , NARENDRAPUR , NEAR LAL GATE</t>
  </si>
  <si>
    <t>OM LANDMARK</t>
  </si>
  <si>
    <t>MOTA CHILODA , GANDHINAGAR , GUJARAT</t>
  </si>
  <si>
    <t>VASANT RAO NAIK</t>
  </si>
  <si>
    <t>AURANGABAD , MAHARASHTRA</t>
  </si>
  <si>
    <t>DYPIEMR</t>
  </si>
  <si>
    <t>HG Infra Engineering Ltd | ASSISTANT ENGINEER (STRUCTURAL ENGINEER) | DELHI , TATANAGAR | Jan 2023 | Sep 2024 | 1Y 8M | 3.85
Syv Biotech Pvt Ltd . | Accounts and Sales Executive | pune  | Feb 2025 | Jun 2025 | 0Y 4M | 1.8</t>
  </si>
  <si>
    <t>P25703038</t>
  </si>
  <si>
    <t>KISHAN</t>
  </si>
  <si>
    <t>DALMIA</t>
  </si>
  <si>
    <t>Kishan Dalmia</t>
  </si>
  <si>
    <t>kishandalmiais@gmail.com</t>
  </si>
  <si>
    <t>p25703038@student.nicmar.ac.in</t>
  </si>
  <si>
    <t>02-Nov-2001</t>
  </si>
  <si>
    <t>English, Hindi, Odia, Marwadi</t>
  </si>
  <si>
    <t>7543 2281 3385</t>
  </si>
  <si>
    <t>PRAKASH CHANDRA DALMIA</t>
  </si>
  <si>
    <t>RADHA DALMIA</t>
  </si>
  <si>
    <t>GA 153 Niladri Vihar Chandrasekharpur</t>
  </si>
  <si>
    <t>LOYOLA SCHOOL</t>
  </si>
  <si>
    <t>JAIN COLLEGE, V.V. PURAM</t>
  </si>
  <si>
    <t>BENGALURU CITY UNIVERSITY, BENGALURU</t>
  </si>
  <si>
    <t>MS Office,ZOHO</t>
  </si>
  <si>
    <t>iCOVER Insure | Business and Quality Analyst | Work from Home | Jul 2024 | Nov 2024 | 0Y 4M | 3.24</t>
  </si>
  <si>
    <t>Edsom Fintech Pvt. Ltd. | HR | Baner, Pune | May 2026 | Jun 2026 | 8 Weeks | Campus Internship
Matix Exports | Export Executive | Bengaluru | Nov 2022 | Mar 2023 | 17.571428571429 Weeks</t>
  </si>
  <si>
    <t>Project management skills
managing organizational change
Hr communications by HRCI
Hr communications by SHRM</t>
  </si>
  <si>
    <t>P25703039</t>
  </si>
  <si>
    <t>Sneha Prabhakar Meshram</t>
  </si>
  <si>
    <t>snehameshram13012@gmail.com</t>
  </si>
  <si>
    <t>p25703039@student.nicmar.ac.in</t>
  </si>
  <si>
    <t>13-Jan-2002</t>
  </si>
  <si>
    <t>9879 4981 3056</t>
  </si>
  <si>
    <t>PRABHAKAR MESHRAM</t>
  </si>
  <si>
    <t>GOVERNMENT EMPLOYEE (MSECB)</t>
  </si>
  <si>
    <t>BHARATI MESHRAM</t>
  </si>
  <si>
    <t>Shanti Nagar Near Ganvir Hospital Bramhapuri Dist- Chandrapur</t>
  </si>
  <si>
    <t>CENTRAL BOARD OF SECONDARY EDUCATION ,AURANGABAD</t>
  </si>
  <si>
    <t>CHRISTANAND SCHOOL AND JUNIOR COLLEGE  , BRAMHAPURI</t>
  </si>
  <si>
    <t>MAHARASHTRA STATE BOARD OF SECONDARY AND HIGHER SECONDARY EDUCATION, NAGPUR DIVISIONAL BOARD</t>
  </si>
  <si>
    <t>G H RAISONI COLLEGE OF ENGINEERING ,NAGPUR</t>
  </si>
  <si>
    <t>other,EXCEL</t>
  </si>
  <si>
    <t>P25703040</t>
  </si>
  <si>
    <t>JAMDADE</t>
  </si>
  <si>
    <t>SUMIT</t>
  </si>
  <si>
    <t>SHEKHAR</t>
  </si>
  <si>
    <t>Jamdade Sumit Shekhar</t>
  </si>
  <si>
    <t>sumiiijamdade03@gmail.com</t>
  </si>
  <si>
    <t>p25703040@student.nicmar.ac.in</t>
  </si>
  <si>
    <t>03-Nov-2003</t>
  </si>
  <si>
    <t>5497 5578 6066</t>
  </si>
  <si>
    <t>SHEKHAR SHIVAJI JAMDADE</t>
  </si>
  <si>
    <t>SUNITA SHEKHAR JAMDADE</t>
  </si>
  <si>
    <t>NICMAR GATE NO 2, MILLENNIUM BOYS HOSTEL, RAM NAGAR, BALEWADI ROAD, BANER, PUNE</t>
  </si>
  <si>
    <t>295, Dwarkadhish Apartment, Gangapuri, Near Nagar Palika School 5, Wai, Satara</t>
  </si>
  <si>
    <t>BLOSSOM CHILDREN'S ACADEMY, WAI, SATARA</t>
  </si>
  <si>
    <t>MAHARASHTRA STATE BOARD OF SECONDARY AND HIGHER SECONDARY EDUCATION, PUNE (WAI, SATARA/MAHARASHTRA)</t>
  </si>
  <si>
    <t>DHANJAYRAO GADGIL COLLEGE OF COMMERCE, SATARA</t>
  </si>
  <si>
    <t>MAHARASHTRA STATE BOARD OF SECONDARY AND HIGHER SECONDARY EDUCATION, PUNE (SATARA/MAHARASHTRA)</t>
  </si>
  <si>
    <t>SARHAD COLLEGE OF ARTS, COMMERCE AND SCIENCE, KATRAJ, PUNE, MAHARASHTRA</t>
  </si>
  <si>
    <t>MS Office,MS Project,Advanced Excel</t>
  </si>
  <si>
    <t>Majestic Realities | Digital Marketing intern | Pune | May 2026 | Jun 2026 | 7.7142857142857 Weeks | Campus Internship</t>
  </si>
  <si>
    <t>International Business I (University of New Mexico - Coursera)
Operations Management (IESE Business School - Coursera)
Negotiation Fundamentals (ESSEC Business School - Coursera)</t>
  </si>
  <si>
    <t>P25703041</t>
  </si>
  <si>
    <t>ABHYANKAR</t>
  </si>
  <si>
    <t>Vaibhavi Ganesh Abhyankar</t>
  </si>
  <si>
    <t>vaibhaviabhyankar27@gmail.com</t>
  </si>
  <si>
    <t>p25703041@student.nicmar.ac.in</t>
  </si>
  <si>
    <t>27-Nov-2003</t>
  </si>
  <si>
    <t>3978 2207 6391</t>
  </si>
  <si>
    <t>GANESH ABHYANKAR</t>
  </si>
  <si>
    <t>SERVICE(PRIVATE SECTOR)</t>
  </si>
  <si>
    <t>GAYATRI ABHYANKAR</t>
  </si>
  <si>
    <t>A-49, Adarsh Nagar, Kushalpur, Raipur(C.G)</t>
  </si>
  <si>
    <t>KRISHNA PUBLIC SCHOOL</t>
  </si>
  <si>
    <t>CENTRAL BOARD OF SECONDARY EDUCATION,RAIPUR/CHHATTISGARH</t>
  </si>
  <si>
    <t>PT. RAVISHANKAR SHUKLA UNIVERSITY</t>
  </si>
  <si>
    <t>VIVEKANAND MAHAVIDYALAYA, RAIPUR/CHHATTISGARH</t>
  </si>
  <si>
    <t>P25703042</t>
  </si>
  <si>
    <t>Pranav Pravin Kadam</t>
  </si>
  <si>
    <t>kadampranav.0103@gmail.com</t>
  </si>
  <si>
    <t>p25703042@student.nicmar.ac.in</t>
  </si>
  <si>
    <t>01-Mar-2003</t>
  </si>
  <si>
    <t>4984 6590 0026</t>
  </si>
  <si>
    <t>PRAVIN BAPURAO KADAM</t>
  </si>
  <si>
    <t>PRIYA PRAVIN KADAM</t>
  </si>
  <si>
    <t>Plot No 11, Maharashtra Nagar, Kalamba Road, Kolhapur</t>
  </si>
  <si>
    <t>DYP'S SHANTINIKETAN SCHOOL</t>
  </si>
  <si>
    <t>DYP'S SHANTINIKETAN JUNIOR COLLEGE</t>
  </si>
  <si>
    <t>AutoCAD,MS Office,Figma,Python</t>
  </si>
  <si>
    <t>Britannia Industries Ltd. | Procurement Intern | Pune District | May 2026 | Jul 2026 | 7.7142857142857 Weeks | Campus Internship
Synergy Green Industries | Intern | Kolhapur | Jun 2024 | Jul 2024 | 4.2857142857143 Weeks
Wilo Mather &amp; Platt Pvt. Ltd. | Inward Quality Intern | Kolhapur | Jan 2025 | Apr 2025 | 15.285714285714 Weeks</t>
  </si>
  <si>
    <t>Introduction to Data Analysis using Microsoft Excel</t>
  </si>
  <si>
    <t>P25703043</t>
  </si>
  <si>
    <t>ELIAS</t>
  </si>
  <si>
    <t>Elias Eldhose</t>
  </si>
  <si>
    <t>eliaseldhose007@gmail.com</t>
  </si>
  <si>
    <t>p25703043@student.nicmar.ac.in</t>
  </si>
  <si>
    <t>08-Dec-2000</t>
  </si>
  <si>
    <t>CRICKET,OFFROADING,MOVIES,OVERLAND EXPEDITIONS</t>
  </si>
  <si>
    <t>6935 5764 6940</t>
  </si>
  <si>
    <t>ELDHO VARGHESE</t>
  </si>
  <si>
    <t>CINI.P</t>
  </si>
  <si>
    <t>Neduvelikudy House_x000D_
Vaikkara P.O_x000D_
Assamannor_x000D_
Perumbavoor_x000D_
683549</t>
  </si>
  <si>
    <t>ST GEORGE PUBLIC SCHOOL KEEZHILLAM ERNAKULAM</t>
  </si>
  <si>
    <t>MGM H.S.S. KURUPPAMPADY</t>
  </si>
  <si>
    <t>KERALA BOARD</t>
  </si>
  <si>
    <t>MAR ATHANASIUS COLLEGE, KOTHAMANGALAM</t>
  </si>
  <si>
    <t>ERNAKULAM</t>
  </si>
  <si>
    <t>UNION CHRISTIAN COLLEGE, ALUVA</t>
  </si>
  <si>
    <t>MA</t>
  </si>
  <si>
    <t>MS Office, MS Project, Sales Force</t>
  </si>
  <si>
    <t>UNION CHRISTIAN COLLEGE | ADAPTING TO THE NEW NORM: EXPLORING CUSTOMERS ATTITUDE TOWARDS E-BANKING SERVICES IN THE POST COVID SCENARIO | ALUVA | Jan 2023 | Oct 2023 | 39.857142857143 Weeks</t>
  </si>
  <si>
    <t>Salesforce Innovator
Getting started with Microsoft Office 365
Negotiation, Mediation, and Conflict Resolution - Capstone Project
Operations Management
Introduction to Marketing
International Business</t>
  </si>
  <si>
    <t>P25703044</t>
  </si>
  <si>
    <t>SHRIRAM</t>
  </si>
  <si>
    <t>PALVE</t>
  </si>
  <si>
    <t>Vivek Shriram Palve</t>
  </si>
  <si>
    <t>vickypalve68@gmail.com</t>
  </si>
  <si>
    <t>p25703044@student.nicmar.ac.in</t>
  </si>
  <si>
    <t>31-May-2003</t>
  </si>
  <si>
    <t>4454 3755 6475</t>
  </si>
  <si>
    <t>D-604, 43Privet Drive, Balewadi Near To_x000D_
SBI Bank, Pune</t>
  </si>
  <si>
    <t>RAMSHETH THAKUR PUBLIC SCHOOL</t>
  </si>
  <si>
    <t>CBSE, KHARGHAR-NAVI MUMBAI</t>
  </si>
  <si>
    <t>HSC, PUNE</t>
  </si>
  <si>
    <t>SYMBIOSIS COLLEGE OF ARTS AND COMMERCE, PUNE</t>
  </si>
  <si>
    <t>MS Office,MS Project,MS Excel,python,tally prime,ms powerpoint</t>
  </si>
  <si>
    <t>VCC Express &amp; Logistics | Operations manager | Pune | Aug 2024 | Jul 2025 | 48.714285714286 Weeks
Younity | Business development &amp; research | Pune | Dec 2022 | Dec 2022 | 2 Weeks</t>
  </si>
  <si>
    <t>Tally
Python</t>
  </si>
  <si>
    <t>P25703045</t>
  </si>
  <si>
    <t>BHUMIKA</t>
  </si>
  <si>
    <t>THAGUNNA</t>
  </si>
  <si>
    <t>Bhumika Thagunna</t>
  </si>
  <si>
    <t>bhumithagunna12@gmail.com</t>
  </si>
  <si>
    <t>p25703045@student.nicmar.ac.in</t>
  </si>
  <si>
    <t>17-Mar-2001</t>
  </si>
  <si>
    <t>4022 2224 6051</t>
  </si>
  <si>
    <t>PREM SINGH THAGUNNA</t>
  </si>
  <si>
    <t>TAILORING SHOP</t>
  </si>
  <si>
    <t>SHANTA THAGUNNA</t>
  </si>
  <si>
    <t>NESTWORKS PG, HIRAI SITAI ROAD, HINJEWADI</t>
  </si>
  <si>
    <t>Sector No. -7, Near Masjid, Khandu Colony</t>
  </si>
  <si>
    <t>Banswara</t>
  </si>
  <si>
    <t>16357 - JAWAHAR NAVODAYA VIDYALAYA, BANSWARA</t>
  </si>
  <si>
    <t>BANSWARA / RAJASTHAN</t>
  </si>
  <si>
    <t>NUTAN SENIOR SECONDARY SCHOOL, BANSWARA</t>
  </si>
  <si>
    <t>BHARATI VIDYAPEETH DEEMED UNIVERSITY, PUNE</t>
  </si>
  <si>
    <t>BHARATI VIDYAPEETH COLLEGE OF ENGINEERING, PUNE</t>
  </si>
  <si>
    <t>MS Office,MS Project,DBMS,SDLC,Operations Management,Python,AI Tools</t>
  </si>
  <si>
    <t>Edsom Fintech Pvt. Ltd. | Business Analyst and Finance Intern | Pune | May 2026 | Jun 2026 | 7.7142857142857 Weeks | Campus Internship
Null Class | IOT Intern | Bangalore | Jun 2023 | Aug 2023 | 8.4285714285714 Weeks</t>
  </si>
  <si>
    <t>Effective Business Plan On-Campus Certification Programme | National B-Plan Championship, E-Cell IIM Bangalore &amp; MakeIntern
Salesforce Certified Agentforce Specialist</t>
  </si>
  <si>
    <t>P25703046</t>
  </si>
  <si>
    <t>PRADHAN</t>
  </si>
  <si>
    <t>Rahul Pradhan</t>
  </si>
  <si>
    <t>rahulpradhan549@gmail.com</t>
  </si>
  <si>
    <t>p25703046@student.nicmar.ac.in</t>
  </si>
  <si>
    <t>8756 1353 9584</t>
  </si>
  <si>
    <t>TEKACHAND PRADHAN</t>
  </si>
  <si>
    <t>BABITA PRADHAN</t>
  </si>
  <si>
    <t>Blue House , Infront Of Purohit Kalyan Mandap_x000D_
Near BSNL Tower, Shantinagar, Padampur</t>
  </si>
  <si>
    <t>VIKASH RESIDENTIAL SCHOOL BARGARH</t>
  </si>
  <si>
    <t>CENTRAL BOARD OF SECONDARY EDUCATION  ODISHA</t>
  </si>
  <si>
    <t>CV RAMAN COLLEGE OF ENGINEERING BHUBANESWAR</t>
  </si>
  <si>
    <t>other,SQL,JAVA,SAP</t>
  </si>
  <si>
    <t>P25703047</t>
  </si>
  <si>
    <t>SRIYA</t>
  </si>
  <si>
    <t>SAMHITA</t>
  </si>
  <si>
    <t>J Sriya Samhita</t>
  </si>
  <si>
    <t>sriyajammula2004@gmail.com</t>
  </si>
  <si>
    <t>p25703047@student.nicmar.ac.in</t>
  </si>
  <si>
    <t>03-Oct-2004</t>
  </si>
  <si>
    <t>ENGLISH, HINDI, TELUGU, ODIA</t>
  </si>
  <si>
    <t>2151 0546 9274</t>
  </si>
  <si>
    <t>J SRINIVASA RAO</t>
  </si>
  <si>
    <t>J MADHAVI</t>
  </si>
  <si>
    <t>PATRA STREET_x000D_
BIG BAZAAR NEAR KHASPA STREET, BRAHMAPUR</t>
  </si>
  <si>
    <t>ST VINCENT'S CONVENT SCHOOL</t>
  </si>
  <si>
    <t>ICSE BRAHMAPUR</t>
  </si>
  <si>
    <t>SHIKSHA HIGHER DECONDARY SCHOOL</t>
  </si>
  <si>
    <t>CHSE BERHMAPUR</t>
  </si>
  <si>
    <t>KHALLIKOTE UNITARY UNIVERSITY</t>
  </si>
  <si>
    <t>KHALLIKOTE UNITARY UNIVERSITY, BERHAMPUR,ODISHA</t>
  </si>
  <si>
    <t>Maruti Suzuki India Limited | Supply Chain Intern | Gurugram, Haryana | May 2026 | Jul 2026 | 8.7142857142857 Weeks</t>
  </si>
  <si>
    <t>INTERNATIONAL BUSINESS-1
GETTING STARTED WITH MICROSOFT 365
BUSINESS ANALYTICS WITH EXCEL
NEGOTIATIONS FUNDEMENTALS
NEGOTIATION MEDIATION AND CONFLICT RESOLUTION
OPERATIONS MANAGEMENT
INTRODUCTION TO MARKETING
SALESFORCE (INNOVATOR)</t>
  </si>
  <si>
    <t>P25703048</t>
  </si>
  <si>
    <t>VERMA</t>
  </si>
  <si>
    <t>Ayush Verma</t>
  </si>
  <si>
    <t>vayush943@gmail.com</t>
  </si>
  <si>
    <t>p25703048@student.nicmar.ac.in</t>
  </si>
  <si>
    <t>26-Jun-2002</t>
  </si>
  <si>
    <t>Strength Training,Playing Chess</t>
  </si>
  <si>
    <t>2108 3249 0597</t>
  </si>
  <si>
    <t>RITU RAJ VERMA</t>
  </si>
  <si>
    <t>SUNITA VERMA</t>
  </si>
  <si>
    <t>Tehsil Sunni, Jaili Dhar (143), Shimla, Himachal Pradesh</t>
  </si>
  <si>
    <t>ST. EDWARDS SCHOOL</t>
  </si>
  <si>
    <t>CHITKARA UNIVERSITY</t>
  </si>
  <si>
    <t>CHITKARA UNIVERSITY, PUNJAB</t>
  </si>
  <si>
    <t>other,MS Excel,MS PowerPoint,MS WORD</t>
  </si>
  <si>
    <t>Hotel Holiday Home | Front Office Trainee | Shimla | Jun 2023 | Oct 2023 | 17.857142857143 Weeks
THE ST REGIS | F&amp;B Intern | DOHA, QATAR | Sep 2022 | Dec 2022 | 17.285714285714 Weeks</t>
  </si>
  <si>
    <t>Coursera Introduction To Marketing</t>
  </si>
  <si>
    <t>P25703049</t>
  </si>
  <si>
    <t>AJMERA</t>
  </si>
  <si>
    <t>Shweta Ajmera</t>
  </si>
  <si>
    <t>shweta_kabra88@yahoo.com</t>
  </si>
  <si>
    <t>p25703049@student.nicmar.ac.in</t>
  </si>
  <si>
    <t>04-Jan-1987</t>
  </si>
  <si>
    <t>6172 6238 4150</t>
  </si>
  <si>
    <t>BADRI AJMERA</t>
  </si>
  <si>
    <t>KRISHNA AJMERA</t>
  </si>
  <si>
    <t>C 904, ROYAL RAHADKI GREENS, OPPOSITE ARENA 29, SHIVRAJ NAGAR LANE NO 1, RAHATANI</t>
  </si>
  <si>
    <t>C 20, Sachdev Nagar 2, Near Dutt Mandir, C Block, Chopra Court Road. Ulhasnagar</t>
  </si>
  <si>
    <t>M LAND CHILDREN ACADEMY SS, TONK</t>
  </si>
  <si>
    <t>BOARD OF SECONDARY EDUCATION, RAJASTHAN</t>
  </si>
  <si>
    <t>2001-Jun</t>
  </si>
  <si>
    <t>TAGORE BAL NIKETAN SR SEC SCH TONK</t>
  </si>
  <si>
    <t>2002-Apr</t>
  </si>
  <si>
    <t>2003-Apr</t>
  </si>
  <si>
    <t>MAHARISHI DAYANAND UNIVERSITY AJMERA</t>
  </si>
  <si>
    <t>GOVT GIRLS COLLEGE TONK</t>
  </si>
  <si>
    <t>MAHARSHI DAYANAND SARASWATI UNIVERSITY, AJMER</t>
  </si>
  <si>
    <t>M.Com</t>
  </si>
  <si>
    <t>2006-Apr</t>
  </si>
  <si>
    <t>Tally ERP 9,Winman,Saral</t>
  </si>
  <si>
    <t>Elpro International School | Assistant Manager-Accounts and Finance | Chinchwad, Pune | Oct 2021 | Mar 2025 | 3Y 4M | 5.8
Proactive Engineering Services | Accounts Manager | Warje,PUNE | Mar 2019 | Oct 2021 | 2Y 6M | 2.4
DKP Financial Sevices | Associate- Accounts and Tax  | Shahad Thane | Jun 2013 | Feb 2017 | 3Y 8M | 1.8</t>
  </si>
  <si>
    <t>9 Years 8 Months</t>
  </si>
  <si>
    <t>Edsom Fintech Pvt Ltd | Business Analyst | Baner | May 2026 | Jun 2026 | 8 Weeks | Campus Internship
Vushnu Khandelwal &amp; co | Trainee Article | Jaipur | Nov 2007 | May 2011 | 182.28571428571 Weeks</t>
  </si>
  <si>
    <t>P25703050</t>
  </si>
  <si>
    <t>HUKKERI</t>
  </si>
  <si>
    <t>Aryan Vinay Hukkeri</t>
  </si>
  <si>
    <t>aryanvhukkeri@gmail.com</t>
  </si>
  <si>
    <t>p25703050@student.nicmar.ac.in</t>
  </si>
  <si>
    <t>16-Aug-2001</t>
  </si>
  <si>
    <t>English, Hindi, Marathi, Sanskrit</t>
  </si>
  <si>
    <t>Singing,Photography,Travel,Cultural activities,Video editing</t>
  </si>
  <si>
    <t>2142 3810 8170</t>
  </si>
  <si>
    <t>VINAY HUKUMCHAND HUKKERI</t>
  </si>
  <si>
    <t>UJWALA VINAY HUKKERI</t>
  </si>
  <si>
    <t>VTP BELAIR, BLUEWATERS TOWNSHIP, PUNE</t>
  </si>
  <si>
    <t>Takari Road Nianai Nagar Near RIT</t>
  </si>
  <si>
    <t>ISLAMPUR HIGH SCHOOL ISLAMPUR 415409</t>
  </si>
  <si>
    <t>VIDYAMANDIR JUNIOR COLLEGE URUN ISLAMPUR</t>
  </si>
  <si>
    <t>MAHARSHTRA STATE BOARD</t>
  </si>
  <si>
    <t>RAJARAMBAPU INSTITUTE OF TECHNOLOGY ISHWARPUR 415409 ,SANGLI</t>
  </si>
  <si>
    <t>MS Office,MS Project,SAP hana,SAP ABAP,Orcad</t>
  </si>
  <si>
    <t>Eltech Electrodesigns and Solutions Pvt Ltd | R &amp; D Intern  | Shivane  | Jan 2023 | May 2023 | 20.285714285714 Weeks</t>
  </si>
  <si>
    <t>P25703051</t>
  </si>
  <si>
    <t>SHAGUN</t>
  </si>
  <si>
    <t>DOGRA</t>
  </si>
  <si>
    <t>Shagun Dogra</t>
  </si>
  <si>
    <t>shagunmahajan2004@gmail.com</t>
  </si>
  <si>
    <t>p25703051@student.nicmar.ac.in</t>
  </si>
  <si>
    <t>28-Jan-2004</t>
  </si>
  <si>
    <t>ENGLISH, HINDI, DOGRI</t>
  </si>
  <si>
    <t>Travelling,Trekking,Reading books,Learning new languages</t>
  </si>
  <si>
    <t>5165 6622 8090</t>
  </si>
  <si>
    <t>JUGAL DOGRA</t>
  </si>
  <si>
    <t>POONAM DOGRA</t>
  </si>
  <si>
    <t>House Number 125, Ward No. 3, Ramnagar</t>
  </si>
  <si>
    <t>Udhampur</t>
  </si>
  <si>
    <t>BHARTIYA VIDYA MANDIR HIGH SCHOOL</t>
  </si>
  <si>
    <t>THE JAMMU &amp; KASHMIR STATE BOARD OF SCHOOL EDUCATION , RAMNAGAR</t>
  </si>
  <si>
    <t>B B S VIDYAPEETH DINA NAGAR</t>
  </si>
  <si>
    <t>CENTRAL BOARD OF SECONDARY EDUCATION, RAMNAGAR</t>
  </si>
  <si>
    <t>SHRI MATA VAISHNO DEVI UNIVERSITY , KATRA</t>
  </si>
  <si>
    <t>Bank of Maharashtra |  Banking and operations | Pune | May 2026 | Jun 2026 | 8 Weeks | Campus Internship
J &amp; K Bank | Summer Intern | Ramnagar, J&amp;K | Jun 2023 | Jul 2023 | 6.5714285714286 Weeks</t>
  </si>
  <si>
    <t>Negotiation, Mediation, and Conflict Resolution - Capstone Project
Negotiation Fundamentals
Business Analytics with Excel
Operations Management
Introduction to Marketing
Get started with Microsoft 365
International Business 1</t>
  </si>
  <si>
    <t>P25703052</t>
  </si>
  <si>
    <t>AMRITESH</t>
  </si>
  <si>
    <t>Amritesh Kumar Shivam</t>
  </si>
  <si>
    <t>amritesh16jan@gmail.com</t>
  </si>
  <si>
    <t>p25703052@student.nicmar.ac.in</t>
  </si>
  <si>
    <t>6920 7552 0862</t>
  </si>
  <si>
    <t>UZWAL KUMAR</t>
  </si>
  <si>
    <t>RENU KUMARI</t>
  </si>
  <si>
    <t>NICMAR UNIVERSITY PLAT NO 251 NIA POST OFFICE BALEWADI , TALUKA HAVELI</t>
  </si>
  <si>
    <t>S/o  Uzwal Kumar Kali Mandir Road  Nepali Nagar Ashiyana Digha</t>
  </si>
  <si>
    <t>DR D RAM DAV PUBLIC SCHOOL</t>
  </si>
  <si>
    <t>PUNE MAHARASTRA</t>
  </si>
  <si>
    <t>FINLATICS EQUITY MARKET ANALYST</t>
  </si>
  <si>
    <t>P25703053</t>
  </si>
  <si>
    <t>Rushikesh Rajendra Deshmukh</t>
  </si>
  <si>
    <t>deshmukhrushi396@gmail.com</t>
  </si>
  <si>
    <t>p25703053@student.nicmar.ac.in</t>
  </si>
  <si>
    <t>11-Apr-2003</t>
  </si>
  <si>
    <t>4066 0255 1166</t>
  </si>
  <si>
    <t>FL,NO 1 KHADKESHWAR Apartament KHADKESHWAR , Aurangabad MAHARASHTRA _x000D_
431001</t>
  </si>
  <si>
    <t>HOLY CROSS ENGLISH HIGH SCHOOL</t>
  </si>
  <si>
    <t>VIVEKANAND ARTS, SARDAR DALIPSINGH COMMERCE &amp; SCIENCE COLLEGE, AURANGABAD</t>
  </si>
  <si>
    <t>DR. BABASAHEB AMBEDKAR MARATHAWAD UNIVERSITY</t>
  </si>
  <si>
    <t>MS Office,EXCEL</t>
  </si>
  <si>
    <t>Address Advisors  | Business Development Intern  | Pune, Maharashtra, India | May 2026 | Jul 2026 | 9.5714285714286 Weeks | Campus Internship</t>
  </si>
  <si>
    <t>P25703054</t>
  </si>
  <si>
    <t>Ketan Milind Patil</t>
  </si>
  <si>
    <t>ketanmpatil2810@gmail.com</t>
  </si>
  <si>
    <t>p25703054@student.nicmar.ac.in</t>
  </si>
  <si>
    <t>28-Oct-2002</t>
  </si>
  <si>
    <t>Traveling and Exploring,Listening to Music,Watching Movies,Cooking</t>
  </si>
  <si>
    <t>5680 7711 8545</t>
  </si>
  <si>
    <t>NEETA</t>
  </si>
  <si>
    <t>A3 902 MANTRA MONARCH, PATIL WASTI, PATIL NAGAR, BALEWADI, PUNE</t>
  </si>
  <si>
    <t>11, Subhash Colony, Shirpur</t>
  </si>
  <si>
    <t>SMITA PATIL PUBLIC SCHOOL</t>
  </si>
  <si>
    <t>CENTRAL BOARD OF SECONDARY EDUCATION SHIRPUR, MAHARASHTRA</t>
  </si>
  <si>
    <t>R.C.PATEL ENGLISH MEDIUM JUNIOR COLLEGE</t>
  </si>
  <si>
    <t>MAHARASHTRA STATE BOARD OF SECONDARY AND HIGHER SECONDARY EDUCATION, SHIRPUR, MAHARASHTRA</t>
  </si>
  <si>
    <t>NATIONAL COUNCIL OF HOTEL MANAGEMENT AND CATERING TECHNOLOGY</t>
  </si>
  <si>
    <t>INSTITUTE OF HOTEL MANAGEMENT, CATERING TECHNOLOGY &amp; APPLIED NUTRITION, PORVORIM, GOA</t>
  </si>
  <si>
    <t>Python,Ms Office,Ms Project,Canva,Trello,</t>
  </si>
  <si>
    <t>Majestic Realties  | Digital Marketing Intern  | Pune | May 2026 | Jun 2026 | 7.7142857142857 Weeks | Campus Internship
Enrise By Sayaji | Intern | Indore | Dec 2021 | Apr 2022 | 15.857142857143 Weeks
TIP TOP INTERNATIONAL | On Job Trainee Front Office | Pune | Jan 2024 | Apr 2024 | 13 Weeks
Lejhro Technology | Human Resource Associate | Bhubaneswar | Oct 2024 | Feb 2025 | 18 Weeks</t>
  </si>
  <si>
    <t xml:space="preserve">Executive Program in Human Resource Management
KPMG Six Sigma Green Belt </t>
  </si>
  <si>
    <t>P25703055</t>
  </si>
  <si>
    <t>NISCHAY</t>
  </si>
  <si>
    <t>SISODIA</t>
  </si>
  <si>
    <t>Nischay Sisodia</t>
  </si>
  <si>
    <t>gomti.sisodia65@gmail.com</t>
  </si>
  <si>
    <t>p25703055@student.nicmar.ac.in</t>
  </si>
  <si>
    <t>10-Oct-2002</t>
  </si>
  <si>
    <t>Sketching,football,basketball,esports</t>
  </si>
  <si>
    <t>2731 7525 6804</t>
  </si>
  <si>
    <t>R.B. SISODIA</t>
  </si>
  <si>
    <t>GOMTI SISODIA</t>
  </si>
  <si>
    <t>BEAUTICIAN</t>
  </si>
  <si>
    <t>NEHRU NAGAR BHOPAL</t>
  </si>
  <si>
    <t>Nehru Nagar, 23, Gomti Colony</t>
  </si>
  <si>
    <t>BAL BHAWAN SCHOOL</t>
  </si>
  <si>
    <t>CBSE / BHOPAL  / MADHYA PRADESH</t>
  </si>
  <si>
    <t>INSTITUTE FOR EXCELLENCE IN HIGHER EDUCATION ,BHOPAL , MADHYA PRADESH</t>
  </si>
  <si>
    <t>MS Office,I know the basics of excel.</t>
  </si>
  <si>
    <t>Moksh Overseas Educon Limited | Digital Marketing Internship | bhopal,india | Mar 2024 | Apr 2024 | 6 Weeks</t>
  </si>
  <si>
    <t>Digital Marketing</t>
  </si>
  <si>
    <t>P25703056</t>
  </si>
  <si>
    <t>SETABJA</t>
  </si>
  <si>
    <t>TARAFDER</t>
  </si>
  <si>
    <t>Setabja Tarafder</t>
  </si>
  <si>
    <t>setabja.tarafder@gmail.com</t>
  </si>
  <si>
    <t>p25703056@student.nicmar.ac.in</t>
  </si>
  <si>
    <t>ENGLISH, HINDI , BENGALI</t>
  </si>
  <si>
    <t>5114 7125 5886</t>
  </si>
  <si>
    <t>LATE BIPLOB TARAFDER</t>
  </si>
  <si>
    <t>SHOVA TARAFDER</t>
  </si>
  <si>
    <t>Sf-1, Sk Heights,miraton Gardens, Chicalim Ground, Vasco Da Gama, Goa</t>
  </si>
  <si>
    <t>NAVY CHILDREN SCHOOL</t>
  </si>
  <si>
    <t>CENTRAL BOARD OF SECONDARY EDUCATION , GOA</t>
  </si>
  <si>
    <t>KENDRIYA VIDYALAYA NO 1</t>
  </si>
  <si>
    <t>CENTRAL BOARD OF SECONDARY EDUCATION, GOA</t>
  </si>
  <si>
    <t>PARVATIBAI CHOWGULE COLLEGE OF ARTS AND SCIENCE</t>
  </si>
  <si>
    <t>P25703057</t>
  </si>
  <si>
    <t>YEOLA</t>
  </si>
  <si>
    <t>Chaitanya Mayur Yeola</t>
  </si>
  <si>
    <t>chaitanyayeola9@gmail.com</t>
  </si>
  <si>
    <t>p25703057@student.nicmar.ac.in</t>
  </si>
  <si>
    <t>Playing Cricket and Reading Books,Singing,Learning a new language</t>
  </si>
  <si>
    <t>4221 4537 5755</t>
  </si>
  <si>
    <t>MAYUR YEOLA</t>
  </si>
  <si>
    <t>SUCHITA YEOLA</t>
  </si>
  <si>
    <t>BUSINESS,HOUSEWIFE</t>
  </si>
  <si>
    <t>Dagaji Ajba Patil Nagar, Chaugaon Road,Satana</t>
  </si>
  <si>
    <t>BES'T ENGLISH MEDIUM SCHOOL,SATANA,NASHIK</t>
  </si>
  <si>
    <t>MAHARASHTRA STATE BOARD OF SECONDARY AND HIGHER SECONDARY EDUCATION,NASHIK</t>
  </si>
  <si>
    <t>B.Y.K COLLEGE OF COMMERCE,NASHIK</t>
  </si>
  <si>
    <t>SAVITRIBAI PHULE UNIVERSITY,PUNE</t>
  </si>
  <si>
    <t>MODERN COLLEGE OF ARTS,SCIENCE AND COMMERCE,PUNE</t>
  </si>
  <si>
    <t>Business analytics with Excel: Elementary to Advanced
Getting started with Microsoft office 365</t>
  </si>
  <si>
    <t>P25703058</t>
  </si>
  <si>
    <t>CHHAJED</t>
  </si>
  <si>
    <t>Mohit Harshal Chhajed</t>
  </si>
  <si>
    <t>522mohit.chhajed0908@gmail.com</t>
  </si>
  <si>
    <t>p25703058@student.nicmar.ac.in</t>
  </si>
  <si>
    <t>12-Apr-2003</t>
  </si>
  <si>
    <t>English, Hindi, Marathi, Marwadi, German</t>
  </si>
  <si>
    <t>7650 8995 1069</t>
  </si>
  <si>
    <t>HARSHAL BANSILAL CHHAJED</t>
  </si>
  <si>
    <t>BHARATI HARSHAL CHHAJED</t>
  </si>
  <si>
    <t>PLOT NO: 06, FLAT NO: 101, SHANTAI, CTS2218, VATAN NAGAR, TALEGAON DABHADE, PUNE: 410507</t>
  </si>
  <si>
    <t>KANTILAL SHAH VIDYALAYA</t>
  </si>
  <si>
    <t>NESS WADIA COLLEGE OF COMMERCE, PUNE</t>
  </si>
  <si>
    <t>MS Office,MS Project,Digital Marketing,Power BI,Market Research &amp; Lead Generation,Data Entry and Management,Prompt Engineering,SQL</t>
  </si>
  <si>
    <t>OJASVI LOGISTICS | Business Development Manager | PUNE | Sep 2024 | Aug 2025 | 0Y 11M | 3
TOOLTECH GLOBAL ENGINEERING PVT LTD | Business Development Associate | PUNE | Jun 2024 | Jul 2024 | 0Y 1M | 3.8</t>
  </si>
  <si>
    <t>NESS WADIA COLLEGE OF COMMERCE | PLACEMENT COORDINATOR | PUNE | Jun 2022 | May 2024 | 104.28571428571 Weeks</t>
  </si>
  <si>
    <t>Basic to Advanced Structured Query
Basic to Advanced Microsoft Power BI
Basic to Advanced Microsoft Excel
Digital Marketing
IBM Basics of Business Analysis
Marketing Fundamentals
Operations Management
Negotiations Fundamentals</t>
  </si>
  <si>
    <t>P25703059</t>
  </si>
  <si>
    <t>Divya Ashok Deshmukh</t>
  </si>
  <si>
    <t>deshmukhdivya855@gmail.com</t>
  </si>
  <si>
    <t>p25703059@student.nicmar.ac.in</t>
  </si>
  <si>
    <t>7868 0557 1857</t>
  </si>
  <si>
    <t>ASHOK DESHMUKH</t>
  </si>
  <si>
    <t>NISHA DESHMUKH</t>
  </si>
  <si>
    <t>NICMAR HOSTE PUNE</t>
  </si>
  <si>
    <t>Ram Kuti, Durga Nagar, Nandura</t>
  </si>
  <si>
    <t>ST. ANNS, ENGISH MEDIUM HIGH SCHOOL</t>
  </si>
  <si>
    <t>M. P. KOTHARI JR. COLLEGE , NANDURA</t>
  </si>
  <si>
    <t>MAHATMA PHULE AGRICULTURAL UNIVERSITY</t>
  </si>
  <si>
    <t>SCHOOL OF AGRIBUSINESS MANAGEMENT BARAMATI</t>
  </si>
  <si>
    <t>Syngenta Foundation India  | Banking and Finance Intern  | Pune | May 2026 | Jul 2026 | 8.4285714285714 Weeks | Campus Internship</t>
  </si>
  <si>
    <t>P25703060</t>
  </si>
  <si>
    <t>RAWAL</t>
  </si>
  <si>
    <t>Rawal Jatin Shambhu</t>
  </si>
  <si>
    <t>rawaljatin778@gmail.com</t>
  </si>
  <si>
    <t>p25703060@student.nicmar.ac.in</t>
  </si>
  <si>
    <t>31-Jul-2004</t>
  </si>
  <si>
    <t>Badminton,Cricket,Travel</t>
  </si>
  <si>
    <t>7208 8707 8506</t>
  </si>
  <si>
    <t>SHAMBHU RAWAL</t>
  </si>
  <si>
    <t>KUSUM RAWAL</t>
  </si>
  <si>
    <t>506, Balaji Tower-2, Sutharwad, Vapi</t>
  </si>
  <si>
    <t>SHREE SWAMINARYAN SECONDARY ENGLISH MEDIUM SCHOOL, SALVAV, VAPI</t>
  </si>
  <si>
    <t>ST. FRANCIS' HIGH SCHOOL, VAPI</t>
  </si>
  <si>
    <t>PARUL UNIVERSITY, VADODARA</t>
  </si>
  <si>
    <t>Simplify Home | Marketing Intern | Hyderabad, Telangana | May 2026 | Jun 2026 | 8 Weeks | Campus Internship</t>
  </si>
  <si>
    <t>P25703061</t>
  </si>
  <si>
    <t>ANUP</t>
  </si>
  <si>
    <t>Anup Jaiswal</t>
  </si>
  <si>
    <t>anupjaiswal3969@gmail.com</t>
  </si>
  <si>
    <t>p25703061@student.nicmar.ac.in</t>
  </si>
  <si>
    <t>English and hindi</t>
  </si>
  <si>
    <t>3960 6936 1952</t>
  </si>
  <si>
    <t>DEELIP JAISWAL</t>
  </si>
  <si>
    <t>LATE INDU DEVI</t>
  </si>
  <si>
    <t>Vill + Post Nimej Dist, Buxar Bihar</t>
  </si>
  <si>
    <t>Buxar</t>
  </si>
  <si>
    <t>GYAN JYOTI AWASIYA VIDYALAYA BHOJPUR BIHAR</t>
  </si>
  <si>
    <t>R P S RESIDENTIAL SCHOOL DANAPUR PATNA BIHAR</t>
  </si>
  <si>
    <t>PROF. RAJENDRA SINGH ( RAJJU BHAIYA) UNIVERSITY PRAYAGRAJ UTTAR PRADESH</t>
  </si>
  <si>
    <t>UNITED INSTITUTE OF MANAGEMENT PRAYAGRAJ UTTAR PRADESH</t>
  </si>
  <si>
    <t>Introduction to marketing (university of Pennsylvani - Coursera )
International business (university of new maxico - Coursera)</t>
  </si>
  <si>
    <t>P25703062</t>
  </si>
  <si>
    <t>BANDI</t>
  </si>
  <si>
    <t>NIHARIKA</t>
  </si>
  <si>
    <t>Bandi Niharika</t>
  </si>
  <si>
    <t>niharikabandi.01@gmail.com</t>
  </si>
  <si>
    <t>p25703062@student.nicmar.ac.in</t>
  </si>
  <si>
    <t>29-Jan-2002</t>
  </si>
  <si>
    <t>Playing Badminton,Listening to Music,Photography,Creative Designing,Swimming,Reading Books,Exploring new Technologies,Learning new Languages,Traveling,Participating in Cultural Events</t>
  </si>
  <si>
    <t>2792 1625 0403</t>
  </si>
  <si>
    <t>BANDI NAGU BABU</t>
  </si>
  <si>
    <t>BANDI KAMALA RANI</t>
  </si>
  <si>
    <t>53-16-85/3, K.R.M Colony, Maddilapalem, Near Canara Bank ATM</t>
  </si>
  <si>
    <t>BHASHYAM PUBLIC SCHOOL</t>
  </si>
  <si>
    <t>SRIGAYATRI JUNIOR COLLEGE</t>
  </si>
  <si>
    <t>GAYATRI VIDYA PARISHAD COLLEGE OF ENGINEERING</t>
  </si>
  <si>
    <t>AutoCAD,MS Office,CATIA V5,Adobe Photoshop (PS),Adobe Illustrator (AI),ANSYS,Canva</t>
  </si>
  <si>
    <t>Godrej Properties Limited | Operations - Contracts and Procurement | Chennai - Padur | May 2026 | Jul 2026 | 8.7142857142857 Weeks | Campus Internship</t>
  </si>
  <si>
    <t>Python Basics
AI-ML Virtual Internship
Android Developer Virtual Internship
Robotic Process Automation (RPA)
Al tools and ChatGPT workshop
Salesforce Agentblazer Innovator
Salesforce Agentblazer Champion
Negotiation Fundamentals
Business Analytics with Excel: Elementary to Advanced
Getting started with Microsoft Office 365
International Business I
Operations Management
Negotiation, Mediation, and Conflict Resolution - Capstone Project
Introduction to Marketing</t>
  </si>
  <si>
    <t>P25703063</t>
  </si>
  <si>
    <t>Sneha Singh</t>
  </si>
  <si>
    <t>snehajugnu@gmail.com</t>
  </si>
  <si>
    <t>p25703063@student.nicmar.ac.in</t>
  </si>
  <si>
    <t>18-Dec-2004</t>
  </si>
  <si>
    <t>9056 6798 8487</t>
  </si>
  <si>
    <t>NP SINGH</t>
  </si>
  <si>
    <t>ENGINEERING</t>
  </si>
  <si>
    <t>JUGNU SINGH</t>
  </si>
  <si>
    <t>House No. 16 Maheshpuri Niwaru Road Jhotwara</t>
  </si>
  <si>
    <t>IIS (DEEMED TO BE UNIVERSITY)</t>
  </si>
  <si>
    <t>IIS (DEEMED TO BE UNIVERSITY), JAIPUR, RAJASTHAN</t>
  </si>
  <si>
    <t>P25703064</t>
  </si>
  <si>
    <t>TANUJA</t>
  </si>
  <si>
    <t>KARALE</t>
  </si>
  <si>
    <t>Tanuja Machhindra Karale</t>
  </si>
  <si>
    <t>karaletanuja666@gmail.com</t>
  </si>
  <si>
    <t>p25703064@student.nicmar.ac.in</t>
  </si>
  <si>
    <t>English, Hindi , Maratthi</t>
  </si>
  <si>
    <t>Blogging,Reading Books,Fitness Activities,Trekking,Dancing,Capturing &amp; Editing</t>
  </si>
  <si>
    <t>9106 5386 8291</t>
  </si>
  <si>
    <t>Deolali Pravara,_x000D_
Rahuri,Ahmednagar</t>
  </si>
  <si>
    <t>NEW ENGLISH SCHOOL</t>
  </si>
  <si>
    <t>ATMA MALIK INTERNATIONAL SCHOOL</t>
  </si>
  <si>
    <t>BRIHAN MHARASHTRA COLLEGE OF COMMERCE</t>
  </si>
  <si>
    <t>MS Office,MS Project,Google Analytics,Canva,SEMrush,Ahrefs,Hubspot,WordPress,Hootsuite,Biffer,Zoho CRM,EXCEL</t>
  </si>
  <si>
    <t>BESTLA &amp; INDUSTRIES | MANAGED SEO &amp; SOCIAL MEDIA CAMPAIGNS,CREATED MARKETING CONTENT &amp; ANALYZED PERFORMANCE METRICS | PUNE | May 2025 | Aug 2025 | 16.857142857143 Weeks</t>
  </si>
  <si>
    <t>P25703065</t>
  </si>
  <si>
    <t>BORULE</t>
  </si>
  <si>
    <t>Soham Vilas Borule</t>
  </si>
  <si>
    <t>sohamborule244@gmail.com</t>
  </si>
  <si>
    <t>p25703065@student.nicmar.ac.in</t>
  </si>
  <si>
    <t>02-Apr-2004</t>
  </si>
  <si>
    <t>3475 6972 6423</t>
  </si>
  <si>
    <t>Cha.sambhaji Maharaj Colony, Lonkar Wasti, Keshav Nagar, Mundhwa,pune36.</t>
  </si>
  <si>
    <t>SANE GURUJI SECONDARY SCHOOL</t>
  </si>
  <si>
    <t>PUNE / MAHARASHTRA</t>
  </si>
  <si>
    <t>HARIBHAI V. DESAI COLLEGE PUNE/MAHARASHTRA</t>
  </si>
  <si>
    <t>MS Project,Tally/ advanced Excel</t>
  </si>
  <si>
    <t>P25703066</t>
  </si>
  <si>
    <t>DEV</t>
  </si>
  <si>
    <t>KAMLESH</t>
  </si>
  <si>
    <t>ASHARA</t>
  </si>
  <si>
    <t>Dev Kamlesh Ashara</t>
  </si>
  <si>
    <t>ashradev8888@gmail.com</t>
  </si>
  <si>
    <t>p25703066@student.nicmar.ac.in</t>
  </si>
  <si>
    <t>25-Mar-2003</t>
  </si>
  <si>
    <t>English, Hindi, Gujarati and Marathi</t>
  </si>
  <si>
    <t>9859 7572 8869</t>
  </si>
  <si>
    <t>KAMLESH ISHWARLAL ASHARA</t>
  </si>
  <si>
    <t>PRITI KAMLESH ASHARA</t>
  </si>
  <si>
    <t>A/003 Dhoop Chav Bldg, Ambadi Road Cross, Near Sai Garden, Vasai West,</t>
  </si>
  <si>
    <t>MOUNT CARMEL JUNIOR COLLEGE</t>
  </si>
  <si>
    <t>B.K. SHROFF COLLEGE OF ARTS AND M.H. SHROFF COLLEGE OF COMMERCE</t>
  </si>
  <si>
    <t>other,Excel</t>
  </si>
  <si>
    <t>VANTAGE KNOWLEDGE ACADEMY | BUSINESS DEVELOPMENT EXECUTIVE | ANDHERI, MUMBAI, MAHARASHTRA  | Jan 2025 | Mar 2025 | 8.4285714285714 Weeks</t>
  </si>
  <si>
    <t>Practical Taxation
2D Animation
Life Skills
Ethical Hacking
Investment In Financial Markets Based on Technical Analysis
Microsoft 365
Business Analytics with Excel
Operations Management</t>
  </si>
  <si>
    <t>P25703067</t>
  </si>
  <si>
    <t>SATAKSHI</t>
  </si>
  <si>
    <t>Satakshi Nayak</t>
  </si>
  <si>
    <t>satakshinayak3@gmail.com</t>
  </si>
  <si>
    <t>p25703067@student.nicmar.ac.in</t>
  </si>
  <si>
    <t>17-Sep-2002</t>
  </si>
  <si>
    <t>Yoga / Meditation,Reading books,Research &amp; reading journals,Music (playing an instrument,singing),Creative writing / Poetry,Astrology &amp; Horoscope Study,Numerology Research,Palmistry &amp; Hand Analysis</t>
  </si>
  <si>
    <t>8601 5902 8795</t>
  </si>
  <si>
    <t>VINIT NAYAK</t>
  </si>
  <si>
    <t>SHILPA NAYAK</t>
  </si>
  <si>
    <t>Flat No 306 3rd Floor Ganesh Heritage Swarnjayanti Nagar Bilaspur (C.G)</t>
  </si>
  <si>
    <t>SATAKSHI NAYAK</t>
  </si>
  <si>
    <t>ICSE DURG CHHATTISGARH</t>
  </si>
  <si>
    <t>ATAL BIHARI VAJPAYEE VISHWAVIDHYALA</t>
  </si>
  <si>
    <t>LCIT COLLEGE OF COMMERCE AND SCIENCE</t>
  </si>
  <si>
    <t>ATAL BIHARI VAJPAYEE VISHWAVIDYALAYA BILASPUR</t>
  </si>
  <si>
    <t>Business Analytics with Excel : Elementary to Advanced
Introduction to Marketing
Negotiation Fundamentals
Negotiation,Mediation, and Conflict Resolution - Capstone Project</t>
  </si>
  <si>
    <t>P25703069</t>
  </si>
  <si>
    <t>KAKAD</t>
  </si>
  <si>
    <t>Shruti Kishor Kakad</t>
  </si>
  <si>
    <t>shrutikakad2008@gmail.com</t>
  </si>
  <si>
    <t>p25703069@student.nicmar.ac.in</t>
  </si>
  <si>
    <t>english\hindi\marathi</t>
  </si>
  <si>
    <t>7888 4703 9313</t>
  </si>
  <si>
    <t>KISHOR KAKAD</t>
  </si>
  <si>
    <t>ARCHANA KAKAD</t>
  </si>
  <si>
    <t>At Mangul Post Dagadparwa Tq Barshitakli Dist Akola</t>
  </si>
  <si>
    <t>NOEL SCHOOL CBSE AKOLA</t>
  </si>
  <si>
    <t>SMT . MEHERBANU JUNIOR COLLAGE OF SCIENCE AND COMMERCE</t>
  </si>
  <si>
    <t>SHRI SHIVAJI COLLEGE OF ARTS, COMMERCE AND SCIENCE AKOT, MAHARASHTRA</t>
  </si>
  <si>
    <t>other,Advance Excel</t>
  </si>
  <si>
    <t>Basics of Python
Invesment Banking Job Simulation
Advance Excel</t>
  </si>
  <si>
    <t>P25703070</t>
  </si>
  <si>
    <t>KUSHAGRA</t>
  </si>
  <si>
    <t>Kushagra Singh</t>
  </si>
  <si>
    <t>kushagra.mv@gmail.com</t>
  </si>
  <si>
    <t>p25703070@student.nicmar.ac.in</t>
  </si>
  <si>
    <t>05-Mar-1993</t>
  </si>
  <si>
    <t>8675 2557 5837</t>
  </si>
  <si>
    <t>PRAMOD SINGH</t>
  </si>
  <si>
    <t>PRAMILA SINGH</t>
  </si>
  <si>
    <t>C/o Pramod Singh, Defence Colony, Cantonment, Varanasi</t>
  </si>
  <si>
    <t>Varanasi</t>
  </si>
  <si>
    <t>OP JINDAL SCHOOL</t>
  </si>
  <si>
    <t>CENTRAL BOARD OF SECONDARY EDUCATION, RAIGARH, CHHATTISGARH</t>
  </si>
  <si>
    <t>BHARATI VIDYAPEETH JAWAHARLAL NEHRU INSTITUTE OF TECHNOLOGY, PUNE, MAHARASHTRA</t>
  </si>
  <si>
    <t>BHARATI VIDYAPEETH</t>
  </si>
  <si>
    <t>COLLEGE OF ENGINEERING PUNE, MAHARASHTRA</t>
  </si>
  <si>
    <t>VAUTID India Private Limited | Production Engineer, Sales Coordinator | Pune, Maharashtra | Jun 2020 | Jul 2025 | 5Y 1M | 4.73</t>
  </si>
  <si>
    <t>Jindal Steel and Power limited | Summer Training | Raigarh, Chhattisgarh | May 2014 | Jun 2014 | 3.8571428571429 Weeks</t>
  </si>
  <si>
    <t>Google: Foundations of Project Management</t>
  </si>
  <si>
    <t>P25703071</t>
  </si>
  <si>
    <t>SHASHIKANTH</t>
  </si>
  <si>
    <t>SINGARE</t>
  </si>
  <si>
    <t>Arjun Shashikanth Singare</t>
  </si>
  <si>
    <t>arjunsingare11@gmail.com</t>
  </si>
  <si>
    <t>p25703071@student.nicmar.ac.in</t>
  </si>
  <si>
    <t>21-Jun-2004</t>
  </si>
  <si>
    <t>5484 7843 8750</t>
  </si>
  <si>
    <t>SHASHIKANTH SINGARE</t>
  </si>
  <si>
    <t>GOVERMENT SERVANT</t>
  </si>
  <si>
    <t>YOGITA SINGARE</t>
  </si>
  <si>
    <t>'Mirai' Plot No 1 . Revati Housing Soceity_x000D_
Itkheda, Paithan Road, Aurangabad</t>
  </si>
  <si>
    <t>AGRASEN VIDYA MANDIR</t>
  </si>
  <si>
    <t>MAHARSHTRA STATE BOARD OF SECONDARY AND HIGHER SECONDARY EDUCATION</t>
  </si>
  <si>
    <t>DEOGIRI INSTITUTE OF TECHNOLOGY AND MANAGEMENT STUDIES</t>
  </si>
  <si>
    <t>Maharashtra metro rail corporation limited  | Multi model integration intern  | Pune  | May 2026 | Jul 2026 | 9.7142857142857 Weeks | Campus Internship</t>
  </si>
  <si>
    <t>P25703072</t>
  </si>
  <si>
    <t>ANURAG</t>
  </si>
  <si>
    <t>Anurag Ajit Jadhav</t>
  </si>
  <si>
    <t>anurag.workall@gmail.com</t>
  </si>
  <si>
    <t>p25703072@student.nicmar.ac.in</t>
  </si>
  <si>
    <t>26-Feb-1997</t>
  </si>
  <si>
    <t>Playing Flute,Reading Books,Trekking</t>
  </si>
  <si>
    <t>6638 5568 9354</t>
  </si>
  <si>
    <t>AMITA</t>
  </si>
  <si>
    <t>Room No.1, Kadam Chawl, Jamil Nagar, Bhandup West, Mumbai 400078</t>
  </si>
  <si>
    <t>COSMOS ENGLISH HIGH SCHOOL</t>
  </si>
  <si>
    <t>VPM'S B.N. BANDODKAR COLLEGE OF SCIENCE, THANE</t>
  </si>
  <si>
    <t>ANNASAHEB CHUDAMAN PATIL COLLEGE OF ENGINEERING, KHARGHAR, MAHARASHTRA</t>
  </si>
  <si>
    <t>WSP Consultants India Private Limited | Asst Consultant - HSE | Noida &amp;amp; Mumbai | May 2024 | Jul 2025 | 1Y 1M | 10
Industrial Energy Solutions | HSE Officer | Jamnagar &amp;amp;amp; Surat | Apr 2022 | Apr 2023 | 1Y 0M | 5
GVK Mumbai International Airport Limited | HSE &amp; Maintenance Trainee | Mumbai | Dec 2019 | Dec 2020 | 1Y 0M | 1.2
Sharp Designers &amp; Engineers India Private Limited | HSE Coordinator | Nagaothane &amp; Pune | May 2023 | Dec 2023 | 0Y 6M | 6
Coolpack HVAC Systems Private Limited | Safety Engineer | Mumbai | Dec 2021 | Mar 2022 | 0Y 3M | 2.5</t>
  </si>
  <si>
    <t>International Architecture Trading and Contracting Company/ ITL Al Amara | HSE Officer | Kingdom Of Saudi Arabia | Dec 2023 | Mar 2024 | 11.285714285714 Weeks</t>
  </si>
  <si>
    <t>Safety Trade Validation Certification
First Aid and CPR Approved DISH
ISO 45001 LEAD AUDITOR
NEBOSH International General Certificate</t>
  </si>
  <si>
    <t>P25703073</t>
  </si>
  <si>
    <t>Aditya Chandrashekhar Patil</t>
  </si>
  <si>
    <t>adityapatil1761@gmail.com</t>
  </si>
  <si>
    <t>p25703073@student.nicmar.ac.in</t>
  </si>
  <si>
    <t>17-Jun-2001</t>
  </si>
  <si>
    <t>7550 2277 1349</t>
  </si>
  <si>
    <t>CHANDRASHEKHAR PATIL</t>
  </si>
  <si>
    <t>CHETANA PATIL</t>
  </si>
  <si>
    <t>D-405 SARTTHI SKYBAY PHASE 2, BALEWADI, PUNE</t>
  </si>
  <si>
    <t>Civil Line, Nandura Road, Khamgaon</t>
  </si>
  <si>
    <t>ST. ANNS ENGLISH MEDIUM HIGH SCHOOL</t>
  </si>
  <si>
    <t>LATE MAHARSHI BHASKARRAO SHINGNE COLLEGE</t>
  </si>
  <si>
    <t>DR. D. Y. PATIL COLLEGE OF AGRIBUSINESS MANAGEMENT</t>
  </si>
  <si>
    <t>Centrum wealth Ltd.  | Wealth management intern | Pune | May 2026 | Jun 2026 | 8.1428571428571 Weeks | Campus Internship
Syngenta Foundation India | Intern at IRise Program | Pune | Dec 2023 | Jul 2024 | 32.714285714286 Weeks</t>
  </si>
  <si>
    <t>P25703075</t>
  </si>
  <si>
    <t>APPA</t>
  </si>
  <si>
    <t>Ashok Appa Jagtap</t>
  </si>
  <si>
    <t>ashokjagtap2441@gmail.com</t>
  </si>
  <si>
    <t>p25703075@student.nicmar.ac.in</t>
  </si>
  <si>
    <t>20-Nov-2001</t>
  </si>
  <si>
    <t>5144 9369 7102</t>
  </si>
  <si>
    <t>APPA JAGTAP</t>
  </si>
  <si>
    <t>10TH</t>
  </si>
  <si>
    <t>ANITA JAGTAP</t>
  </si>
  <si>
    <t>AT.Kanhobachiwadi TQ.Shirur Kasar Dist-Beed</t>
  </si>
  <si>
    <t>SARASWATI VIDYALAY KHADGAON LATUR</t>
  </si>
  <si>
    <t>LATUR-MAHARASHTRA</t>
  </si>
  <si>
    <t>BABUJI AVHAD MAHAVIDYALAY PATHARDI AHEMADNAGAR</t>
  </si>
  <si>
    <t>PATHARDI-AHEMADNAGAR-MAHARASHTRA</t>
  </si>
  <si>
    <t>MAHATMA PHULE KRISHI VIDYAPEETH RAHURI</t>
  </si>
  <si>
    <t>DR.D.Y. PATIL COLLEGE OF AGRICULTURE BUSINESS MANAGEMENT AKURDI ,PUNE</t>
  </si>
  <si>
    <t>other,MS-CIT</t>
  </si>
  <si>
    <t>P25703076</t>
  </si>
  <si>
    <t>UPADHYAY</t>
  </si>
  <si>
    <t>Sharad Upadhyay</t>
  </si>
  <si>
    <t>sharadupadhyay52@gmail.com</t>
  </si>
  <si>
    <t>p25703076@student.nicmar.ac.in</t>
  </si>
  <si>
    <t>30-Mar-2003</t>
  </si>
  <si>
    <t>7179 0622 1900</t>
  </si>
  <si>
    <t>DEEPAK UPADHYAY</t>
  </si>
  <si>
    <t>POOJA UPADHYAY</t>
  </si>
  <si>
    <t>Deepapur , Rajatalab , Varanasi , Uttar Pradesh</t>
  </si>
  <si>
    <t>NATIONAL INSTITUTE OF OPEN SCHOOLING , BHADOHI , UTTAR PRADESH</t>
  </si>
  <si>
    <t>M J F PUBLIC SCHOOL</t>
  </si>
  <si>
    <t>MAHATMA GANDHI KASHI VIDYAPITH , VARANASI</t>
  </si>
  <si>
    <t>ASHA MAHAVIDYALAYA , BABATPUR , VARANASI , UTTAR PRADESH</t>
  </si>
  <si>
    <t>Operations Management</t>
  </si>
  <si>
    <t>P25703077</t>
  </si>
  <si>
    <t>PREMPRAKASH</t>
  </si>
  <si>
    <t>Prakash Premprakash Choudhary</t>
  </si>
  <si>
    <t>psaran0698@gmail.com</t>
  </si>
  <si>
    <t>p25703077@student.nicmar.ac.in</t>
  </si>
  <si>
    <t>13-May-2003</t>
  </si>
  <si>
    <t>6088 2634 7024</t>
  </si>
  <si>
    <t>KUNNIDEVI</t>
  </si>
  <si>
    <t>B1/201, Prestige Panorama Society, Manjri Road, Keshavnagar, Pune</t>
  </si>
  <si>
    <t>JAYAWANT PUBLIC SCHOOL</t>
  </si>
  <si>
    <t>MAHARSHTRA STATE BOARD OF SECONDARY AND HIGHER SECONDARY EDUCATION, PUNE</t>
  </si>
  <si>
    <t>LEEAS NUTRA COSMETICS | Sales and Marketing Intern | Pune | May 2022 | Jul 2022 | 8.2857142857143 Weeks
DECATHLON SPORTS INDIA PRIVATE LIMITED | Stock Management and Merchandising Intern | Pune | Jun 2023 | Aug 2023 | 9.1428571428571 Weeks
BLUESTONE JEWELLERY AND LIFESTYLE PVT. LTD. | Sales and Operations Intern | Pune | Jan 2024 | May 2024 | 19.571428571429 Weeks</t>
  </si>
  <si>
    <t>P25703078</t>
  </si>
  <si>
    <t>DOULAT</t>
  </si>
  <si>
    <t>Dhanashri Doulat Jadhav</t>
  </si>
  <si>
    <t>jadhavdhanashri7904@gmail.com</t>
  </si>
  <si>
    <t>p25703078@student.nicmar.ac.in</t>
  </si>
  <si>
    <t>07-Sep-2004</t>
  </si>
  <si>
    <t>Love to serve Animals,Traveling,Bike Riding,Watching movies</t>
  </si>
  <si>
    <t>6299 4766 5932</t>
  </si>
  <si>
    <t>Pusewadi Vasti, A/p Bambawade, Tal-Shirala, Dist-Sangli</t>
  </si>
  <si>
    <t>TAKAVE HIGHSCHOOL, TAKAVE</t>
  </si>
  <si>
    <t>MAHARASHTRA STATE BOARD, KOLHAPUR DIVISIONAL BOARD</t>
  </si>
  <si>
    <t>SHRIMATI KUSUMTAI RAJARAMBAPU PATIL KANYA MAHAVIDYALAYA, ISLAMPUR</t>
  </si>
  <si>
    <t>RAJARAMBAPU INSTITUTE OF TECHNOLOGY, ISLAMPUR MAHARASHTRA</t>
  </si>
  <si>
    <t>MS Office,Excel,Powerpoint,Tally ERP with GST</t>
  </si>
  <si>
    <t>P25703080</t>
  </si>
  <si>
    <t>Siddhesh Sanjay Jadhav</t>
  </si>
  <si>
    <t>siddheshjadhav2324@gmail.com</t>
  </si>
  <si>
    <t>p25703080@student.nicmar.ac.in</t>
  </si>
  <si>
    <t>17-Aug-2003</t>
  </si>
  <si>
    <t>9957 6989 8815</t>
  </si>
  <si>
    <t>JAYSHREE JADHAV</t>
  </si>
  <si>
    <t>Plot No. 27 Padalkar Colony, Kasba Bawda, Kolhapur 416006</t>
  </si>
  <si>
    <t>SHRIMANT MAISAHEB BAVDEKAR VIDYALAYA</t>
  </si>
  <si>
    <t>MAHARASHTRA STATE BOARD OF SECONDARY EDUCATION, PUNE</t>
  </si>
  <si>
    <t>B. M. ROTE JUNIOR COLLEGE</t>
  </si>
  <si>
    <t>MAHARASHTRA STATE BOARD OF HIGHER SECONDARY EDUCATION, PUNE</t>
  </si>
  <si>
    <t>KOLHAPUR INSTITUTE OF TECHNOLOGY'S COLLEGE OF ENGINEERING KOLHAPUR</t>
  </si>
  <si>
    <t>AutoCAD, MS Office, MS Project, PTC Creo (3d Design)</t>
  </si>
  <si>
    <t>Ecoboard Industries Ltd | Procurement Intern | Pune | May 2026 | Jun 2026 | 8 Weeks | Campus Internship
KIrloskar Oil Engines Ltd. | Design Engineer | Kolhapur | Jan 2025 | Apr 2025 | 12.857142857143 Weeks</t>
  </si>
  <si>
    <t>P25703036</t>
  </si>
  <si>
    <t>Vishal Rajendra Pawar</t>
  </si>
  <si>
    <t>p25703036@student.nicmar.ac.in</t>
  </si>
  <si>
    <t>22-Jul-2001</t>
  </si>
  <si>
    <t>9687 4978 0368</t>
  </si>
  <si>
    <t>RAJENDRA PAWAR</t>
  </si>
  <si>
    <t>NANDA PAWAR</t>
  </si>
  <si>
    <t>CLOTHING BUSINESS</t>
  </si>
  <si>
    <t>Tulja Heights Ubha Bazar Sawantwadi</t>
  </si>
  <si>
    <t>R.P.D JR COLLEGE SAWANTWADI</t>
  </si>
  <si>
    <t>PES MODERN COLLEGE OF ENGINEERING PUNE</t>
  </si>
  <si>
    <t>AutoCAD,MS Office,MS Project,EXCEL,powerpoint,power bi</t>
  </si>
  <si>
    <t>Shree Enterprises | GET | pune | Sep 2023 | Sep 2024 | 1Y 0M | 2.16</t>
  </si>
  <si>
    <t>MBA-ENS</t>
  </si>
  <si>
    <t>P25707001</t>
  </si>
  <si>
    <t>SUHAN</t>
  </si>
  <si>
    <t>Kamble Suhan Jagdish</t>
  </si>
  <si>
    <t>suhankamble62@gmail.com</t>
  </si>
  <si>
    <t>p25707001@student.nicmar.ac.in</t>
  </si>
  <si>
    <t>28-Nov-2003</t>
  </si>
  <si>
    <t>2829 2472 7740</t>
  </si>
  <si>
    <t>JAGDISH KAMBLE</t>
  </si>
  <si>
    <t>PROJECT LEAD - (PRIVATE SERVICE)</t>
  </si>
  <si>
    <t>SANDHYA KAMBLE</t>
  </si>
  <si>
    <t>Dattakrupa, Vadgaon Road, In Front Of Ram Mandir, Gurudatta Residency, Alandi Rural, Pune</t>
  </si>
  <si>
    <t>PRIYADARSHANI ENGLISH MEDIUM SCHOOL, ALANDI, PUNE</t>
  </si>
  <si>
    <t>DIPLOMA IN CIVIL ENGINEERING.</t>
  </si>
  <si>
    <t>AISSMS COLLEGE OF POLYTECHNIC, PUNE.</t>
  </si>
  <si>
    <t>SAVITRIBAI PHULE PUNE UNIVERSITY (SPPU)</t>
  </si>
  <si>
    <t>DR. D. Y. PATIL INSTITUTE OF TECHNOLOGY, PIMPRI, PUNE.</t>
  </si>
  <si>
    <t>MS Office,Monitoring &amp; Controlling,Teamwork,Microsoft Excel,Microsoft PowerPoint,Microsoft Word,Financial Fundamentals,Basic financial modelling,Integrate artificial intelligence AI,Life Cycle Assessment (LCA),Carbon &amp; GHG Accounting,Energy &amp; Resource Eff</t>
  </si>
  <si>
    <t>CONSTROLOGIX ENGINEERING &amp; RESEARCH SERVICES PVT. LTD. | JUNIOR QUALITY ENGINEER INTERN | PUNE | Dec 2023 | Jan 2024 | 4 Weeks</t>
  </si>
  <si>
    <t>GHG Accounting &amp; Carbon Accounting
Municipal Solid Waste Management By NPTEL, IIT Guwahati
Career Essentials in Sustainable Tech by Microsoft and LinkedIn
McKinsey Forward Program
SEBI Investor Certification Examination
Water Wastewater Management
Investor Education - Basic
Water and Wastewater Management (SCADA Operating System)</t>
  </si>
  <si>
    <t>P25707002</t>
  </si>
  <si>
    <t>DILIP KUMAR</t>
  </si>
  <si>
    <t>PANDRANKI</t>
  </si>
  <si>
    <t>Dilip Kumar Pandranki</t>
  </si>
  <si>
    <t>dilipkumarpandranki@gmail.com</t>
  </si>
  <si>
    <t>p25707002@student.nicmar.ac.in</t>
  </si>
  <si>
    <t>7349 0033 6944</t>
  </si>
  <si>
    <t>PANDRANKI SURI BABU</t>
  </si>
  <si>
    <t>PANDRANKI NIRMALA</t>
  </si>
  <si>
    <t>8-15, SATTIVANIPALEM VILLAGE, JAGGAYYAPALEM POST, PENDURTHI MANDAL</t>
  </si>
  <si>
    <t>BHASHYAM HIGH SCHOOL</t>
  </si>
  <si>
    <t>GOVT. POLYTECHNIC-VISHAKHAPATNAM</t>
  </si>
  <si>
    <t>JAWAHARLAL NEHRU TECHNOLOGICAL UNIVERSITY GURAJADA, VIZIANAGARAM</t>
  </si>
  <si>
    <t>VIGNAN'S INSTITUTE OF INFORMATION TECHNOLOGY, VISAKHAPATNAM</t>
  </si>
  <si>
    <t>AutoCAD,MS Office,REVIT,SKETCHUP,V-RAY,SimaPro,OpenLCA</t>
  </si>
  <si>
    <t>GREENEX ENVIRONMENTAL PRIVATE LIMITED | ESG &amp; Sustainability Intern | Pune | May 2026 | Jul 2026 | 8.5714285714286 Weeks | Campus Internship
SAMVID PROJECT SOLUTIONS PRIVATE LIMITED | TRANIEE ENGINEER (CIVIL &amp; STRUCTURAL) | VISAKHAPATNAM | Jul 2023 | Apr 2024 | 36.857142857143 Weeks</t>
  </si>
  <si>
    <t>AutoCad
Workshop on GHG Accounting &amp; Carbon Accounting - Nicmar University
Introduction to ESG
IGBC Accredited Professional - Associate
Revit Software</t>
  </si>
  <si>
    <t>P25707003</t>
  </si>
  <si>
    <t>DROUPADA</t>
  </si>
  <si>
    <t>BABASO</t>
  </si>
  <si>
    <t>MULIK</t>
  </si>
  <si>
    <t>Droupada Babaso Mulik</t>
  </si>
  <si>
    <t>droupadamulik@gmail.com</t>
  </si>
  <si>
    <t>p25707003@student.nicmar.ac.in</t>
  </si>
  <si>
    <t>08-Dec-1999</t>
  </si>
  <si>
    <t>Volunteering in Social Activities (Social Work),Reading,Travelling,Photography</t>
  </si>
  <si>
    <t>8130 9895 3360</t>
  </si>
  <si>
    <t>BABASO PANDURANG MULIK</t>
  </si>
  <si>
    <t>MEENABAI BABASO MULIK</t>
  </si>
  <si>
    <t>401 PARINEETA. LANE 5B, RIGHT BHUSARI COLONY. 38, KOTHRUD, PUNE, PIN 411 038</t>
  </si>
  <si>
    <t>308 Main Road, Shivajinagar, Taluka: Kadegaon</t>
  </si>
  <si>
    <t>MAHATMA GANDHI VIDYALAYA, KADEGAON</t>
  </si>
  <si>
    <t>TILAK HIGHSCHOOL AND JR. COLLEGE, KARAD</t>
  </si>
  <si>
    <t>AISSMS COLLEGE OF ENGINEERING, PUNE</t>
  </si>
  <si>
    <t>AutoCAD,MS Office,MS Project,LEAN Six-SIgma,SimaPro,Open LCA,Carbon Accounting</t>
  </si>
  <si>
    <t>Ecosan Services Foundation | Project Associate | Karve Nagar, Pune | Jan 2025 | Jun 2025 | 0Y 5M | 2.5
Innovela Building Solutions | Jr. Detailer (Trainee) | Koregaon Park, Pune | Apr 2024 | Oct 2024 | 0Y 6M | 1.92</t>
  </si>
  <si>
    <t>Greenex Environmental | INTERN | Pune | May 2026 | Jul 2026 | 8.5714285714286 Weeks | Campus Internship
TEMBHU LIFT IRRIGATION DEPARTMENT, GOVERNMENT OF MAHARASHTRA, | INTERN | KADEPUR | Jan 2022 | Feb 2022 | 4.5714285714286 Weeks
DESAI INFRA PROJECTS (INDIA) PVT.LTD. | INTERN | KARAD (SURLI) | Nov 2020 | Dec 2020 | 2.1428571428571 Weeks</t>
  </si>
  <si>
    <t>AutoCAD 2D-3D Certificate
McKinsey org forward learning program
GHG Accounting and Carbon Accounting
LEAN SIX SIGMA YELLOW BELT- DMADV (Pursullence)
Safety In Construction Industry 84/100</t>
  </si>
  <si>
    <t>P25707004</t>
  </si>
  <si>
    <t>NEETU</t>
  </si>
  <si>
    <t>VINU</t>
  </si>
  <si>
    <t>KOSHY</t>
  </si>
  <si>
    <t>Neetu Vinu Koshy</t>
  </si>
  <si>
    <t>neetuvkn@gmail.com</t>
  </si>
  <si>
    <t>p25707004@student.nicmar.ac.in</t>
  </si>
  <si>
    <t>05-Feb-1997</t>
  </si>
  <si>
    <t>English,hindi,Malayalam</t>
  </si>
  <si>
    <t>5411 3084 4474</t>
  </si>
  <si>
    <t>VINU C KOSHY</t>
  </si>
  <si>
    <t>CHIEF ENGINEER</t>
  </si>
  <si>
    <t>SHINY VINU KOSHY</t>
  </si>
  <si>
    <t>48/1862A Grameena Vayensala Road Chalikavattom Vytilla Ernakulam Kochi Kerala-682019</t>
  </si>
  <si>
    <t>TOC-H PUBLIC SCHOOL</t>
  </si>
  <si>
    <t>MAR BASELIOS COLLEGE OF ENGINEERING AND TECHNOLOGY</t>
  </si>
  <si>
    <t>Aarvee Associates | Trainee Engineer | Kochi | Mar 2023 | May 2024 | 1Y 2M | 2.7
KEC international Limited | Engineer-Planning | Kochi | May 2022 | Jan 2023 | 0Y 8M | 3</t>
  </si>
  <si>
    <t>Kochi Metro Rail Limited | student | kochi | Jul 2018 | Jul 2018 | 0.28571428571429 Weeks
L&amp;T India | student | kochi | Jul 2016 | Jul 2016 | 0.85714285714286 Weeks</t>
  </si>
  <si>
    <t>NPTEL</t>
  </si>
  <si>
    <t>P25707005</t>
  </si>
  <si>
    <t>VISHWAS</t>
  </si>
  <si>
    <t>CHUKKI</t>
  </si>
  <si>
    <t>Vishwas Chukki</t>
  </si>
  <si>
    <t>vchukki@gmail.com</t>
  </si>
  <si>
    <t>p25707005@student.nicmar.ac.in</t>
  </si>
  <si>
    <t>English,Kannada,Hindi,Telugu</t>
  </si>
  <si>
    <t>4751 8221 8819</t>
  </si>
  <si>
    <t>UMAPATI CHUKKI</t>
  </si>
  <si>
    <t>SUJATHA CHUKKI</t>
  </si>
  <si>
    <t>#2/34 Shivakrupa, Near Eshwara Temple, Sirwar, 584129</t>
  </si>
  <si>
    <t>PSSEMR SCHOOL</t>
  </si>
  <si>
    <t>DAVANAGERE</t>
  </si>
  <si>
    <t>MASVS GURUKUL PU COLLEGE</t>
  </si>
  <si>
    <t>MYSURU</t>
  </si>
  <si>
    <t>MYSURU UNIVERSITY</t>
  </si>
  <si>
    <t>EHSCPL | INTERN | BENGALURU  | Dec 2023 | Apr 2024 | 20.571428571429 Weeks</t>
  </si>
  <si>
    <t>P25707007</t>
  </si>
  <si>
    <t>HARI VENKATARAO</t>
  </si>
  <si>
    <t>GEDDADA</t>
  </si>
  <si>
    <t>Hari Venkatarao Geddada</t>
  </si>
  <si>
    <t>geddadaharivenkatarao@gmail.com</t>
  </si>
  <si>
    <t>p25707007@student.nicmar.ac.in</t>
  </si>
  <si>
    <t>11-Oct-2002</t>
  </si>
  <si>
    <t>English, Telugu, Hindi</t>
  </si>
  <si>
    <t>9746 6407 5076</t>
  </si>
  <si>
    <t>GEDDADA CHAKRAVARTHY</t>
  </si>
  <si>
    <t>GEDDADA SYAMALA</t>
  </si>
  <si>
    <t>HOUSE WIFE9</t>
  </si>
  <si>
    <t>9-104, Geddada Vari Veedhi, Seetharamapuram, Tallarevu Mandal, Koringa(PO)</t>
  </si>
  <si>
    <t>Z P P HIGH SCHOOL</t>
  </si>
  <si>
    <t>VIGNAN'S UNIVERSITY</t>
  </si>
  <si>
    <t>VIGNAN'S FOUNDATION FOR SCIENCE, TECHNOLOGY &amp; RESEARCH, GUNTUR, ANDHRA PRADESH</t>
  </si>
  <si>
    <t>MS Office,CMG</t>
  </si>
  <si>
    <t>Govardhan EcoVillage | Intern - ESG &amp; Sustainability | Galtare, Palghar, Maharashtra  | May 2026 | Jul 2026 | 9.7142857142857 Weeks | Campus Internship
COROMANDEL INTERNATIONAL LTD | E.H.S INTERN | VISAKHAPATNAM | Jan 2024 | May 2024 | 17 Weeks</t>
  </si>
  <si>
    <t>GHG Accounting and Carbon Accounting - NICMAR UNIVERSITY,Pune
Introduction to ESG - CFI
Introduction to Greenhouse Gas Accounting for IT - CISCO
CSRD FUNDAMENTALS (Level-1) - CSRD INSTITUTE</t>
  </si>
  <si>
    <t>P25707008</t>
  </si>
  <si>
    <t>K S</t>
  </si>
  <si>
    <t>Sreelakshmi K S</t>
  </si>
  <si>
    <t>sreelakshmiks440@gmail.com</t>
  </si>
  <si>
    <t>p25707008@student.nicmar.ac.in</t>
  </si>
  <si>
    <t>13-Mar-1998</t>
  </si>
  <si>
    <t>8534 4029 5105</t>
  </si>
  <si>
    <t>SOMAN K K</t>
  </si>
  <si>
    <t>LIJI P K</t>
  </si>
  <si>
    <t>Sreelakshmi KS, Pavatte House, P O Polppakkara, Edappal, Malappuram , Kerala</t>
  </si>
  <si>
    <t>A V H S PONNANI</t>
  </si>
  <si>
    <t>GOVERNMENT HIGHER SECONDARY SCHOOL, THRIKKAVU</t>
  </si>
  <si>
    <t>BOARD OF HIGHER SECONDARY EXAMINATIONS, THIRUVANANTHAPURAM / KERALA</t>
  </si>
  <si>
    <t>APJ ABDUL KALAM TECHNOLOGICAL  UNIVERSITY</t>
  </si>
  <si>
    <t>NSS COLLEGE OF ENGINEERING , PALAKKAD</t>
  </si>
  <si>
    <t>other,VSCODE,FIGMA,UI/UX DESIGN</t>
  </si>
  <si>
    <t>Infosys Limited | Technology Analyst | Mysore | Jan 2021 | Apr 2024 | 3Y 2M | 4.5</t>
  </si>
  <si>
    <t>ClimatEnlighten LLP | Research &amp; Curriculum Development Intern | Remote | May 2026 | Jul 2026 | 9.7142857142857 Weeks | Campus Internship
COSTFORD - CENTRE OF SCIENCE AND TECHNOLOGY FOR RURAL DEVELOPMENT | CIVIL ENGINEERING INTERN | THRISSUR | Jul 2017 | Jul 2017 | 0.57142857142857 Weeks</t>
  </si>
  <si>
    <t>ESG Essentials : Navigating Sustainable Business Practices
NPTEL: Municipal Solid Waste Management
NPTEL-Carbon Accounting and Sustainable Designs in  Product Lifecycle Management
ESG Reporting : TheESGInstitute
ESG Essentials for Sustainable Business Coursera
Skill enhancement workshop on LCA
Introduction to Generative AI in Human Resources
Understanding Research Methods</t>
  </si>
  <si>
    <t>P25707011</t>
  </si>
  <si>
    <t>AVANTHIKA</t>
  </si>
  <si>
    <t>SRIRAM</t>
  </si>
  <si>
    <t>Avanthika Sriram</t>
  </si>
  <si>
    <t>avanthika.3762@gmail.com</t>
  </si>
  <si>
    <t>p25707011@student.nicmar.ac.in</t>
  </si>
  <si>
    <t>24-Dec-2002</t>
  </si>
  <si>
    <t>English, Hindi, Tamil, German</t>
  </si>
  <si>
    <t>3923 3963 4786</t>
  </si>
  <si>
    <t>S N SRIRAM</t>
  </si>
  <si>
    <t>REGIONAL MANAGER</t>
  </si>
  <si>
    <t>SRIRANJANI SRIRAM</t>
  </si>
  <si>
    <t>78-79,5th Cross Street
Heritage Jayendra Nagar Sembakkam</t>
  </si>
  <si>
    <t>SRI KANCHI MAHASWAMI VIDYA MANDIR</t>
  </si>
  <si>
    <t>CBSE,CHENNAI, TAMIL NADU</t>
  </si>
  <si>
    <t>UNIVERSITY OF MADRAS</t>
  </si>
  <si>
    <t>M.O.P VAISHNAV COLLEGE FOR WOMEN(AUTONOMOUS)</t>
  </si>
  <si>
    <t>MS Office,Python Pandas,PowerBI,Data Analysis</t>
  </si>
  <si>
    <t>Bhoomi Network | Nature Educator, Teach for Nature Fellowship | Bangalore | May 2024 | Mar 2025 | 0Y 10M | 2.4</t>
  </si>
  <si>
    <t>Superform, UPL | Sustainability Intern | Turbhe, Navi Mumbai | May 2026 | Jul 2026 | 8.5714285714286 Weeks | Campus Internship</t>
  </si>
  <si>
    <t>Foundation Level in Programming and Data Science
Diploma in Data Science
Municipal Solid Waste Management</t>
  </si>
  <si>
    <t>P25707012</t>
  </si>
  <si>
    <t>PRIYANKA</t>
  </si>
  <si>
    <t>PANDUCHE</t>
  </si>
  <si>
    <t>Priyanka Subhash Panduche</t>
  </si>
  <si>
    <t>priyankapanduche@gmail.com</t>
  </si>
  <si>
    <t>p25707012@student.nicmar.ac.in</t>
  </si>
  <si>
    <t>24-Jul-2004</t>
  </si>
  <si>
    <t>4583 7880 1469</t>
  </si>
  <si>
    <t>SUBHASH PUNDLIK PANDUCHE</t>
  </si>
  <si>
    <t>SUJATA SUBHASH PANDUCHE</t>
  </si>
  <si>
    <t>Choudhary Wasti Shanti Nagar Kharadi</t>
  </si>
  <si>
    <t>ALL INDIA SHRI SHIVAJI MEMORIAL SOCIETY COLLEGE OF POLYTECHNIC - PUNE</t>
  </si>
  <si>
    <t>D.Y PATIL SCHOOL OF ENGINEERING AND TECHNOLOGY</t>
  </si>
  <si>
    <t>Pune Municipal Corporation | Junior Engineer  | Shivajinagar | Oct 2024 | Mar 2025 | 25.857142857143 Weeks
Sai Construction | Intern-Junior Site engineer  | Charholi, Lohegaon  | Jan 2024 | Jan 2024 | 4.2857142857143 Weeks</t>
  </si>
  <si>
    <t>Waster and Wastewater Management
GHG accounting and Carbon Accounting</t>
  </si>
  <si>
    <t>P25707013</t>
  </si>
  <si>
    <t>SONAR</t>
  </si>
  <si>
    <t>Shravani Sonar</t>
  </si>
  <si>
    <t>shrovsonar2@gmail.com</t>
  </si>
  <si>
    <t>p25707013@student.nicmar.ac.in</t>
  </si>
  <si>
    <t>11-Jul-2000</t>
  </si>
  <si>
    <t>3227 9594 2431</t>
  </si>
  <si>
    <t>SANJAY KUMAR SONAR</t>
  </si>
  <si>
    <t>PRIVATE JOB SERVICE</t>
  </si>
  <si>
    <t>SUMA SONAR</t>
  </si>
  <si>
    <t>C2/78-C, LAWRENCE ROAD, KESHAV PURAM</t>
  </si>
  <si>
    <t>264/1A, Gali No. 12, Than Singh Nagar, Anand Parvat</t>
  </si>
  <si>
    <t>RAMJAS SCHOOL, ANAND PRAVAT</t>
  </si>
  <si>
    <t>RAMJAS SCHOOL, ANAND PARVAT</t>
  </si>
  <si>
    <t>AMITY SCHOOL OF ARCHITECTURE AND PLANNING</t>
  </si>
  <si>
    <t>MS Office,ArcGIS</t>
  </si>
  <si>
    <t>Confederation of Indian Industry | Intern | NEW DELHI | Aug 2024 | Oct 2024 | 13 Weeks
Confederation of Indian Industry | Intern | NEW DELHI | Oct 2023 | Mar 2024 | 21.714285714286 Weeks
Jana Urban Services for Transformation | Intern | NEW DELHI | Jun 2022 | Aug 2022 | 13 Weeks</t>
  </si>
  <si>
    <t>P25707014</t>
  </si>
  <si>
    <t>SUDARSHAN</t>
  </si>
  <si>
    <t>SUKHALAL</t>
  </si>
  <si>
    <t>Sudarshan Sukhalal Desai</t>
  </si>
  <si>
    <t>sudarshandessai1@gmail.com</t>
  </si>
  <si>
    <t>p25707014@student.nicmar.ac.in</t>
  </si>
  <si>
    <t>05-Apr-2003</t>
  </si>
  <si>
    <t>English, Hindi, Marathi, Konkani</t>
  </si>
  <si>
    <t>6160 9904 6330</t>
  </si>
  <si>
    <t>SUKHALAL DESAI</t>
  </si>
  <si>
    <t>SHRIMANTINI DESAI</t>
  </si>
  <si>
    <t>House No. 172, Betki Borim Ponda Goa</t>
  </si>
  <si>
    <t>GVM'S PRAGATI VIDYALAYA BORIM</t>
  </si>
  <si>
    <t>GVM'S SHRIMATI NELLY JOILDO AGUIAR HIGHER SECONDARY SCHOOL</t>
  </si>
  <si>
    <t>NATIONAL INSTITUTE OF TECHNOLOGY, GOA</t>
  </si>
  <si>
    <t>Oracle Primavera P6, openLCA, One Click LCA, SimaPro, AutoCAD, MS Office, MS Project, ArcGIS, ETABS, C, C++</t>
  </si>
  <si>
    <t>HyOn Energy | Sustainability Intern | Remote | May 2026 | Jul 2026 | 8.7142857142857 Weeks | Campus Internship
Aarvee Constructions | Site Engineer Intern | Margao Goa | Jun 2023 | Jul 2023 | 7 Weeks</t>
  </si>
  <si>
    <t>Environmental Impact Assessment
Sustainable Engineering Concepts and Life Cycle Analysis
Municipal Solid Waste Management</t>
  </si>
  <si>
    <t>P25707015</t>
  </si>
  <si>
    <t>Tanishq Rawal</t>
  </si>
  <si>
    <t>tanishqrawal1996@gmail.com</t>
  </si>
  <si>
    <t>p25707015@student.nicmar.ac.in</t>
  </si>
  <si>
    <t>11-Oct-1996</t>
  </si>
  <si>
    <t>8632 1442 5209</t>
  </si>
  <si>
    <t>SANJAY KUMAR SINGH</t>
  </si>
  <si>
    <t>PHYSICS PROFESSOR</t>
  </si>
  <si>
    <t>ARCHANA SINGH</t>
  </si>
  <si>
    <t>531/9, Jagriti Vihar , Meerut</t>
  </si>
  <si>
    <t>Meerut</t>
  </si>
  <si>
    <t>ST MARY'S CONVENT SCHOOL, GAJRAULA , JP NAGAR, UP</t>
  </si>
  <si>
    <t>CBSE , GAJRAULA (JP NAGAR) , UTTAR PRADESH</t>
  </si>
  <si>
    <t>CBSE , GREATER NOIDA GB NAGAR ,UTTAR PRADESH</t>
  </si>
  <si>
    <t>SHIV NADAR UNIVERSITY</t>
  </si>
  <si>
    <t>SHIV NADAR UNIVERSITY , NH-91 , TEHSIL DADRI ,GB NAGAR , UTTAR PRADESH , 201314</t>
  </si>
  <si>
    <t>AutoCAD,MS Office,REVIT 3D,MS EXCEL,MS POWERPOINT</t>
  </si>
  <si>
    <t>Jai Jagannath infratech india private limited | Assistant Engineer  | Bhopal | Jun 2019 | Apr 2020 | 0Y 10M | 2.64
R. Krishnamurthy and Corporations Engineering Contractors | Site Engineer  | Chennai | Mar 2023 | Feb 2024 | 0Y 11M | 3.6
Cube highways technologies private limited | Engineer - Technical Due deligence and project management  | Jaipur  | Sep 2024 | Feb 2025 | 0Y 4M | 5.8</t>
  </si>
  <si>
    <t>Cube highways technologies private limited company | Engineer -technical due diligence and project management  | Jaipur | Mar 2024 | Sep 2024 | 27.571428571429 Weeks</t>
  </si>
  <si>
    <t>P25707016</t>
  </si>
  <si>
    <t>SHRUTHIKA</t>
  </si>
  <si>
    <t>AJITH</t>
  </si>
  <si>
    <t>Shruthika Ajith</t>
  </si>
  <si>
    <t>shruthikaajith2003@gmail.com</t>
  </si>
  <si>
    <t>p25707016@student.nicmar.ac.in</t>
  </si>
  <si>
    <t>English, Hindi, Malayalam, Tamil, Korean (Basics), Spanish (Basics)</t>
  </si>
  <si>
    <t>2505 3811 2535</t>
  </si>
  <si>
    <t>AJITH M</t>
  </si>
  <si>
    <t>JOINT CONTROLLER OF PATENTS AND DESIGNS</t>
  </si>
  <si>
    <t>RAGEELA AJITH</t>
  </si>
  <si>
    <t>E54, TVS EMERALD PENINSULA, SN0.3 CAUVERY STREET, MANAPAKKAM, CHENNAI-600125</t>
  </si>
  <si>
    <t>KENDRIYA VIDYALAYA MINAMBAKKAM</t>
  </si>
  <si>
    <t>CBSE, CHENNAI, TAMILNADU</t>
  </si>
  <si>
    <t>NARAYANA E-TECHNO SCHOOL, POONAMALEE</t>
  </si>
  <si>
    <t>SRM EASWARI ENGINEERING COLLEGE, CHENNAI</t>
  </si>
  <si>
    <t>AutoCAD,MS Office,REVIT,TEKLA,ETABS,SAFE,CET EXTENSION,OpenLCA,OneClick LCA,Simapro</t>
  </si>
  <si>
    <t>RIVERSTONE TECH | DESIGN ENGINEER | CHENNAI | May 2024 | Jul 2025 | 1Y 2M | 3.5</t>
  </si>
  <si>
    <t>NATIONAL INSTITUTE OF TECHNOLOGY, CALICUT | RESEARCH INTERN | CALICUT | Jun 2023 | Jul 2023 | 4.1428571428571 Weeks
Indian Patent Office (CGPDTM) | Intern | online | Nov 2025 | Dec 2025 | 4.8571428571429 Weeks
AUGER ENGINEERS | SUSTAINABILITY INTERN | CHENNAI | Feb 2024 | Apr 2024 | 8.5714285714286 Weeks
Larsen and Toubro | Environmental Intern | Manapakkam, Chennai | May 2026 | Jul 2026 | 9.1428571428571 Weeks</t>
  </si>
  <si>
    <t>P25707017</t>
  </si>
  <si>
    <t>R S</t>
  </si>
  <si>
    <t>Karthik R S</t>
  </si>
  <si>
    <t>karthikrs071198@gmail.com</t>
  </si>
  <si>
    <t>p25707017@student.nicmar.ac.in</t>
  </si>
  <si>
    <t>07-Nov-1998</t>
  </si>
  <si>
    <t>6862 5927 2191</t>
  </si>
  <si>
    <t>SHIVAKUMAR R C</t>
  </si>
  <si>
    <t>JAYASHREE G</t>
  </si>
  <si>
    <t>Rajaghatta , Doddaballapur Taluk.</t>
  </si>
  <si>
    <t>CARMEL JYOTHI ENGLISH HIGH SCHOOL</t>
  </si>
  <si>
    <t>VIJAYA BIFR PU COLLEGE</t>
  </si>
  <si>
    <t>DEPARTMENT OF PRE - UNIVERSITY EDUCATION , KARNATAKA</t>
  </si>
  <si>
    <t>R.V. COLLEGE OF ENGINEERING , KARNATAKA</t>
  </si>
  <si>
    <t>MS Office,Advance Excel,Power BI,Python</t>
  </si>
  <si>
    <t>Sambodhi Research and Communications Private Limited | Research Associate | Bengaluru | Nov 2023 | Mar 2024 | 17.285714285714 Weeks
Rajneethi Management Consultancy | Consultant | Bengaluru | Apr 2024 | Jan 2025 | 41.857142857143 Weeks</t>
  </si>
  <si>
    <t>Carbon Accounting and Sustainable Designs in Product Lifecycle Management(NPTEL)</t>
  </si>
  <si>
    <t>P25707018</t>
  </si>
  <si>
    <t>SANIKA</t>
  </si>
  <si>
    <t>BIDKAR</t>
  </si>
  <si>
    <t>Sanika Bharat Bidkar</t>
  </si>
  <si>
    <t>sanikabbidkar@gmail.com</t>
  </si>
  <si>
    <t>p25707018@student.nicmar.ac.in</t>
  </si>
  <si>
    <t>Dance,Debating,Traveling,Photography,Team sports,Drawing and Sketching</t>
  </si>
  <si>
    <t>8588 9689 6951</t>
  </si>
  <si>
    <t>C203, Karveer Nagar CHS, S.N.Dubey Road, Rawalpada, Dahisar East, Mumbai-400068</t>
  </si>
  <si>
    <t>ST. THOMAS HIGH SCHOOL, MUMBAI, MAHARASHTRA</t>
  </si>
  <si>
    <t>MAHARASHTRA STATE BOARD OF SECONDARY AND HIGHER SECONDARY EDUCATION, PUNE, MAHARSHTRA</t>
  </si>
  <si>
    <t>BHAVANS COLLEGE, ANDHERI, MUMBAI, MAHARASHTRA</t>
  </si>
  <si>
    <t>SARDAR PATEL COLLEGE OF ENGINEERING, ANDHERI, MUMBAI, MAHARASHTRA</t>
  </si>
  <si>
    <t>AutoCAD,MS Office,SimaPro,OpenLca,OneClickLca</t>
  </si>
  <si>
    <t>P25707021</t>
  </si>
  <si>
    <t>GULAVANI</t>
  </si>
  <si>
    <t>Ruturaj Manish Gulavani</t>
  </si>
  <si>
    <t>ruturajgulvani99@gmail.com</t>
  </si>
  <si>
    <t>p25707021@student.nicmar.ac.in</t>
  </si>
  <si>
    <t>01-Jul-2002</t>
  </si>
  <si>
    <t>7004 9204 4051</t>
  </si>
  <si>
    <t>MANISH GOPAL GULAVANI</t>
  </si>
  <si>
    <t>SWATI MANISH GULAVANI</t>
  </si>
  <si>
    <t>A/p Majre Karve Tal-chandgad Dist-kolhapur</t>
  </si>
  <si>
    <t>MAHATMA FULE VIDYALAYA KARVE , TAL-CHANDGAD</t>
  </si>
  <si>
    <t>SECONDARY SCHOOL EDUCATION PUNE, MAHARASHTRA</t>
  </si>
  <si>
    <t>GU. M. B. TUPRE JR. COLLEGE KARVE TAL-CHANDGAD</t>
  </si>
  <si>
    <t>HIGHER SECONDARY EDUCATION PUNE, MAHARASHTRA</t>
  </si>
  <si>
    <t>KOLHAPUR INSTITUTE OF TECHNOLOGY ECHNOLOGY KOLHAPUR, MAHARASHTRA</t>
  </si>
  <si>
    <t>MS Office, SimaPro,OneClick, Open LCA</t>
  </si>
  <si>
    <t>Greenex Environmental Private limited | ESG &amp; Sustainable Intern | Pune | May 2026 | Jul 2026 | 8.5714285714286 Weeks | Campus Internship
ANTHEM BIOSCIENCES LIMITED, BANGLORE | INTERN IN ETP | BANGLORE  | Jan 2025 | Mar 2025 | 8.2857142857143 Weeks</t>
  </si>
  <si>
    <t>P25707022</t>
  </si>
  <si>
    <t>ANAKHA</t>
  </si>
  <si>
    <t>Anakha P</t>
  </si>
  <si>
    <t>anakhap2002@gmail.com</t>
  </si>
  <si>
    <t>p25707022@student.nicmar.ac.in</t>
  </si>
  <si>
    <t>26-Nov-2002</t>
  </si>
  <si>
    <t>4608 6754 1715</t>
  </si>
  <si>
    <t>RAJESH P</t>
  </si>
  <si>
    <t>SENIOR VETERINARY SURGEON</t>
  </si>
  <si>
    <t>SUNANDA A</t>
  </si>
  <si>
    <t>Pournami, Sundara Iyer Road, Ottapalam, Palakkad, Kerala 679101</t>
  </si>
  <si>
    <t>NSS COLLEGE OF ENGINEERING, PALAKKAD, KERALA</t>
  </si>
  <si>
    <t>AutoCAD,MS Office,MS Project,SimaPro,QGIS,Staad-Pro,MS Excel</t>
  </si>
  <si>
    <t>HyOn Energy  | Sustainability Intern  | Work from home | May 2026 | Jul 2026 | 8.7142857142857 Weeks | Campus Internship
CENTRE OF SUSTAINABLE TECHNOLOGIES, INDIAN INSTITUTE OF SCIENCE | RESEARCH INTERN | BANGALORE | May 2025 | Jul 2025 | 9.5714285714286 Weeks
KERALA IRRIGATION DEPARTMENT | STUDENT INTERN | KERALA | May 2023 | May 2023 | 0.71428571428571 Weeks
SOUTHERN RAILWAYS - PALAKKAD SUB DIVISION | STUDENT INTERN | KERALA | Jun 2024 | Jun 2024 | 0.57142857142857 Weeks</t>
  </si>
  <si>
    <t>Project Management Fundamentals - IBM
Expertise Design Thinking Practitioner - IBM
ESG and Climate Change - Coursera
Introduction to ESG - Project Management Institute
Sustainability and Corporate ESG â€“ Reliance Foundation Skilling Academy, Skill India Digital Hub
Sustainable Transportation Systems- NPTEL, IIT ROORKEE
LCA Beginner - Ecochain</t>
  </si>
  <si>
    <t>P25707023</t>
  </si>
  <si>
    <t>Tejas Ganesh Sonawane</t>
  </si>
  <si>
    <t>t.sonawane2703@gmail.com</t>
  </si>
  <si>
    <t>p25707023@student.nicmar.ac.in</t>
  </si>
  <si>
    <t>27-Mar-2002</t>
  </si>
  <si>
    <t>7313 7963 6306</t>
  </si>
  <si>
    <t>GANESH MADHUKAR SONAWANE</t>
  </si>
  <si>
    <t>BHAWANA GANESH SONAWANE</t>
  </si>
  <si>
    <t>SAISIDH HOUSING SOCIETY NEAR MINI MARKET M.PHULE NAGAR CHINCHWAD PUNE</t>
  </si>
  <si>
    <t>49A, Sant Sena Nagar Deopur Dhule Mahashtra</t>
  </si>
  <si>
    <t>SHRI EKVIRA DEVI HIGHSCHOOL DEOPUR DHULE</t>
  </si>
  <si>
    <t>SSVPS BSD POLYTECHNIC DHULE</t>
  </si>
  <si>
    <t>DR. D.Y. PATIL INSTITUTE OF ENGINEERING, MANAGEMENT AND RESEARCH AKURDI PUNE</t>
  </si>
  <si>
    <t>AutoCAD,MS Office,Catia,AIML</t>
  </si>
  <si>
    <t>BEE Inc. | Jr. Project Engineer | Pimpri, Pune | Jul 2023 | Jul 2025 | 2Y 0M | 4.7</t>
  </si>
  <si>
    <t>NAOMI MANUFACTURING INDIA PVT. LTD. | INTERN | BHOSARI, PUNE | Dec 2021 | Jan 2022 | 4.4285714285714 Weeks
HIMALAYA SPARKLE | INTERN | DHULE | May 2019 | Jul 2019 | 8.7142857142857 Weeks</t>
  </si>
  <si>
    <t>LEED Green Associate</t>
  </si>
  <si>
    <t>P25707024</t>
  </si>
  <si>
    <t>SANKHE</t>
  </si>
  <si>
    <t>Om Roshan Sankhe</t>
  </si>
  <si>
    <t>omsankhe7@gmail.com</t>
  </si>
  <si>
    <t>p25707024@student.nicmar.ac.in</t>
  </si>
  <si>
    <t>23-Jul-2003</t>
  </si>
  <si>
    <t>4972 3638 1799</t>
  </si>
  <si>
    <t>ROSHAN PRABHAKAR SANKHE</t>
  </si>
  <si>
    <t>RICHA ROSHAN SANKHE</t>
  </si>
  <si>
    <t>LAKSHMI GANAPATI BOYS PG, PATIL WASTI, PATIL NAGAR, BALEWADI, PUNE, MAHARASHTRA 411045</t>
  </si>
  <si>
    <t>At Post - Dapoli (Aambedkar Nagar) Taluka - District - Palghar, 401404</t>
  </si>
  <si>
    <t>TWINKLE STAR ENGLISH HIGH SCHOOL PALGHAR</t>
  </si>
  <si>
    <t>MAHARASHTRA STATE BOARD OF SECONDARY AND HIGHER SECONDARY EDUCATION, PALGHAR, MAHARASHTRA</t>
  </si>
  <si>
    <t>ST. JOHN COLLEGE OF TECHNOLOGY AND POLYTECHNIC</t>
  </si>
  <si>
    <t>MS Office,Life Cycle Assessment</t>
  </si>
  <si>
    <t>P25707025</t>
  </si>
  <si>
    <t>SESETTI</t>
  </si>
  <si>
    <t>Teja Sesetti</t>
  </si>
  <si>
    <t>tejasesetti123@gmail.com</t>
  </si>
  <si>
    <t>p25707025@student.nicmar.ac.in</t>
  </si>
  <si>
    <t>22-Mar-2003</t>
  </si>
  <si>
    <t>8425 0279 7211</t>
  </si>
  <si>
    <t>SESETTI SRINIVASA RAO</t>
  </si>
  <si>
    <t>METER READER</t>
  </si>
  <si>
    <t>SESETTI ADILAKSHMI</t>
  </si>
  <si>
    <t>9-9-107/19
MANGAPURAM COLONY ,MADDILIPALEM,</t>
  </si>
  <si>
    <t>RANI MEMORIAL E.M. H.S</t>
  </si>
  <si>
    <t>GOVT.POLYTECHNIC-VISHAKHAPATNAM</t>
  </si>
  <si>
    <t>JAWAHARLAL NEHRU TECHNOLOGICAL UNIVERSITY GURAJADA VIZIANAGARAM</t>
  </si>
  <si>
    <t>RAGHU ENGINEERING COLLEGE VISHAKHAPATNAM</t>
  </si>
  <si>
    <t>AutoCAD,REVIT</t>
  </si>
  <si>
    <t>National council for cement and building materials | ESG intern | Haryana | May 2026 | Jul 2026 | 8.7142857142857 Weeks | Campus Internship
SDVVL SURVEY AND CONSTRUCTION PVT.LTD | Intern â€“ Advanced AutoCAD 2D &amp; 3D, Revit, and Surveying (Total Station) | Kakinada, Andhra Pradesh | Jun 2023 | Aug 2023 | 6.2857142857143 Weeks</t>
  </si>
  <si>
    <t>Workshop on GHG Accounting &amp; Carbon Accounting - NICMAR University
SURVEYING
CIVIL  AutoCAD &amp; Revit</t>
  </si>
  <si>
    <t>P25707026</t>
  </si>
  <si>
    <t>NUPUR</t>
  </si>
  <si>
    <t>Nupur Dubey</t>
  </si>
  <si>
    <t>dubeynupur839@gmail.com</t>
  </si>
  <si>
    <t>p25707026@student.nicmar.ac.in</t>
  </si>
  <si>
    <t>6008 9511 4527</t>
  </si>
  <si>
    <t>ANAND DUBEY</t>
  </si>
  <si>
    <t>SHEETAL DUBEY</t>
  </si>
  <si>
    <t>10, ADARSH COLONY, CIVIL LINES</t>
  </si>
  <si>
    <t>Dewas</t>
  </si>
  <si>
    <t>40, AKHADA ROAD, SUBHASH CHOWK</t>
  </si>
  <si>
    <t>NUPUR DUBEY</t>
  </si>
  <si>
    <t>CBSE BOARD, MADHYA PRADESH</t>
  </si>
  <si>
    <t>MP BOARD, MADHYA PRADESH</t>
  </si>
  <si>
    <t>DEVI AHILYA VISHWAVIDYALAYA , INDORE</t>
  </si>
  <si>
    <t>RENAISSANCE COLLEGE OF COMMERCE AND MANAGEMENT,INDORE,MADHYA PRADESH</t>
  </si>
  <si>
    <t>P25707027</t>
  </si>
  <si>
    <t>Kushagra Chauhan</t>
  </si>
  <si>
    <t>kushagrachauhan123@gmail.com</t>
  </si>
  <si>
    <t>p25707027@student.nicmar.ac.in</t>
  </si>
  <si>
    <t>Sustainability Magazines, Chess, Badminton</t>
  </si>
  <si>
    <t>7138 7332 0377</t>
  </si>
  <si>
    <t>RAJEEV CHAUHAN</t>
  </si>
  <si>
    <t>URMILA CHAUHAN</t>
  </si>
  <si>
    <t>102/D12, Parivar Apartment,Govindvihar, Govindpuram</t>
  </si>
  <si>
    <t>G K WELHAMS COLLEGE</t>
  </si>
  <si>
    <t>ICSE, MORADABAD, UTTAR PRADESH</t>
  </si>
  <si>
    <t>SHIVOY SCHOOL</t>
  </si>
  <si>
    <t>CBSE, GHAZIABAD, UTTAR PRADESH</t>
  </si>
  <si>
    <t>VIVEKANANDA GLOBAL UNIVERSITY</t>
  </si>
  <si>
    <t>NAEMD, JAIPUR, RAJASTHAN</t>
  </si>
  <si>
    <t>MS Office,SimaPro,OpenLCA,OneClickLCA</t>
  </si>
  <si>
    <t>Fusionpact Inc. | Sustainability and Climate Technology Intern | Remote | May 2026 | Sep 2026 | 17.571428571429 Weeks | Campus Internship</t>
  </si>
  <si>
    <t>P25707028</t>
  </si>
  <si>
    <t>Akhilesh Manoj Ingale</t>
  </si>
  <si>
    <t>akhileshingale8@gmail.com</t>
  </si>
  <si>
    <t>p25707028@student.nicmar.ac.in</t>
  </si>
  <si>
    <t>6351 9196 1490</t>
  </si>
  <si>
    <t>MANOJ INGALE</t>
  </si>
  <si>
    <t>ANJALI INGALE</t>
  </si>
  <si>
    <t>104 Kanchanganga Apt. Ingale Colony, Shivane, Pune, 411023</t>
  </si>
  <si>
    <t>BALSHIKSHAN MANDIR</t>
  </si>
  <si>
    <t>FERGUSSON COLLEGE PUNE, MAHARASHTRA</t>
  </si>
  <si>
    <t xml:space="preserve">MS Office, MS Excel, SimaPro, ArcGIS </t>
  </si>
  <si>
    <t>Greenex Environmental | LCA and Sustainable Intern | Pune | May 2026 | Jul 2026 | 8.5714285714286 Weeks | Campus Internship</t>
  </si>
  <si>
    <t>Silhouettes Waterpolo Tournament (08/05/2025) - AFMC 1st runner-up at Waterpolo tournament in Pune. Level - District.
SPPU, Intercollegiate Sports Tournament (11/10/2024) - Secured 1st place in Waterpolo amongst colleges all over Pune Level: District.
Laksh 3.0 (16/02/2025) - IIT Indore 1st rank at Waterpolo tournament amongst other IITs and Institutes. Level - National</t>
  </si>
  <si>
    <t>P25707029</t>
  </si>
  <si>
    <t>ONKAR</t>
  </si>
  <si>
    <t>LAHAMAGE</t>
  </si>
  <si>
    <t>Onkar Dipak Lahamage</t>
  </si>
  <si>
    <t>onkarlahamage@gmail.com</t>
  </si>
  <si>
    <t>p25707029@student.nicmar.ac.in</t>
  </si>
  <si>
    <t>20-Jan-2003</t>
  </si>
  <si>
    <t>7866 0591 5750</t>
  </si>
  <si>
    <t>At Post Adgaon Bk, Tel.: Rahata, Dist.: Ahmednagar</t>
  </si>
  <si>
    <t>DNYANMATA VIDYALAYA , SANGAMNER</t>
  </si>
  <si>
    <t>MAHARASHTRA STATE BOARD OF SECONDARY AND HIGHER SECONDORY EDUCATION , PUNE</t>
  </si>
  <si>
    <t>PADMASHRI VIKHE PATIL JUNIOR COLLEGE, PRAVARANAGAR</t>
  </si>
  <si>
    <t>MAHATMA PHU LE KRISHI VIDYAPEETH, RAHURI</t>
  </si>
  <si>
    <t>COLLEGE OF AGRICULTURAL ENGINEERING AND TECHNOLOGY,MALDAD</t>
  </si>
  <si>
    <t>NORTHEN REGION FARM MACHINERY TRAINING &amp; TESTING INSTITUTE | Trainee | HISAR, HARYANA  | Sep 2023 | Sep 2023 | 4.1428571428571 Weeks
Trenex Energy Pvt. Ltd. | Project Executive Trainee | Nashik | Aug 2024 | Apr 2025 | 38.857142857143 Weeks
ALBEDO FOUNDATION | Trainee | NASHIK | Oct 2023 | Feb 2024 | 19.285714285714 Weeks</t>
  </si>
  <si>
    <t>Sustainability and Corporate ESG</t>
  </si>
  <si>
    <t>P25707030</t>
  </si>
  <si>
    <t>ANSHU</t>
  </si>
  <si>
    <t>Anshu Raj</t>
  </si>
  <si>
    <t>anshuraj375@gmail.com</t>
  </si>
  <si>
    <t>p25707030@student.nicmar.ac.in</t>
  </si>
  <si>
    <t>22-Dec-2000</t>
  </si>
  <si>
    <t>8113 5832 5225</t>
  </si>
  <si>
    <t>RAJENDRA PRASAD DAS</t>
  </si>
  <si>
    <t>BIMLA RANI</t>
  </si>
  <si>
    <t>Flat No. A102/B4, Type-B
Mahalaxmi City, Vihighar</t>
  </si>
  <si>
    <t>RYAN INTERNATIONAL SCHOOL SANPADA</t>
  </si>
  <si>
    <t>SADHU VASWANI JUNIOR COLLEGE</t>
  </si>
  <si>
    <t>JHARKHAND UNIVERSITY OF TECHNOLOGY, RANCHI</t>
  </si>
  <si>
    <t>B.I.T SINDRI, DHANBAD</t>
  </si>
  <si>
    <t>CDP(Carbon disclosure Project), Simapro, OneclickLCA, OpenLCA, MS Office, MS Project, MS Project and Excel</t>
  </si>
  <si>
    <t>Reliance Industries Limited | Construction Manager | Dahej Manufacturing Plant, Bharuch, Gujarat | Aug 2022 | Dec 2023 | 1Y 4M | 8.88</t>
  </si>
  <si>
    <t>Reliance Jio Infocomm Limited | CDP and Sustainability Audit Intern | Ghansoli, Navi Mumbai | May 2026 | Jul 2026 | 9.5714285714286 Weeks | Campus Internship
AIESEC | GLOBAL VOLUNTEER  | KANDY, SRI LANKA | Jun 2019 | Jul 2019 | 6 Weeks</t>
  </si>
  <si>
    <t>Climate &amp; ESG Reporting, Financial Risk, and Scenario Analysis (TCFD/CDP/CDSB)
Life Cycle Assessment
Carbon Accounting and Sustainable Designs in  Product Lifecycle Management
Sustainable Corporate Finance
Sustainable Engineering Concepts and  Life Cycle Analysis</t>
  </si>
  <si>
    <t>P25707031</t>
  </si>
  <si>
    <t>Chaitanya Santosh Wagh</t>
  </si>
  <si>
    <t>cwagh718@gmail.com</t>
  </si>
  <si>
    <t>p25707031@student.nicmar.ac.in</t>
  </si>
  <si>
    <t>20-Apr-2004</t>
  </si>
  <si>
    <t>9443 7232 3941</t>
  </si>
  <si>
    <t>SANTOSH CHUNILAL WAGH</t>
  </si>
  <si>
    <t>BHARATI SANTOSH WAGH</t>
  </si>
  <si>
    <t>SERVIE</t>
  </si>
  <si>
    <t>E-8/306, Shree Omkar CHS, Sec 9,
Gharonda, Ghansoli, Navi Mumbai 400701</t>
  </si>
  <si>
    <t>FR. AGNEL'S POLYTECHNIC, VASHI, NAVI MUMBAI</t>
  </si>
  <si>
    <t>SARASWATI COLLEGE OF ENGINEERING, KHARGHAR, RAIGAD</t>
  </si>
  <si>
    <t>B.G. SHIRKE CONSTRUCTION TECHNOLOGY PVT. LTD. | Intern | Taloja, Navi Mumbai | Aug 2021 | Sep 2021 | 4.5714285714286 Weeks</t>
  </si>
  <si>
    <t>AUTO-CAD
Municipal Solid Waste Management</t>
  </si>
  <si>
    <t>P25707033</t>
  </si>
  <si>
    <t>ADHISHREE</t>
  </si>
  <si>
    <t>GUNDI</t>
  </si>
  <si>
    <t>Adhishree Gundi</t>
  </si>
  <si>
    <t>adhishreegundi0352@gmail.com</t>
  </si>
  <si>
    <t>p25707033@student.nicmar.ac.in</t>
  </si>
  <si>
    <t>22-Jul-2004</t>
  </si>
  <si>
    <t>3572 9321 1503</t>
  </si>
  <si>
    <t>LATE SATISH GUNDI</t>
  </si>
  <si>
    <t>SHALAKA GUNDI</t>
  </si>
  <si>
    <t>FREELANCE HR CONSULTANT AND FACILITATOR</t>
  </si>
  <si>
    <t>FLAT NO 4, 1ST FLOOR, BUILDING A-4, ISHAN NAGARI, WARJE
WARJE</t>
  </si>
  <si>
    <t>A-3, Satin Hills, PVPIT, Bavdhan(Kh), Paud Rd, Pune</t>
  </si>
  <si>
    <t>CBSE, PUNE, MAHARASHTRA</t>
  </si>
  <si>
    <t>MILLENNIUM NATIONAL SCHOOL</t>
  </si>
  <si>
    <t>ST JOSEPH'S UNIVERSITY</t>
  </si>
  <si>
    <t>ST JOSEPH'S UNIVERSITY, BENGALURU, KARNATAKA</t>
  </si>
  <si>
    <t>Multiomics Technologies- Big Data for Biological Sciences</t>
  </si>
  <si>
    <t>P25707034</t>
  </si>
  <si>
    <t>SARAL</t>
  </si>
  <si>
    <t>Saral Chauhan</t>
  </si>
  <si>
    <t>saral27chauhan@gmail.com</t>
  </si>
  <si>
    <t>p25707034@student.nicmar.ac.in</t>
  </si>
  <si>
    <t>27-Jul-2000</t>
  </si>
  <si>
    <t>4232 7786 2894</t>
  </si>
  <si>
    <t>MANOJ KUMAR CHAUHAN</t>
  </si>
  <si>
    <t>LATA CHAUHAN</t>
  </si>
  <si>
    <t>B 22 Ram Ashram Colony Near Taj Banquet Chandra Nagar</t>
  </si>
  <si>
    <t>Moradabad</t>
  </si>
  <si>
    <t>ST. PAUL’S COLLEGE</t>
  </si>
  <si>
    <t>ICSE MORADABAD, UTTARPRADESH</t>
  </si>
  <si>
    <t>ISC MORADABAD, UTTARPRADESH</t>
  </si>
  <si>
    <t>MAHATMA JYOTI’S PHULE ROHILKHAND UNIVERSITY</t>
  </si>
  <si>
    <t>LAKSHYA COLLEGE OF MANAGEMENT AND TECHNOLOGY, BAGWARA, SEHORA, UTTARPRADESH</t>
  </si>
  <si>
    <t>2023-Feb</t>
  </si>
  <si>
    <t>Earth5R | Market Research Intern  | Remote | Jun 2026 | Sep 2026 | 13.285714285714 Weeks | Campus Internship</t>
  </si>
  <si>
    <t>NIELIT CCC</t>
  </si>
  <si>
    <t>P25707035</t>
  </si>
  <si>
    <t>Pranjali Pradeep Chavan</t>
  </si>
  <si>
    <t>pranj.li1102@gmail.com</t>
  </si>
  <si>
    <t>p25707035@student.nicmar.ac.in</t>
  </si>
  <si>
    <t>ENGLISH, HINDI, MARATHI AND GERMAN (BASIC)</t>
  </si>
  <si>
    <t>Reading,Working out,Badminton,travelling</t>
  </si>
  <si>
    <t>8550 7886 5875</t>
  </si>
  <si>
    <t>REAL-ESTATE AGENT</t>
  </si>
  <si>
    <t>HOUSEWIFE/PRIVATE HOME TUTOR</t>
  </si>
  <si>
    <t>BANER MHALUNGE ROAD NEAR AMRITA HOTEL, GANRAJ CHOWK, ZUDIO, PUNE - 411045</t>
  </si>
  <si>
    <t>At Post Donje, Taluka Haveli District Pune - 24 Near Krushnai Water Park Singhad Road</t>
  </si>
  <si>
    <t>VENKATESHWARA SCHOOL</t>
  </si>
  <si>
    <t>HUZURPAGA GIRLS HIGHSCHOOL AND JUNIOR COLLEGE</t>
  </si>
  <si>
    <t>SHRI SHIVAJI MAHARASHTRA SOCIETY'S COLLEGE OF ARCHITECTURE PUNE/MAHARASHTRA</t>
  </si>
  <si>
    <t>2018-Oct</t>
  </si>
  <si>
    <t>AutoCAD,MS Office,MS Project,Primavera,Lumion,Sketchup,Photoshop,Canva</t>
  </si>
  <si>
    <t>GNA Architects | Jr. Architect | Bhandarkar Road Shivaji Nagar Pune-411004 | Feb 2024 | May 2025 | 1Y 3M | 2.16</t>
  </si>
  <si>
    <t>Nikhil Kanthe design studio | Interior designer  | Pune  | Oct 2022 | Oct 2022 | -1.1428571428571 Weeks
Nikhil Kanthe design studio | Jr. architect/interior designer  | Pune  | Jul 2023 | Dec 2023 | 26 Weeks</t>
  </si>
  <si>
    <t>P25707036</t>
  </si>
  <si>
    <t>MUSALE</t>
  </si>
  <si>
    <t>Ninad Naresh Musale</t>
  </si>
  <si>
    <t>ninadmusale@gmail.com</t>
  </si>
  <si>
    <t>p25707036@student.nicmar.ac.in</t>
  </si>
  <si>
    <t>03-Sep-2003</t>
  </si>
  <si>
    <t>2958 7582 8824</t>
  </si>
  <si>
    <t>NARESH DATTATRAY MUSALE</t>
  </si>
  <si>
    <t>PREETI NARESH MUSALE</t>
  </si>
  <si>
    <t>B-2/12, Ashoka Gardens CHS, Tilak Road, Near Savarkar Chowk, Panvel</t>
  </si>
  <si>
    <t>MAHATMA SCHOOL OF ACADEMICS AND SPORTS, PANVEL</t>
  </si>
  <si>
    <t>MAHARASHTRA STATE BOARD OF SECONDARY AND HIGHER SECONDARY EDUCATION, PUNE/ MAHARASHTRA</t>
  </si>
  <si>
    <t>MAHATMA SCHOOL OF ACADEMICS AND SPORTS AND JUNIOR COLLEGE OF ARTS, COMMERCE AND SCIENCE, PANVEL</t>
  </si>
  <si>
    <t>DATTA MEGHE COLLEGE OF ENGINEERING, AIROLI, NAVI MUMBAI/ MAHARASHTRA</t>
  </si>
  <si>
    <t>AutoCAD,MS Office,Arc GIS,QGIS,STADD Pro,Building Information Modelling(BIM)</t>
  </si>
  <si>
    <t>House of Hiranandani | Intern | Thane | Jun 2024 | Jul 2024 | 4.2857142857143 Weeks
MAN Technologies | Intern | Panvel | Dec 2022 | Jan 2023 | 4.4285714285714 Weeks</t>
  </si>
  <si>
    <t>ESG and Sustainability Literacy
Fundamentals of ESG and Sustainability
Constitution of India and Environmental Governance: Administrative and Adjudicatory Process</t>
  </si>
  <si>
    <t>P25707037</t>
  </si>
  <si>
    <t>Varun Hemant Desai</t>
  </si>
  <si>
    <t>varundesaiv439@gmail.com</t>
  </si>
  <si>
    <t>p25707037@student.nicmar.ac.in</t>
  </si>
  <si>
    <t>English,Germany(Basic), Hindi and Marathi</t>
  </si>
  <si>
    <t>6658 5958 3384</t>
  </si>
  <si>
    <t>HEMANT MANOHAR DESAI</t>
  </si>
  <si>
    <t>ANJALI HEMANT DESAI</t>
  </si>
  <si>
    <t>2784, B Ward, Manglwar Peth, Kolhapur</t>
  </si>
  <si>
    <t>SEVENTH DAY ADVENTIST HIGHER SECONDARY SCHOOL</t>
  </si>
  <si>
    <t>ICSE, DELHI BOARD</t>
  </si>
  <si>
    <t>VIVEKANANDA JR. COLLEGE</t>
  </si>
  <si>
    <t>KOLHAPUR INSTITUTE OF TECHNOLOGY, COLLEGE OF ENGINEERING, KOLHAPUR</t>
  </si>
  <si>
    <t xml:space="preserve">AutoCAD, MS Office, SimaPro, Oneclick, Open LCA </t>
  </si>
  <si>
    <t>Ecoboard Industries  | Summer Intern  | Pune  | May 2026 | Jun 2026 | 8 Weeks | Campus Internship
Shree Datta Shetkari S. S. K. Ltd | Intern under Environment Office  | Kolhapur  | Jan 2024 | Apr 2024 | 14.714285714286 Weeks</t>
  </si>
  <si>
    <t>Introduction to Sustainability
Introduction to Faecal Sludge Mangement</t>
  </si>
  <si>
    <t>P25707038</t>
  </si>
  <si>
    <t>URMI</t>
  </si>
  <si>
    <t>SINGHA ROY</t>
  </si>
  <si>
    <t>Urmi Singha Roy</t>
  </si>
  <si>
    <t>urmisingharoy06@gmail.com</t>
  </si>
  <si>
    <t>p25707038@student.nicmar.ac.in</t>
  </si>
  <si>
    <t>4859 0421 9521</t>
  </si>
  <si>
    <t>NABENDU SINGHA ROY</t>
  </si>
  <si>
    <t>EX ARMED FORCES</t>
  </si>
  <si>
    <t>BARNALI SINGHA ROY</t>
  </si>
  <si>
    <t>BC126,VAISHNODEVI ABASAN,SAMARPALLI, KESTOPUR</t>
  </si>
  <si>
    <t>KENDRIYA VIDYALA NO.2</t>
  </si>
  <si>
    <t>KOLKATA, WEST BENGAL</t>
  </si>
  <si>
    <t>LMET INTL SCHOOL</t>
  </si>
  <si>
    <t>SOUTH BALARAMPUR MURSHIDABAD</t>
  </si>
  <si>
    <t>ASUTOSH COLLEGE  KOLKATA WB</t>
  </si>
  <si>
    <t>MS Office,LCA,Carbon Accounting &amp;GHG Emissions,ESG Metrics &amp; Sustainable Reporting,Circular Economy Principles</t>
  </si>
  <si>
    <t>P25707039</t>
  </si>
  <si>
    <t>POORVI</t>
  </si>
  <si>
    <t>SETH</t>
  </si>
  <si>
    <t>Poorvi Seth</t>
  </si>
  <si>
    <t>purvi160423@gmail.com</t>
  </si>
  <si>
    <t>p25707039@student.nicmar.ac.in</t>
  </si>
  <si>
    <t>16-Apr-2003</t>
  </si>
  <si>
    <t>English, Hindi, German</t>
  </si>
  <si>
    <t>3988 9363 8985</t>
  </si>
  <si>
    <t>ASHWANI KUMAR SETH</t>
  </si>
  <si>
    <t>DOCTOR CONSULTANT</t>
  </si>
  <si>
    <t>GAURI SETH</t>
  </si>
  <si>
    <t>190E MAYUR VIHAR PHASE 1 POCKET 1</t>
  </si>
  <si>
    <t>37/2 West Patel Nagar Ground Floor RHS</t>
  </si>
  <si>
    <t>AHLCON INTERNATIONAL SCHOOL</t>
  </si>
  <si>
    <t>CENTRAL BOARD OF SECONDARY EDUCATION CBSE NEW DELHI</t>
  </si>
  <si>
    <t>SHRI MATA VAISHNO DEVI UNIVERSITY</t>
  </si>
  <si>
    <t>SHRI MATA VAISHNO DEVI UNIVERSITY KATRA JAMMU AND KASHMIR</t>
  </si>
  <si>
    <t>MS Office,MS Project,lean management,six sigma,G suite,mendeley,Trello,KANBAN,CMIE,ProwessIQ,CANVA,LCA assessment,MINITAB</t>
  </si>
  <si>
    <t>National Skill Deveopment Corporation NSDC | Research and Development Intern  | New Delhi | May 2026 | Jul 2026 | 8.7142857142857 Weeks | Campus Internship
IMPRI (IMPACT AND POLICY RESEARCH INSTITUTE CAPITAL) | RESEARCH FELLOW | NEW DELHI | Jan 2025 | Apr 2025 | 12.857142857143 Weeks
RELIANCE JIO | HUMAN RESOURCE INTERN  | NEW DELHI | May 2023 | Jul 2023 | 8.7142857142857 Weeks</t>
  </si>
  <si>
    <t>Foundations of Project Management by Google
Generative AI &amp; ESG
Fundamentals of Data Analysis in Excel
ESG AND CLIMATE RELATED REPORTING FOR ACCOUNTANTS</t>
  </si>
  <si>
    <t>P25706001</t>
  </si>
  <si>
    <t>SAILESH</t>
  </si>
  <si>
    <t>Sailesh Kumar</t>
  </si>
  <si>
    <t>psylesh03@gmail.com</t>
  </si>
  <si>
    <t>p25706001@student.nicmar.ac.in</t>
  </si>
  <si>
    <t>ENGLISH AND TAMIL</t>
  </si>
  <si>
    <t>4448 1365 4021</t>
  </si>
  <si>
    <t>AMBAYIRAM</t>
  </si>
  <si>
    <t>PAINTING CONTRACTOR</t>
  </si>
  <si>
    <t>NIRMALA AMBAYIRAM</t>
  </si>
  <si>
    <t>78, Gandhipuram, Srinivasapuram Road</t>
  </si>
  <si>
    <t>BEST MATRICULATION HIGHER SECONDARY SCHOOL</t>
  </si>
  <si>
    <t>STATE BOARD OF TAMIL NADU</t>
  </si>
  <si>
    <t>MEENAKSHI COLLEGE OF ENGINEERING</t>
  </si>
  <si>
    <t>AutoCAD,MS Office,MS Project,Primavera,Sketchup,D5 render,Enscape,lumion 12.5,Adobe Photoshop,Open LCA,One click LCA</t>
  </si>
  <si>
    <t>Abhilash Architects | Architecture Intern | Kerala | Jul 2022 | Nov 2022 | 17.142857142857 Weeks</t>
  </si>
  <si>
    <t>Understanding Research Methods
Renewable Energy Projects
Project Valuation
Introduction to Generative AI in Human Resource
Global Environmental Management
Generative AI and ESG
Exploring Renewable Energy Schemes
Renewable Energy Technology Fundamentals
Energy Conversion Technologies (Biomass and Coal)</t>
  </si>
  <si>
    <t>P25706002</t>
  </si>
  <si>
    <t>Siddhi Sureshchandra Gosavi</t>
  </si>
  <si>
    <t>gosavisiddhisuresh@gmail.com</t>
  </si>
  <si>
    <t>p25706002@student.nicmar.ac.in</t>
  </si>
  <si>
    <t>Marathi Hindi English</t>
  </si>
  <si>
    <t>4804 8803 4185</t>
  </si>
  <si>
    <t>PROFESSOR HOD POLYTECHNIC COLLEGE</t>
  </si>
  <si>
    <t>A/103, Rushabh Tower, Suncity, Vasai West, Mumbai, Pin-401202</t>
  </si>
  <si>
    <t>VIDYAVARDHINI'S COLLEGE OF ENGINEERING &amp; TECHNOLOGY</t>
  </si>
  <si>
    <t>EN CON Project Consultants for Architectural &amp; Structural Works | Trainee Engineer  | Mumbai, Vasai | Jun 2023 | Jul 2023 | 2.7142857142857 Weeks
KRISHNA CONCHEM PRODUCT PVT. LTD. | TRAINEE | MUMBAI, VASAI | Jun 2022 | Jul 2022 | 1.5714285714286 Weeks</t>
  </si>
  <si>
    <t>Structural Audit
Total Station
Certificate of Excellence
Dr. FIXIT
Techknowvent 2020</t>
  </si>
  <si>
    <t>P25706003</t>
  </si>
  <si>
    <t>Aditya Praveen Menon</t>
  </si>
  <si>
    <t>27adityamenon@gmail.com</t>
  </si>
  <si>
    <t>p25706003@student.nicmar.ac.in</t>
  </si>
  <si>
    <t>27-Oct-2003</t>
  </si>
  <si>
    <t>English, Hindi, Malayalam, Tamil, Telugu</t>
  </si>
  <si>
    <t>7416 9229 9414</t>
  </si>
  <si>
    <t>PRAVEEN MOHAN</t>
  </si>
  <si>
    <t>DHIVYA MANATHAZATH</t>
  </si>
  <si>
    <t>Subhasree, Kaipenchery, Aylur P/o, 678510, Palakkad Dist, Kerala</t>
  </si>
  <si>
    <t>DOHA MODERN INDIAN SCHOOL</t>
  </si>
  <si>
    <t>C.B.S.E, DOHA, QATAR</t>
  </si>
  <si>
    <t>NATIONAL INSTITUTE OF TECHNOLOGY TIRUCHIRAPPALLI</t>
  </si>
  <si>
    <t>NATIONAL INSTITUTE OF TECHNOLOGY, TIRUCHIRAPPALLI, TAMIL NADU</t>
  </si>
  <si>
    <t>ClimatEnlighten LLP  | research and curriculum development intern | Remote | May 2026 | Jul 2026 | 9.7142857142857 Weeks | Campus Internship
Al-Balagh Trading and Contracting CO.w.l.l | summer trainee | Lusail, Doha, Qatar | May 2024 | Jul 2024 | 8.7142857142857 Weeks
INDIAN OIL CORPORATION LIMITED | WINTER TRAINEE | GUWAHATI | Dec 2023 | Jan 2024 | 4.4285714285714 Weeks</t>
  </si>
  <si>
    <t>P25706004</t>
  </si>
  <si>
    <t>NIMJE</t>
  </si>
  <si>
    <t>Janhavi Nimje</t>
  </si>
  <si>
    <t>nimjan2001@gmail.com</t>
  </si>
  <si>
    <t>p25706004@student.nicmar.ac.in</t>
  </si>
  <si>
    <t>26-Sep-2001</t>
  </si>
  <si>
    <t>Oil Painting,Poetry,Trevelling</t>
  </si>
  <si>
    <t>7331 4122 6888</t>
  </si>
  <si>
    <t>SHRIKANT NIMJE</t>
  </si>
  <si>
    <t>MADHURI NIMJE</t>
  </si>
  <si>
    <t>K-MONTILLA, PURANICS, FLAT NO. 901, 9TH FLOOR, BALEWADI, PUNE</t>
  </si>
  <si>
    <t>Sai Bhoomi Apartment, Flat No. B-320, Torwa, Bilaspur, Chhattisgarh</t>
  </si>
  <si>
    <t>KENDRIYA VIDYALAYA S R RLY BILASPUR CG</t>
  </si>
  <si>
    <t>BHARATI VIDYAPEETH COLLEGE OF ARCHITECTURE</t>
  </si>
  <si>
    <t>AutoCAD,MS Office,MS Project,Primavera,Revit,Sketchup,v ray,enscape,Photoshop,SimaPro,OpenLCA,OneClickLCA, Power BI</t>
  </si>
  <si>
    <t>Urban Loci | Junior Architect | Pune | Dec 2024 | May 2025 | 0Y 5M | 2</t>
  </si>
  <si>
    <t>Agami Realty LLP | Sustainable Energy Management Intern | Mumbai | May 2026 | Jul 2026 | 7.8571428571429 Weeks | Campus Internship
Vaastavya Architects &amp; Interior Designers | Intern | Pune | Jul 2023 | Oct 2023 | 14.571428571429 Weeks
AGAMI REALTY | SUSTAINABLE ENERGY MANAGER INTERN | MUMBAI | May 2026 | Jul 2026 | 7.8571428571429 Weeks</t>
  </si>
  <si>
    <t>Coursera - Renewable Energy Projects
Coursera - Generative AI and ESG
Coursera - ESG essential for Sustainable Business
IGBC AP - Associate
Professional Revit &amp; BIM Certification Program
Renewable Energy Technology Fundamentals
Project Valuation</t>
  </si>
  <si>
    <t>P25706005</t>
  </si>
  <si>
    <t>PA</t>
  </si>
  <si>
    <t>Kavya Pa</t>
  </si>
  <si>
    <t>kavyaappaiah604@gmail.com</t>
  </si>
  <si>
    <t>p25706005@student.nicmar.ac.in</t>
  </si>
  <si>
    <t>21-Mar-2002</t>
  </si>
  <si>
    <t>6587 9739 5188</t>
  </si>
  <si>
    <t>APPAIAH PK</t>
  </si>
  <si>
    <t>BEENA CB</t>
  </si>
  <si>
    <t>SRIMANGALA VILLAGE AND POST PONNAMPET TALUK KODAGU KARNATAKA</t>
  </si>
  <si>
    <t>Kodagu</t>
  </si>
  <si>
    <t>Police Quarters Meenupete Malabar Road Virajpet Kodagu</t>
  </si>
  <si>
    <t>KAVYA PA</t>
  </si>
  <si>
    <t>YUVARAJA'S COLLEGE</t>
  </si>
  <si>
    <t>MS Office,Primavera,Surfer software,ERDAS imagine</t>
  </si>
  <si>
    <t>P25706006</t>
  </si>
  <si>
    <t>MOHAMMAD</t>
  </si>
  <si>
    <t>ZAID</t>
  </si>
  <si>
    <t>Mohammad Zaid Shaikh</t>
  </si>
  <si>
    <t>zaidshaikh8928@gmail.com</t>
  </si>
  <si>
    <t>p25706006@student.nicmar.ac.in</t>
  </si>
  <si>
    <t>03-Apr-2003</t>
  </si>
  <si>
    <t>ENGLISH, HINDI , MARATHI</t>
  </si>
  <si>
    <t>6169 8638 6022</t>
  </si>
  <si>
    <t>ANIS AHMED</t>
  </si>
  <si>
    <t>INDIAN RAILWAYS</t>
  </si>
  <si>
    <t>RUKHSANA BANO</t>
  </si>
  <si>
    <t>Room No.90, 60 Feet Road Madina Nagar Dharavi Mahim East Mumbai - 400017</t>
  </si>
  <si>
    <t>IES MANIK VIDYA MANDIR</t>
  </si>
  <si>
    <t>ELECTRICAL ENGINEERING</t>
  </si>
  <si>
    <t>M.H SABOO SIDDIK POLYTECHNIC</t>
  </si>
  <si>
    <t>SAINT FRANCIS INSTITUTE OF TECHNOLOGY</t>
  </si>
  <si>
    <t>AutoCAD,MS Office,Primavera,matlab</t>
  </si>
  <si>
    <t>KRYFS POWER COMPONENTS LIMITED | Sales &amp; Business Development  | MUMBAI | Jun 2024 | Jul 2025 | 1Y 1M | 3.88</t>
  </si>
  <si>
    <t>Renewxpert Solutions LLp | Project Management Intern | Pune | May 2026 | Jul 2026 | 9.5714285714286 Weeks | Campus Internship</t>
  </si>
  <si>
    <t>P25706007</t>
  </si>
  <si>
    <t>PETA</t>
  </si>
  <si>
    <t>Satish Reddy Peta</t>
  </si>
  <si>
    <t>satish.14012000@gmail.com</t>
  </si>
  <si>
    <t>p25706007@student.nicmar.ac.in</t>
  </si>
  <si>
    <t>14-Jan-2000</t>
  </si>
  <si>
    <t>6605 7263 8821</t>
  </si>
  <si>
    <t>PETA PURUSHOTHAM REDDY</t>
  </si>
  <si>
    <t>SR. LIAISON</t>
  </si>
  <si>
    <t>PETA ESWARI</t>
  </si>
  <si>
    <t>7-52/27, Aravinda Enclave, Bolligudem, Chengicherla, Hyderabad.</t>
  </si>
  <si>
    <t>KAMALA MEMORIAL HIGH SCHOOL</t>
  </si>
  <si>
    <t>BOARD OF SECONDARY EDUCATION, TELANGANA STATE, INDIA.</t>
  </si>
  <si>
    <t>VIGNANA BHARATHI INSTITUTE OF TECHNOLOGY HYDERABAD</t>
  </si>
  <si>
    <t>AutoCAD,MS Office,Creo Parametric,SharePoint,SolidWorks</t>
  </si>
  <si>
    <t>Rainbow Engineering &amp; Manufacturing | Mechanical Design Engineer | Hyderabad | Sep 2023 | Feb 2025 | 1Y 5M | 3.6</t>
  </si>
  <si>
    <t>ClimatEnlighten LLP | Research and curriculum development intern | Remote | May 2026 | Jul 2026 | 9.7142857142857 Weeks | Campus Internship</t>
  </si>
  <si>
    <t>P25706008</t>
  </si>
  <si>
    <t>ARANGA</t>
  </si>
  <si>
    <t>SUBRAMANIAM S</t>
  </si>
  <si>
    <t>Aranga Subramaniam S</t>
  </si>
  <si>
    <t>arangasubramaniam@gmail.com</t>
  </si>
  <si>
    <t>p25706008@student.nicmar.ac.in</t>
  </si>
  <si>
    <t>9480 9558 1867</t>
  </si>
  <si>
    <t>LIMGAMMAL</t>
  </si>
  <si>
    <t>7/310, Sengulam Street, Veerasigamani, Sankarankovil</t>
  </si>
  <si>
    <t>Tenkasi</t>
  </si>
  <si>
    <t>A.V.K INTERNATIONAL RESIDENTIAL SCHOOL</t>
  </si>
  <si>
    <t>VEL'S PUBLIC SCHOOL</t>
  </si>
  <si>
    <t>B. S. ABDUR RAHMAN CRESCENT INSTITUTE OF SCIENCE AND TECHNOLOGY</t>
  </si>
  <si>
    <t>B. S. ABDUR RAHMAN CRESCENT INSTITUTE OF SCIENCE AND TECHNOLOGY,VANDALUR,CHENNAI</t>
  </si>
  <si>
    <t>RenewXpert Solutions Llp | Business Development Trainee | Pune | May 2026 | Jul 2026 | 8.7142857142857 Weeks | Campus Internship</t>
  </si>
  <si>
    <t>P25706009</t>
  </si>
  <si>
    <t>GHATOL</t>
  </si>
  <si>
    <t>Vijaya Subhash Ghatol</t>
  </si>
  <si>
    <t>vijayasghatol@gmail.com</t>
  </si>
  <si>
    <t>p25706009@student.nicmar.ac.in</t>
  </si>
  <si>
    <t>Minimalist Living,Zero-waste Lifestyle,Video Editing,Photography,Classical dance (Bharatnatyam),Sketching,Rangoli,Mehndi,Cooking,Baking</t>
  </si>
  <si>
    <t>3241 1299 9899</t>
  </si>
  <si>
    <t>SUBHASH VISHNU GHATOL</t>
  </si>
  <si>
    <t>ADDITIONAL EXECUTIVE ENGINEER AT MSEDCL (ELECTRICAL ENGINEER)</t>
  </si>
  <si>
    <t>ARADHANA SUBHASH GHATOL</t>
  </si>
  <si>
    <t>TRADER, CONTENT CREATOR AND HOMEMAKER</t>
  </si>
  <si>
    <t>204, 1A-C, SHUBHASHRI RESIDENCY PHASE 3, GANGANAGAR, AKURDI, PIMPRI-CHINCHWAD</t>
  </si>
  <si>
    <t>Sai Leela Heritage, Flat No. 201, Near Chandrabhaga Corner, Ravet</t>
  </si>
  <si>
    <t>CHHATRAPATI SHAHU ACADEMY, SATARA</t>
  </si>
  <si>
    <t>MSBSHSE,PUNE</t>
  </si>
  <si>
    <t>LOKNETE SUBRAO KADAM JR. COLLEGE OF ARTS, COMMERCE AND SCIENCE,Â SATARA</t>
  </si>
  <si>
    <t>AFFILIATED TO SAVITRIBAI PHULE PUNE UNIVERSITY (SPPU)</t>
  </si>
  <si>
    <t>PIMPRI CHINCHWAD COLLEGE OF ENGINEERING, PUNE, MAHARASHTRA</t>
  </si>
  <si>
    <t>AutoCAD,MS Office,MS Project,Primavera,WaterGEMS,ArcGIS,SimaPro,OpenLCA</t>
  </si>
  <si>
    <t>KSHIRSAGAR ENTERPRISES PVT. LTD. | RESEARCH SCHOLAR | KSHIRSAGAR ENTERPRISES PVT. LTD. AT POST KALAMB, TAL- AMBEGAON, DIST.- PUNE (410515) | Jun 2024 | Aug 2024 | 12 Weeks</t>
  </si>
  <si>
    <t>Principles of Construction Management- 65/100
Integrated Waste Management for a Smart City- 71/100
Sustainable Engineering Concepts and Life Cycle Analysis- 86/100
Building Materials as a Cornerstone to Sustainability- 94/100
Energy Conversion Technologies (Biomass and Coal)- 66/100
Engineering Aspects of Biofuels and Biomass Conversion Technologies- 90/100</t>
  </si>
  <si>
    <t>P25706010</t>
  </si>
  <si>
    <t>SREEDHARAN</t>
  </si>
  <si>
    <t>Sheetal Sreedharan</t>
  </si>
  <si>
    <t>ssreen2204@gmail.com</t>
  </si>
  <si>
    <t>p25706010@student.nicmar.ac.in</t>
  </si>
  <si>
    <t>22-Oct-2004</t>
  </si>
  <si>
    <t>English, Hindi, Marathi, Tamil</t>
  </si>
  <si>
    <t>Bharatnatyam,Carnatic vocals,Iyengar Yoga</t>
  </si>
  <si>
    <t>9090 7954 4786</t>
  </si>
  <si>
    <t>N. SREEDHARAN</t>
  </si>
  <si>
    <t>CHITRA SREEDHARAN</t>
  </si>
  <si>
    <t>RETIRED PROFESSOR</t>
  </si>
  <si>
    <t>Flat No 9, Comficentra, 40-A/2, Bhau-Patil Road, Bopodi, Pune.</t>
  </si>
  <si>
    <t>D.A.V PUBLIC SCHOOL, AUNDH, PUNE</t>
  </si>
  <si>
    <t>CBSE BOARD, CITY: PUNE</t>
  </si>
  <si>
    <t>LOYOLA HIGH SCHOOL AND JUNIOR COLLEGE, PASHAN, PUNE</t>
  </si>
  <si>
    <t>HSC BOARD IN PUNE</t>
  </si>
  <si>
    <t>MS Office,Python (Beginner level)</t>
  </si>
  <si>
    <t>Conservit Power Solutions  | Business development  | Pune | May 2026 | Jul 2026 | 8.7142857142857 Weeks | Campus Internship</t>
  </si>
  <si>
    <t>P25706011</t>
  </si>
  <si>
    <t>KADU</t>
  </si>
  <si>
    <t>Sakshi Atul Kadu</t>
  </si>
  <si>
    <t>sakshi10kadu@gmail.com</t>
  </si>
  <si>
    <t>p25706011@student.nicmar.ac.in</t>
  </si>
  <si>
    <t>9407 6977 6553</t>
  </si>
  <si>
    <t>ATUL SARDAR KADU</t>
  </si>
  <si>
    <t>SAVITA ATUL KADU</t>
  </si>
  <si>
    <t>Sakshi Villa, Datta Prasad, Housing Society, Lane No.2, Survey No.47/3, Ganesh Nagar, Wadgaonsheri, Pune- 411014</t>
  </si>
  <si>
    <t>PRODIGY PUBLIC SCHOOL, WAGHOLI</t>
  </si>
  <si>
    <t>CBSE, PUNE MAHARASHTRA</t>
  </si>
  <si>
    <t>NOWROSJEE WADIA COLLEGE, PUNE</t>
  </si>
  <si>
    <t>HSC, PUNE MAHARASHTRA</t>
  </si>
  <si>
    <t>MIT ART, DESIGN AND TECHNOLOGY UNIVERSITY,PUNE</t>
  </si>
  <si>
    <t>MIT ART, DESIGN AND TECHNOLOGY UNIVERSITY, PUNE, MAHARASHTRA</t>
  </si>
  <si>
    <t xml:space="preserve">AutoCAD, MS Office, Primavera, Adobe Photoshop, Adobe Illustrator, Adobe InDesign, One Click LCA, Sima Pro, Power BI </t>
  </si>
  <si>
    <t>Sustain And Save Pvt Ltd. | Green Building Analyst Intern | Pune | May 2026 | Jul 2026 | 8.7142857142857 Weeks | Campus Internship
Shree Bramha Architects | Architectural Intern | Wagholi,Pune  | Jan 2024 | Jun 2024 | 21.428571428571 Weeks</t>
  </si>
  <si>
    <t>GHG Accounting &amp; Carbon Accounting
Sustainable Engineering Concepts and Life Cycle Analysis
Product Engineering and Design Thinking</t>
  </si>
  <si>
    <t>P25706012</t>
  </si>
  <si>
    <t>PATHAK</t>
  </si>
  <si>
    <t>Harsh Pathak</t>
  </si>
  <si>
    <t>harshxpathak@gmail.com</t>
  </si>
  <si>
    <t>p25706012@student.nicmar.ac.in</t>
  </si>
  <si>
    <t>08-May-2003</t>
  </si>
  <si>
    <t>Music,Photography</t>
  </si>
  <si>
    <t>3616 8512 2270</t>
  </si>
  <si>
    <t>VIVEK PATHAK</t>
  </si>
  <si>
    <t>RASHMI PATHAK</t>
  </si>
  <si>
    <t>FLAT G 3,Ground Floor,Malhar Sankul,Baapgaon,Bhiwandi</t>
  </si>
  <si>
    <t>DON BOSCO HIGH SCHOOL</t>
  </si>
  <si>
    <t>K.M AGRAWAL COLLEGE</t>
  </si>
  <si>
    <t>FERGUSSON COLLEGE (AUTONOMOUS),PUNE</t>
  </si>
  <si>
    <t>Govardhan Eco Village | Energy Efficiency Intern | Govardhan Eco Village, Galtare, P.O. Hamrapur, Wada (Taluka), Palghar (District) - 421 303, Maharashtra, India  | May 2026 | Jul 2026 | 9.7142857142857 Weeks | Campus Internship</t>
  </si>
  <si>
    <t>P25706013</t>
  </si>
  <si>
    <t>Laxmikant Yeshwant Deshmukh</t>
  </si>
  <si>
    <t>lddeshmukh802@gmail.com</t>
  </si>
  <si>
    <t>p25706013@student.nicmar.ac.in</t>
  </si>
  <si>
    <t>9377 1595 6286</t>
  </si>
  <si>
    <t>YESHWANTRAO BHAGWANTRAO DESHMUKH</t>
  </si>
  <si>
    <t>JYOTI YESHWANTRAO DESHMUKH</t>
  </si>
  <si>
    <t>65, Panchmukhi Hanuman Mandir Ganesh Nagar Nanded</t>
  </si>
  <si>
    <t>NAGARJUNA PUBLIC SCHOOL NANDED</t>
  </si>
  <si>
    <t>SHRI CHATRAPATI SHIVAJI UCHCH MADHYAMIK VIDYALAYA ADAS</t>
  </si>
  <si>
    <t>MAHARASHTRA STATE BOARD OF SECONDARY &amp;HIGHER SECONDARY EDUCATION PUNE</t>
  </si>
  <si>
    <t>DR. BABASAHEB AMEBEDKAR TECHNOLOGICAL UNIVERSITY</t>
  </si>
  <si>
    <t>BALAJI DEVELOPER &amp; VASTU RACHANA ASSOCIATES | CIVIL ENGINEER  | PIMPRI CHINCHWAD | Apr 2025 | Jun 2025 | 12.857142857143 Weeks</t>
  </si>
  <si>
    <t>NPTEL ONLINE CERTIFICATION</t>
  </si>
  <si>
    <t>P25706014</t>
  </si>
  <si>
    <t>IQRA</t>
  </si>
  <si>
    <t>TAYABA</t>
  </si>
  <si>
    <t>Iqra Tayaba Shaik</t>
  </si>
  <si>
    <t>iqratayaba.shaik@gmail.com</t>
  </si>
  <si>
    <t>p25706014@student.nicmar.ac.in</t>
  </si>
  <si>
    <t>06-Dec-2001</t>
  </si>
  <si>
    <t>English,Hindi,Telugu</t>
  </si>
  <si>
    <t>2229 2252 2984</t>
  </si>
  <si>
    <t>SHAIK SHAMEER BASHA</t>
  </si>
  <si>
    <t>STRUCTURAL ENGINEER</t>
  </si>
  <si>
    <t>SHAIK TASNEEM BANU</t>
  </si>
  <si>
    <t>BLOCK B1,FLAT NO.615, SVS PATELS CALLISTO APARTMENTS, AMRUTAHALLI</t>
  </si>
  <si>
    <t>6-3-176,flat No.102,Shiri Avenue Apartments, Ram Nagar</t>
  </si>
  <si>
    <t>AKSHARA INTERNATIONAL SCHOOL</t>
  </si>
  <si>
    <t>ANANTAPUR, ANDHRA PRADESH</t>
  </si>
  <si>
    <t>PINEGROVE JUNIOR COLLEGE</t>
  </si>
  <si>
    <t>HYDERABAD,TELANGANA</t>
  </si>
  <si>
    <t>BM SREENIVASAIAH SCHOOL OF ARCHITECTURE, BANGALORE, KARNATAKA</t>
  </si>
  <si>
    <t>AutoCAD,MS Office,Primavera,Sketchup,Revit,Adobe Photoshop,Enscape</t>
  </si>
  <si>
    <t>Neev Green Building Consultancy | Green Building Analyst | Pune | May 2026 | Jul 2026 | 8.7142857142857 Weeks | Campus Internship</t>
  </si>
  <si>
    <t>9th Zero Energy Mass Custom Home</t>
  </si>
  <si>
    <t>P25706015</t>
  </si>
  <si>
    <t>PRITAL</t>
  </si>
  <si>
    <t>Kamble Prital Vijay</t>
  </si>
  <si>
    <t>pritalvijaykamble20@gmail.com</t>
  </si>
  <si>
    <t>p25706015@student.nicmar.ac.in</t>
  </si>
  <si>
    <t>01-Dec-1998</t>
  </si>
  <si>
    <t>9077 0751 0612</t>
  </si>
  <si>
    <t>VIJAY KAMBLE</t>
  </si>
  <si>
    <t>GANGA</t>
  </si>
  <si>
    <t>WARD NO-2, KANHAPUR, PO-SUKALI STATION, DIS- WARDHA</t>
  </si>
  <si>
    <t>MATOSHREE RAMABAI MADHAMIK VIDYALAYA, SINDHI (MEGHE), WARDHA</t>
  </si>
  <si>
    <t>D.C JUNIOR COLLAGE , SELOO</t>
  </si>
  <si>
    <t>RTMNU</t>
  </si>
  <si>
    <t>B.D. COLLAGE OF ENGINEERING SEWAGRAM, WARDHA</t>
  </si>
  <si>
    <t>AutoCAD,MS Office,MS Project,Primavera,Sketch UP,Staad Pro,MS-CIT</t>
  </si>
  <si>
    <t>M/S D.V. PATEL AND CO. ENGINEERS &amp; CONTRACTORS | SITE ENGINEER | WARDHA | May 2019 | Jun 2019 | 4.4285714285714 Weeks
R &amp; R ASSOCIATES ARCHITECTURE + CONSTRUCTION | SITE ENGINEER | WARDHA | Jan 2024 | Aug 2024 | 34.571428571429 Weeks
SPD INFRA CONSULTANTS PRIVATE LIMITED | CIVIL ENGINEER | NAGPUR | Oct 2022 | Dec 2023 | 61.857142857143 Weeks</t>
  </si>
  <si>
    <t>Occupational safety and Dignity of sanitation workers and dry waste man
MS-CIT
AUTO CAD
Energy Conversion Technolgies (Biomass and Coal)</t>
  </si>
  <si>
    <t>P25706016</t>
  </si>
  <si>
    <t>ANU</t>
  </si>
  <si>
    <t>DEEPTHI</t>
  </si>
  <si>
    <t>Anu Deepthi</t>
  </si>
  <si>
    <t>anudeepthiavk@gmail.com</t>
  </si>
  <si>
    <t>p25706016@student.nicmar.ac.in</t>
  </si>
  <si>
    <t>6434 4163 7345</t>
  </si>
  <si>
    <t>SHASHIDHARA K M</t>
  </si>
  <si>
    <t>SHAMITHA</t>
  </si>
  <si>
    <t>#12,sreerampura 2nd Stage, Kandayanagara, Mysore- 570023</t>
  </si>
  <si>
    <t>ACHARYA VIDYA KULA</t>
  </si>
  <si>
    <t>INDIAN CERTIFICATE OF SECONDARY EDUCATION(ICSE)</t>
  </si>
  <si>
    <t>CHAITRA PU COLLEGE</t>
  </si>
  <si>
    <t>KARNATAKA SCHOOL EXAMINATION AND ASSESSMENT BOARD(KSEAB)</t>
  </si>
  <si>
    <t>SRI JAYACHAMARAJENDRA COLLEGE OF ENGINEERING</t>
  </si>
  <si>
    <t>MS Office,Primavera,Simapro,Python,GaBi</t>
  </si>
  <si>
    <t>CIPLA | EHS intern | Bangalore | Aug 2024 | Sep 2024 | 4.4285714285714 Weeks
SABIC | LCA- Sustainability intern | Bangalore | Jan 2025 | Jul 2025 | 25.857142857143 Weeks</t>
  </si>
  <si>
    <t>P25706017</t>
  </si>
  <si>
    <t>ADHIP</t>
  </si>
  <si>
    <t>RAVIKRISHNAN</t>
  </si>
  <si>
    <t>Adhip Ravikrishnan</t>
  </si>
  <si>
    <t>adhip.ravikrishnan@gmail.com</t>
  </si>
  <si>
    <t>p25706017@student.nicmar.ac.in</t>
  </si>
  <si>
    <t>English, Hindi, Malayalam, Spanish</t>
  </si>
  <si>
    <t>8020 0017 2492</t>
  </si>
  <si>
    <t>DILEEP M KRISHNAN</t>
  </si>
  <si>
    <t>DIVYA R</t>
  </si>
  <si>
    <t>Haven On Hills, Thiruvallom P.O, Thiruvananthapuram</t>
  </si>
  <si>
    <t>CHRIST NAGAR SENIOR SECONDARY SCHOOL</t>
  </si>
  <si>
    <t>CBSE, TRIVANDRUM, KERALA</t>
  </si>
  <si>
    <t>CHRIST NAGAR ENGLISH HIGHER SECONDARY SCHOOL</t>
  </si>
  <si>
    <t>HSE KERALA, KOWDIAR, KERALA</t>
  </si>
  <si>
    <t>MAR BASELIOS COLLEGE OF ENGINEERING AND TECHNOLOGY, NALANCHIRA, KERALA</t>
  </si>
  <si>
    <t>AutoCAD,Primavera</t>
  </si>
  <si>
    <t>K Raheja Corp Real Estate Private Ltd. | ESG Intern | Bandra-Kurla Complex, Navi Mumbai, Maharashtra | May 2026 | Jun 2026 | 8 Weeks | Campus Internship
Chalet Hotels Ltd. | Intern | Westin Mumbai Powai Lake, Saki Vihar Road, Maharashtra, India | Apr 2023 | Apr 2023 | 1.5714285714286 Weeks
AHAM BUILDERS, CONSULTANTS, DEVELOPERS | INTERN | MANGALORE, KAZHAKUTTOM, MANACAUD | Oct 2023 | Oct 2023 | 1.1428571428571 Weeks</t>
  </si>
  <si>
    <t>P25706018</t>
  </si>
  <si>
    <t>Utkarsha Rajesh Bhosale</t>
  </si>
  <si>
    <t>utkarshabhosale00815@gmail.com</t>
  </si>
  <si>
    <t>p25706018@student.nicmar.ac.in</t>
  </si>
  <si>
    <t>Playing badminton,Explore heritage structure</t>
  </si>
  <si>
    <t>3971 5999 0212</t>
  </si>
  <si>
    <t>RAJESH BHOSALE</t>
  </si>
  <si>
    <t>RAILWAY T.E</t>
  </si>
  <si>
    <t>SARALA BHOSALE</t>
  </si>
  <si>
    <t>Khadka Road Chindhu Nemade Colony</t>
  </si>
  <si>
    <t>K.NARKHEDE VIDYALAYA</t>
  </si>
  <si>
    <t>MAHARASHTRA STATE BOARD OF SECONDARY AND HIGHER SECONDARY EDUCATION, NASHIK DIVISIONAL BOARD</t>
  </si>
  <si>
    <t>SINHGAD COLLEGE OF ARCHITECTURE VADGAON, PUNE.</t>
  </si>
  <si>
    <t>AutoCAD,MS Office,Primavera,Sketchup,photoshop,lumion,enscape,SIMA pro,Open LCA,One click LCA</t>
  </si>
  <si>
    <t>AIRBORNE INDUSTRIES LLP | ARCHITECT INTERN | PUNE | Jun 2024 | Nov 2024 | 21.571428571429 Weeks</t>
  </si>
  <si>
    <t>Awareness programme on energy conservation and ECSBC
IGBC-AP certificate
Exploring renewable energy scheme
Generative AI and ESG
Understanding research methods
Project valuation and the capital budgeting process
Renewable energy technology fundamental
Renewable power and electricity system
Renewable energy project
Introduction to generative AI in human resources
ESG essential for sustainable business
Global environmental management</t>
  </si>
  <si>
    <t>P25706019</t>
  </si>
  <si>
    <t>Abhijith S</t>
  </si>
  <si>
    <t>abhijith7737e@gmail.com</t>
  </si>
  <si>
    <t>p25706019@student.nicmar.ac.in</t>
  </si>
  <si>
    <t>ENGLISH,HINDI,MALAYALAM,TAMIL,KANNADA</t>
  </si>
  <si>
    <t>7242 6454 8057</t>
  </si>
  <si>
    <t>SASIDHARAN NAIR</t>
  </si>
  <si>
    <t>AGRI</t>
  </si>
  <si>
    <t>GEETHA P</t>
  </si>
  <si>
    <t>SREEVALSAM PULIMEL PATTOOR PO NOORANAD</t>
  </si>
  <si>
    <t>SREE BUDDHA CENTRAL SCHOOL PATTOOR</t>
  </si>
  <si>
    <t>HIGHER SECONDARY SCHOOL NOORANAD PADANILAM</t>
  </si>
  <si>
    <t>BOARD OF HIGHER SECONDARY EXAMINATION THIRUVANANTHAPURAM</t>
  </si>
  <si>
    <t>APJ ABDUL KALAM TECHNOLOGICAL UNIVERSITY THIRUVANANTHAPURAM KERALA</t>
  </si>
  <si>
    <t>MUSALIAR COLLEGE OF ENGINEERING AND TECHNOLOGY PATHANAMTHITTA</t>
  </si>
  <si>
    <t>MS Office,EXCEL,PYTHON,DATA ANALYTICS</t>
  </si>
  <si>
    <t>TRAINITY | DATA ANALYTICS | . | Jul 2023 | Sep 2023 | 8 Weeks
MATRIX ARCHITECTS AND INTERIORS | PROJECT COORDINATOR | ERNAKULAM | Sep 2021 | Sep 2022 | 53.571428571429 Weeks
ALMANAC NUTRITION PRIVATE LIMITED | BUSINESS DEVELOPMENT  | BENGALURU  | Jan 2024 | Jan 2025 | 54.285714285714 Weeks</t>
  </si>
  <si>
    <t>P25706020</t>
  </si>
  <si>
    <t>MOHAMMED ADNAN</t>
  </si>
  <si>
    <t>MOHAMMED ASLAM</t>
  </si>
  <si>
    <t>Mohammed Adnan Mohammed Aslam Shaikh</t>
  </si>
  <si>
    <t>adnanshaikh7796@gmail.com</t>
  </si>
  <si>
    <t>p25706020@student.nicmar.ac.in</t>
  </si>
  <si>
    <t>3066 6927 5066</t>
  </si>
  <si>
    <t>MOHAMMED ASLAM SHAIKH</t>
  </si>
  <si>
    <t>LABOR CONTRACTOR</t>
  </si>
  <si>
    <t>RASHIDA ASLAM SHAIKH</t>
  </si>
  <si>
    <t>Flat No. 202 Building No. 5, Moti Baug CHS. Ltd. Almas Colony Road, Near Shamim Apt. Mumbra, Thane.</t>
  </si>
  <si>
    <t>M. H. SABOO SIDDIK POLYTECHNIC</t>
  </si>
  <si>
    <t>ST. FRANCIS INSTITUTE OF TECHNOLOGY, MUMBAI</t>
  </si>
  <si>
    <t>AutoCAD,MS Office,MS Project,Primavera,Navis,MATLAB Simulink</t>
  </si>
  <si>
    <t>Listenlights | Associate Project Controls Engineer | Mumbai | Jun 2024 | Jul 2025 | 1Y 1M | 6.1</t>
  </si>
  <si>
    <t>BECIS | Intern - Construction &amp; Project Management  | Pune  | May 2026 | Jul 2026 | 9.5714285714286 Weeks | Campus Internship
DISCOVER TECHNOLOGIES | INTERN | ONLINE | May 2020 | Jun 2020 | 6.1428571428571 Weeks
Central Railway | Intern | Mumbai | Jun 2023 | Jun 2023 | 2.1428571428571 Weeks
BEST | Intern | Mumbai | Dec 2022 | Jan 2023 | 4.2857142857143 Weeks</t>
  </si>
  <si>
    <t>P25706021</t>
  </si>
  <si>
    <t>KHODKE</t>
  </si>
  <si>
    <t>BRAHMA</t>
  </si>
  <si>
    <t>SARANG</t>
  </si>
  <si>
    <t>Khodke Brahma Sarang</t>
  </si>
  <si>
    <t>linkmebrahma@gmail.com</t>
  </si>
  <si>
    <t>p25706021@student.nicmar.ac.in</t>
  </si>
  <si>
    <t>5499 6525 3495</t>
  </si>
  <si>
    <t>SARANG KHODKE</t>
  </si>
  <si>
    <t>SARLA KHODKE</t>
  </si>
  <si>
    <t>Flat No 302 3rd  Floor, Ashirwad Solar ASK &amp; COMPANY, Silver Park Apartment, Shivanjali Ln No. 2, Dattanagar, Chowk, Katraj, Pune, Maharashtra 411046</t>
  </si>
  <si>
    <t>JAGRUTHI VIDYALAYA, AKOLA, MAHARASHTRA</t>
  </si>
  <si>
    <t>RASHTRASANT TUKADOJI MAHARAJ NAGPUR UNIVERSITY, MAHARASHTRA</t>
  </si>
  <si>
    <t>G H RAISONI COLLAGE OF ENGINEERING AND MANAGEMENT, NAGPUR, MAHARASHTRA</t>
  </si>
  <si>
    <t>AutoCAD,MS Office,MS Project,Primavera,Power BI,SimaPro,One Click LCA</t>
  </si>
  <si>
    <t>Snil Contractors | Junior Engineer | Pune | Nov 2024 | Jul 2025 | 0Y 7M | 1.56</t>
  </si>
  <si>
    <t>Zilla Parishad, Nagpur | Intern | Nagpur | Jun 2023 | Jul 2023 | 4.2857142857143 Weeks
Maharashtra Jeevan Pradhikaran Sub Division Murtizapur | Intern | Murtizapur | Feb 2022 | Feb 2022 | 2.8571428571429 Weeks
A ONE GROUP, Shivajinagar, Pune | Intern | Pune | Dec 2023 | May 2024 | 21.571428571429 Weeks</t>
  </si>
  <si>
    <t>GCC-TBC English 30wpm
One day awareness Programme on Energy Conservation and ECSBC
McKinsey.org Forward Program
(NPTEL) Building Materials as a Cornerstone to Sustainability
Workshop on GHG Accounting &amp; Carbon Accounting</t>
  </si>
  <si>
    <t>P25706022</t>
  </si>
  <si>
    <t>AASTHA</t>
  </si>
  <si>
    <t>Aastha Atul Shinde</t>
  </si>
  <si>
    <t>aasthashinde08@gmail.com</t>
  </si>
  <si>
    <t>p25706022@student.nicmar.ac.in</t>
  </si>
  <si>
    <t>2873 8238 4479</t>
  </si>
  <si>
    <t>ATUL ANANDA SHINDE</t>
  </si>
  <si>
    <t>VRUSHALI ATUL SHINDE</t>
  </si>
  <si>
    <t>FLAT NO.24 WING A SNEHAL PARK SHASTRI NAGAR KOHAPUR MAHARASHTRA</t>
  </si>
  <si>
    <t>INDIAN CERTIFICATE OF SECONDARY EDUCATION (KOLHAPUR)</t>
  </si>
  <si>
    <t>SHAHU DAYANAND HIGH SCHOOL</t>
  </si>
  <si>
    <t>THE MAHARASHTRA STATE BOARD SECONDARY AND HIGHER SECONDARY EDUCATION (KOLHAPUR)</t>
  </si>
  <si>
    <t>KOLHAPUR INSTITUTE OF TECHNOLOGY'S COLLEGE OF ENGINEERING</t>
  </si>
  <si>
    <t>SURAJ ESTATE DEVELOPERS | INTERN | KOLHAPUR, MAHARASHTRA | Jan 2025 | Jun 2025 | 21.571428571429 Weeks</t>
  </si>
  <si>
    <t>REVIT
AUTO CAD</t>
  </si>
  <si>
    <t>P25706023</t>
  </si>
  <si>
    <t>AUM</t>
  </si>
  <si>
    <t>ROKADE</t>
  </si>
  <si>
    <t>Aum Rokade</t>
  </si>
  <si>
    <t>aum.rokade@gmaill.com</t>
  </si>
  <si>
    <t>p25706023@student.nicmar.ac.in</t>
  </si>
  <si>
    <t>7633 6529 5051</t>
  </si>
  <si>
    <t>VINOD ROKADE</t>
  </si>
  <si>
    <t>SUNITA KHADASE</t>
  </si>
  <si>
    <t>CAO, HEALTH DEPARTMENT, AKOLA</t>
  </si>
  <si>
    <t>C/O Sunita Khadse, Flat No. A 04, Plot No-36, Shree Bhagirathi Residency, Shahnoorwadi, Aurangabad, Maharashtra.</t>
  </si>
  <si>
    <t>PODAR INTERNATIONAL SCHOOL (CBSE)</t>
  </si>
  <si>
    <t>AURANGABAD, MAHARASHTRA, INDIA</t>
  </si>
  <si>
    <t>VASANTRAO NAIK MAHAVIDYALAYA</t>
  </si>
  <si>
    <t>DR. BABASAHEB AMBEDKAR TECHNOLOGICAL UNIVERSITY.</t>
  </si>
  <si>
    <t>DEOGIRI INSTITUTE OF ENGINEERING AND MANAGEMENT STUDIES</t>
  </si>
  <si>
    <t>Govardhan Eco-Village | Sustainability Intern | Govardhan Eco-Village, Palghar, Mumbai. | May 2026 | Jul 2026 | 9.5714285714286 Weeks | Campus Internship
S.B.S. &amp; ASSOCIATES | INTERN | AURANGABAD  | Mar 2023 | Jun 2023 | 13.714285714286 Weeks</t>
  </si>
  <si>
    <t>P25706024</t>
  </si>
  <si>
    <t>RAWLE</t>
  </si>
  <si>
    <t>Himanshu Rajendra Rawle</t>
  </si>
  <si>
    <t>himanshurawle@gmail.com</t>
  </si>
  <si>
    <t>p25706024@student.nicmar.ac.in</t>
  </si>
  <si>
    <t>03-Jan-1999</t>
  </si>
  <si>
    <t>Jump Rope,Speed Cubing</t>
  </si>
  <si>
    <t>8928 9031 8764</t>
  </si>
  <si>
    <t>House No.3571, Misal Layout, Behind Old Shiv Temple, Jaripatka, Nagpur_x000D_
Anusaya Niwas</t>
  </si>
  <si>
    <t>BHAVAN'S BHAGWANDAS PUROHIT VIDYA MANDIR CIVIL LINES , NAGPUR</t>
  </si>
  <si>
    <t>CENTRAL BOARD OF SECONDARY EDUCATION , NAGPUR , MAHARASHTRA</t>
  </si>
  <si>
    <t>CENTRE POINT SCHOOL KATOL ROAD , NAGPUR</t>
  </si>
  <si>
    <t>SIR J.J. COLLEGE OF ARCHITECTURE , MUMBAI , MAHARASHTRA</t>
  </si>
  <si>
    <t>AutoCAD,MS Office,MS Project,Primavera,Revit,Naviswork,Photoshop,Lumion,Notion,Sketchup,Twinmotion,Premier Pro,Indesign,Canva</t>
  </si>
  <si>
    <t>SPACE DESIGN ARCHITECTS PLANNER AND INTERIOR DESIGNER | JUNIOR ARCHITECT INTERN | NAVI MUMBAI | Jan 2021 | May 2021 | 16.714285714286 Weeks
HABITROO ARCH SPACE PVT LTD | JUNIOR ARCHITECT AND MANAGEMENT INTERN | PUNE | May 2025 | Jul 2025 | 8.7142857142857 Weeks</t>
  </si>
  <si>
    <t>Exploring Renewable Energy Schemes
Generative AI and ESG
Global Environment Management
Introduction to Generative AI in Human Resource
Master Microsoft Excel Apply, Analyze &amp; Visualize
Renewable Energy Technology Management
ESG Essentials for Sustainable Business
Google Ads for Beginners Coursera Project Network
Foundations of User Experience (UX) Design Google
Autodesk Revit Certified Professional Certification|Autodesk
Autodesk Naviswork|Autodesk
Successful Negotiation: Essential Strategies and Skills|Coursera|University of Michigan
Sales Representative Certification Program|Reliance Foundation|National Skill Development Corporation
BIM Professional Course for Architects and Engineers|Novatr|National Skill Development Corporation</t>
  </si>
  <si>
    <t>P25706025</t>
  </si>
  <si>
    <t>ROHINI</t>
  </si>
  <si>
    <t>WAGHMODE</t>
  </si>
  <si>
    <t>Rohini Tanaji Waghmode</t>
  </si>
  <si>
    <t>rohiniwaghmode13@gmail.com</t>
  </si>
  <si>
    <t>p25706025@student.nicmar.ac.in</t>
  </si>
  <si>
    <t>Marathi , English , Hindi</t>
  </si>
  <si>
    <t>Sports,trekking,traveling,photography,documentation,and organizing team events.</t>
  </si>
  <si>
    <t>5214 2683 1832</t>
  </si>
  <si>
    <t>NEAR WESTEND MALL , AUNDH</t>
  </si>
  <si>
    <t>At Post Tisangi , Taluka - Pandharpur , Dist - Solapur 413304</t>
  </si>
  <si>
    <t>SINHGAD PUBLIC SCHOOL</t>
  </si>
  <si>
    <t>CBSE , PANDHARPUR , MAHARASHTRA</t>
  </si>
  <si>
    <t>ANNASAHEB PATILVA UCCHA VIDYALAY TISANGI , PANDHARPUR , MAHARASHTRA</t>
  </si>
  <si>
    <t>MAHARASHTRA STATE BOARD OF SECONDARY &amp; HIGHER SECONDARY EDUCATION, PANDHARPUR, MAHARASHTRA</t>
  </si>
  <si>
    <t>DR BHANUBEN NANAVATI COLLEGE OF ARCHITECTURE FOR WOMEN</t>
  </si>
  <si>
    <t>AutoCAD,MS Office,MS Project,Primavera,Sketch up,Lumion,enscape,climate consultant,ecotect analysis,canva</t>
  </si>
  <si>
    <t>Meraki Architecture | Junior Architect | Pune | Feb 2025 | Aug 2025 | 0Y 6M | 1.8</t>
  </si>
  <si>
    <t>CHANDAN PARAB DESIGNS | INTERN ARCHITECT | GOA | Jun 2023 | Dec 2023 | 26.142857142857 Weeks</t>
  </si>
  <si>
    <t>NATURAL MATERIAL HANDS ON WORKSHOP
VOLLEYBALL TOURNAMENT
COA ARCHITECT LICENSE</t>
  </si>
  <si>
    <t>P25706026</t>
  </si>
  <si>
    <t>MANU</t>
  </si>
  <si>
    <t>Manu R</t>
  </si>
  <si>
    <t>manu.rs08113@gmail.com</t>
  </si>
  <si>
    <t>p25706026@student.nicmar.ac.in</t>
  </si>
  <si>
    <t>08-Nov-2003</t>
  </si>
  <si>
    <t>English,Hindi,Tamil,Kannada</t>
  </si>
  <si>
    <t>2725 5502 8732</t>
  </si>
  <si>
    <t>RAJANI R</t>
  </si>
  <si>
    <t>SAVITHA R</t>
  </si>
  <si>
    <t>19/1,15th Cross,4th Main,LN Puram</t>
  </si>
  <si>
    <t>SRI CHAITANYA PU COLLEGE</t>
  </si>
  <si>
    <t>B.M.S COLLEGE OF ENGINEERING</t>
  </si>
  <si>
    <t>South Western Railway,Office of the Deputy Chief Engineer(Station Development,Construction Organisation), Bengaluru Cantonment | Student Trainee- Station Development and Construction  | Yeshwanthpur Railway Station | Jul 2024 | Aug 2024 | 4.2857142857143 Weeks</t>
  </si>
  <si>
    <t>P25701001</t>
  </si>
  <si>
    <t>RACHANA</t>
  </si>
  <si>
    <t>SREEKUMAR</t>
  </si>
  <si>
    <t>Rachana Sreekumar</t>
  </si>
  <si>
    <t>rachanascivil@gmail.com</t>
  </si>
  <si>
    <t>p25701001@student.nicmar.ac.in</t>
  </si>
  <si>
    <t>22-May-2003</t>
  </si>
  <si>
    <t>English, Tamil, Malayalam, Hindi</t>
  </si>
  <si>
    <t>8498 1502 2705</t>
  </si>
  <si>
    <t>B SREEKUMAR</t>
  </si>
  <si>
    <t>K P JAYA</t>
  </si>
  <si>
    <t>No.3 Anjana 4th Main Road Vijaya Nagar Velachery Chennai - 600042</t>
  </si>
  <si>
    <t>DAV SCHOOL ADAMBAKKAM</t>
  </si>
  <si>
    <t>CENTRAL BOARD OF SECONDARY EDUCATION (CHENNAI /TAMILNADU)</t>
  </si>
  <si>
    <t>CHETTINAD VIDYASHRAM</t>
  </si>
  <si>
    <t>ANNA UNIVERSITY (CEG CAMPUS)</t>
  </si>
  <si>
    <t>COLLEGE OF ENGINEERING GUINDY, CHENNAI. TAMILNADU</t>
  </si>
  <si>
    <t>AutoCAD, MS Office, MS Project, Primavera</t>
  </si>
  <si>
    <t>KPMG India | Intern - Major Project Advisory (MPA) team | Bangalore | May 2026 | Jun 2026 | 7.5714285714286 Weeks | Campus Internship
BAASHYAAM CONSTRUCTIONS | SITE WORK | Chennai | May 2024 | Jun 2024 | 4.2857142857143 Weeks
INDIAN INSTITUTE OF TECHNOLOGY, MADRAS (IIT-M) | Lab work assistance | Chennai | Jun 2023 | Jul 2023 | 4.2857142857143 Weeks</t>
  </si>
  <si>
    <t>Certificate of Completion (Udemy) - The Project Management Course - Beginner to PROject Manager
Certificate of Completion (Udemy )- Managerial Economics - Effective Business Decisionmaking
Certificate of Achievement - Udbhav 2025 - Transmission_404
Certificate of Achievement - Udbhav 2025 - Riot Pulse
National Sports Organization (NSO) Certification
NPTEL Certification - Strategic Communication for Sustainable Development
Letter of Appointment - Pixels, The Photography and Videography club of CEG - Head of Contents
Letter of Appointment - CEG Tech Forum - Organizer in Marketing domain
Indian Concrete Institute (ICI) Student Member certificate
Certificate of Completion - Employability Skills Development Training Programme
Certificate of Merit - Thiru C.R Ramamoorthy Memorial Endowment award for highest mark in Irrigation Engineering
Certificate of Attendance - World Conference on Earthquake Engineering (WCEE) 2024 at Milan, Italy
Certificate of Participation -  International Conference on Construction Materials and Structures (ICCMS) 2025 conducted by IIT Tirupati
Certificate of Participation - National Essay Writing Competition 2024 on the occasion of Audit Diwas.
Certificate of Participation - Construction Technologies for Sustainable Infrastructure (CTSI) Workshop conducted by IIT Madras
Certificate of Appreciation - The Literary Club of Anna University - Member of Social Media and Contents Domain
Certificate of Appreciation - The Guindy Times - Member
Certificate of Appreciation - Society of Civil Engineers (SCE) Executive Member
Certificate of Appreciation - Volunteer in ICCRIP 2025 as Master of Ceremonies (MC) for Inaugural ceremony
Certificate of Merit - Best Project VII Semester (B.E Civil Engineering) - Krishnaswamy Mohan Memorial Endowment Award
Certificate of Completion - Lean Six sigma Green Belt (LSSGB) Certification Programme offered by KPMG
Certificate of Participation - International Conference on Construction, Real Estate, Infrastructure and Project Management (ICCRIP) 2025 conducted by NICMAR University, Pune</t>
  </si>
  <si>
    <t>P25701002</t>
  </si>
  <si>
    <t>KOTKAR</t>
  </si>
  <si>
    <t>Aniruddha Rajendra Kotkar</t>
  </si>
  <si>
    <t>kotkaraniruddha@gmail.com</t>
  </si>
  <si>
    <t>p25701002@student.nicmar.ac.in</t>
  </si>
  <si>
    <t>14-Jul-2001</t>
  </si>
  <si>
    <t>9307 6764 0442</t>
  </si>
  <si>
    <t>FIRE OFFICER</t>
  </si>
  <si>
    <t>PARNIKA</t>
  </si>
  <si>
    <t>16/B, Damayanti Niwas, Behind Vitthal Mandir, Vitawa Koliwada, Belapur Road, Thane, Post-Kalwa.</t>
  </si>
  <si>
    <t>SHIV SAMARTH VIDYALAYA, THANE.</t>
  </si>
  <si>
    <t>MAHARASHTRA STATE BOARD OF SECONDARY AND HIGHER SECONDARY EDUCATION, PUNE WITH THANE.</t>
  </si>
  <si>
    <t>V.G. VAZE COLLEGE OF ARTS, SCIENCE AND COMMERCE, MULUND EAST, MUMBAI.</t>
  </si>
  <si>
    <t>MAHATMA GANDHI MISSION'S COLLEGE OF ENGINEERING &amp; TECHNOLOGY, KAMOTHE, NAVI MUMBAI.</t>
  </si>
  <si>
    <t>AutoCAD,MS Office,MS Project,STAAD.Pro,ERP,Revit</t>
  </si>
  <si>
    <t>Unique Concrete Technologies Pvt. Ltd. | Site Engineer | Koparkhairane, Navi Mumbai | Jun 2023 | Jan 2025 | 1Y 7M | 3</t>
  </si>
  <si>
    <t>PSP Projects Limited | Civil Intern | International Airport Terminal 1, Vile Parle Mumbai 400099 | May 2026 | Jul 2026 | 8.7142857142857 Weeks | Campus Internship
G.R. Engineering Pvt. Ltd. | Junior Site Engineer | Piramal Revanta, Mulund, Mumbai | Sep 2022 | May 2023 | 38.857142857143 Weeks</t>
  </si>
  <si>
    <t>AutoCAD
Maharastra State Certificate in Information Technology (MS-CIT)
Microsoft Project Cource 2016, 2019, 2021 6 PDUs
Coursera- Managing Project Risks and Changes
Coursera- Project Management- The Basics for Sucess
Coursera - Introduction to Corporate Finance</t>
  </si>
  <si>
    <t>P25701003</t>
  </si>
  <si>
    <t>SANDIP</t>
  </si>
  <si>
    <t>THORAT</t>
  </si>
  <si>
    <t>Shreyas Sandip Thorat</t>
  </si>
  <si>
    <t>shreyas.291203@gmail.com</t>
  </si>
  <si>
    <t>p25701003@student.nicmar.ac.in</t>
  </si>
  <si>
    <t>29-Dec-2003</t>
  </si>
  <si>
    <t>Singing,Guitar,Basketball</t>
  </si>
  <si>
    <t>8584 6479 7004</t>
  </si>
  <si>
    <t>SANDEEP THORAT</t>
  </si>
  <si>
    <t>SANDHYA THORAT</t>
  </si>
  <si>
    <t>B-14, Emirates Hills, Somatne Phata, Talegaon Dabhade, Maval, Pune - 410506</t>
  </si>
  <si>
    <t>INDIRA NATIONAL SCHOOL, TATHAWADE, PUNE</t>
  </si>
  <si>
    <t>CENTRAL BOARD OF SECONDARY EDUCATION, PUNE, MAHARASHTRA</t>
  </si>
  <si>
    <t>MODERN COLLEGE OF ARTS, SCIENCE AND COMMERCE, SHIVAJINAGAR, PUNE</t>
  </si>
  <si>
    <t>PIMPRI CHINCHWAD COLLEGE OF ENGINEERING &amp; RESEARCH, PUNE</t>
  </si>
  <si>
    <t>AutoCAD,MS Office,MS Project,Primavera,Matlab Simulink,Candy</t>
  </si>
  <si>
    <t>ASCENT SURVEY | SURVEY INTERN | KHOPOLI, MAHARASHTRA | Jun 2024 | Jul 2024 | 4.1428571428571 Weeks
Know How Institute | Trainee | Akurdi, Pune | Dec 2023 | Jan 2024 | 3.7142857142857 Weeks</t>
  </si>
  <si>
    <t>HIT-OFFICE CERTIFICATION
Certificate of Completion - Hydraulic and Mathematical Modeling of Spillway and Hydraulic Structures organized by Central Water and Power Research Station (CWPRS), Pune
Certificate of Participation - AI Innovations and MATLAB Solutions (International FDP) conducted by Pimpri Chinchwad College of Engineering &amp; Research, Ravet
Certificate of Completion - Overview of Space Science and Technology organized by ISRO
Certificate of Participation - Geospatial Technology for Climate-Smart Agriculture organized by ISRO
Certificate of Completion (Coursera) - Microeconomics Principles authorized by University of Illinois Urbana-Champaign
Certificate of Completion (Coursera) - Introduction to Corporate Finance authorized by University of Pennsylvania
Certificate of Completion (Coursera) - Project Management: The Basics for Success authorized by University of California, Irvine
Certificate of Completion - Business Analytics Program conducted by Finlatics</t>
  </si>
  <si>
    <t>P25701004</t>
  </si>
  <si>
    <t>ZAYEEM</t>
  </si>
  <si>
    <t>SHARIEF</t>
  </si>
  <si>
    <t>Zayeem Sharief</t>
  </si>
  <si>
    <t>zayeemsharief@gmail.com</t>
  </si>
  <si>
    <t>p25701004@student.nicmar.ac.in</t>
  </si>
  <si>
    <t>24-May-2002</t>
  </si>
  <si>
    <t>4841 4471 0513</t>
  </si>
  <si>
    <t>MASTAN SHARIEF</t>
  </si>
  <si>
    <t>BUSINESSMAN, LANDLORD AND AGRICULTURIST</t>
  </si>
  <si>
    <t>SYEDA THASNIM BANU</t>
  </si>
  <si>
    <t>Block - A1, Flat No - 1201, Mahaveer Riviera Apartment, 24th Main Road,  J.P Nagar 5th Phase, Bengaluru-560078</t>
  </si>
  <si>
    <t>BISHOP COTTON BOYS' SCHOOL</t>
  </si>
  <si>
    <t>INDIAN CERTIFICATE OF SECONDARY EDUCATION, NEW DELHI</t>
  </si>
  <si>
    <t>DAYANANDA SAGAR ACADEMY OF TECHNOLOGY AND MANAGEMENT, BENGALURU, KARNATAKA</t>
  </si>
  <si>
    <t>AutoCAD,MS Office,MS Project,Primavera,POWER BI,CANDY,IBM SPSS Statistcs,@RISK</t>
  </si>
  <si>
    <t>Reddy Structures Pvt. Ltd. | Project Development Intern | Bengaluru | May 2026 | Jul 2026 | 8.7142857142857 Weeks | Campus Internship
CUSHMAN AND WAKEFIELD | PROJECT INTERN, SITE ENGINEER | BIRLA ALOKYA, WHITEFILED | Sep 2024 | Nov 2024 | 8.7142857142857 Weeks</t>
  </si>
  <si>
    <t>P25701005</t>
  </si>
  <si>
    <t>KAAVYA</t>
  </si>
  <si>
    <t>MAANSI</t>
  </si>
  <si>
    <t>Kaavya Maansi</t>
  </si>
  <si>
    <t>thisismaansikam20@gmail.com</t>
  </si>
  <si>
    <t>p25701005@student.nicmar.ac.in</t>
  </si>
  <si>
    <t>20-Jul-2001</t>
  </si>
  <si>
    <t>ENGLISH, TAMIL, HINDI</t>
  </si>
  <si>
    <t>2871 5103 1520</t>
  </si>
  <si>
    <t>C MADHAN KUMAR</t>
  </si>
  <si>
    <t>PASSED AWAY</t>
  </si>
  <si>
    <t>RADHIKA S</t>
  </si>
  <si>
    <t>32 A, Bryant Nagar, 4th Street Middle, Thoothukkudi</t>
  </si>
  <si>
    <t>Thoothukudi</t>
  </si>
  <si>
    <t>THE VIKASA SCHOOL, THOOTHUKKUDI</t>
  </si>
  <si>
    <t>COUNCIL FOR INDIAN CERTIFICATE EXAMINATIONS, NEW DELHI</t>
  </si>
  <si>
    <t>INDIAN SCHOOL CERTIFICATE EXAMINATION, NEW DELHI</t>
  </si>
  <si>
    <t>ANNA UNIVERSITY, CHENNAI</t>
  </si>
  <si>
    <t>MOHAMED SATHAK A.J. ACADEMY OF ARCHITECTURE, CHENNAI, TAMIL NADU</t>
  </si>
  <si>
    <t>Primavera P6 | Microsoft Project | Microsoft Office | AutoCAD | Autodesk Revit | SketchUp | Navisworks Manage | Candy (CCS Candy) | Lumion | Twinmotion | Enscape | Adobe Photoshop | AI Tools</t>
  </si>
  <si>
    <t>ECONSTRUCT DESIGN &amp; BUILD PVT. LTD. | PROJECT MANAGEMENT INTERN &amp; BUSINESS ANALYST | BANGALORE | May 2026 | Jun 2026 | 8.1428571428571 Weeks | Campus Internship
LARSEN AND TOUBRO LIMITED | ARCHITECT | MANAPAKKAM, CHENNAI | Jul 2023 | Nov 2023 | 17.571428571429 Weeks</t>
  </si>
  <si>
    <t xml:space="preserve">Be 10X WORKSHOP
TASA - CERTIFIED COURSE (SKETCH UP)
COA - CERTIFICATE OF REGISTRATION
AUTODESK CERTIFICATION - NAVISWORKS MANAGE
AUTODESK CERTIFICATION - REVIT
COURSERA - PROJECT MANAGEMENT: THE BASICS FOR SUCCESS
COURSERA - INTRODUCTION TO CORPORATE FINANCE
NPTEL - MODERN INDIAN ARCHITECTURE
NOVATR - BIM PROFESSIONAL COURSE FOR ARCHITECTS
NSDC Certificate
ANNA UNIVERSITY RANK HOLDER
ALUMINI CERTIFICATE OF ACHIEVEMENT </t>
  </si>
  <si>
    <t>P25701007</t>
  </si>
  <si>
    <t>Yash Pravin Sonar</t>
  </si>
  <si>
    <t>yashsonar0101@gmail.com</t>
  </si>
  <si>
    <t>p25701007@student.nicmar.ac.in</t>
  </si>
  <si>
    <t>01-Sep-2001</t>
  </si>
  <si>
    <t>3254 5005 3230</t>
  </si>
  <si>
    <t>Flat No. 301, Plot No. 382, Datta Prasanna Apartment Near Datta Mandir, Sai Section,_x000D_
Ambarnath City</t>
  </si>
  <si>
    <t>SMT SUHASINI PRABHAKAR ADHIKARI MADHYAMIK VIDHYALAY</t>
  </si>
  <si>
    <t>MAHARASTRA STATE BOARD OF SECONDARY AND HIGHER SECONDARY EDUCATION, AMBERNATH/MAHARASTRA</t>
  </si>
  <si>
    <t>NEW ENGLISH HIGH SCHOOL AND JUNIOR COLLEGE</t>
  </si>
  <si>
    <t>MAHARASTRA STATE BOARD OF SECONDARY AND HIGHER SECONDARY EDUCATION, ULHASNAGAR/MAHARASTRA</t>
  </si>
  <si>
    <t>S.H. JONDHALE POLYTECHNIC, DOMBIVLI/MAHARASTRA</t>
  </si>
  <si>
    <t>MAHARASTRA INSTITUTE OF TECHNOLOGY WORLD PEACE UNIVERSITY, PUNE/MAHARASTRA</t>
  </si>
  <si>
    <t>Primavera P6, MS Project, SAP, MS Office, AutoCAD</t>
  </si>
  <si>
    <t>SHAPOORJI PALLONJI AND COMPANY PRIVATE LIMITED | Graduate Engineer Trainee (Civil) | Kandivali, Mumbai  | Aug 2024 | Dec 2024 | 0Y 4M | 3.75</t>
  </si>
  <si>
    <t>NEW CONSOLIDATED CONSTRUCTION CO. LTD. | Civil Engineer Intern  | Seawoods, Navi Mumbai  | May 2026 | Jul 2026 | 8.7142857142857 Weeks | Campus Internship
PARANJAPE SCHEMES (CONSTRUCTION) LIMITED | Civil Engineer Intern  | Wakad, Pune  | Feb 2024 | May 2024 | 14.857142857143 Weeks</t>
  </si>
  <si>
    <t>P25701008</t>
  </si>
  <si>
    <t>AHAN</t>
  </si>
  <si>
    <t>Ahan Ketan Vaidya</t>
  </si>
  <si>
    <t>architectahanvaidya@gmail.com</t>
  </si>
  <si>
    <t>p25701008@student.nicmar.ac.in</t>
  </si>
  <si>
    <t>4921 3416 8548</t>
  </si>
  <si>
    <t>KETAN PRABHAKAR VAIDYA</t>
  </si>
  <si>
    <t>JAYALI KETAN VAIDYA</t>
  </si>
  <si>
    <t>DENTAL SURGEON</t>
  </si>
  <si>
    <t>B-2001,IMPERIAL HEIGHTS,NEAR BEST COLONY,GOREGAON (WEST),MUMBAI-400104</t>
  </si>
  <si>
    <t>JANKIDEVI PUBLIC SCHOOL</t>
  </si>
  <si>
    <t>SVKM'S MITHIBAI COLLEGE OF ARTS, CHAUHAN INSTITUTE OF SCIENCE AND AMRUTBEN JIVANLAL COLLEGE OF COMMERCE AND ECONOMICS</t>
  </si>
  <si>
    <t>THAKUR SCHOOL OF ARCHITECTURE AND PLANNING, MUMBAI</t>
  </si>
  <si>
    <t>AutoCAD,MS Office,MS Project,Sketchup,Photoshop,Archicad,Lumion</t>
  </si>
  <si>
    <t>Ketan Vaidya Associates |  Architect-Project Planning &amp; Liasoning | MUMBAI | Jun 2023 | May 2025 | 1Y 11M | 3.84</t>
  </si>
  <si>
    <t>Colliers  | Technical Advisory-Intern | MUMBAI | May 2026 | Jul 2026 | 8.5714285714286 Weeks | Campus Internship
Ingrain | Architectural intern | MUMBAI | Nov 2021 | Apr 2022 | 20.285714285714 Weeks</t>
  </si>
  <si>
    <t>Real Estate Development and Management</t>
  </si>
  <si>
    <t>P25701009</t>
  </si>
  <si>
    <t>MUKUNDRAJ</t>
  </si>
  <si>
    <t>ANVIKAR</t>
  </si>
  <si>
    <t>Varun Mukundraj Anvikar</t>
  </si>
  <si>
    <t>varun.m.anvikar@gmail.com</t>
  </si>
  <si>
    <t>p25701009@student.nicmar.ac.in</t>
  </si>
  <si>
    <t>27-Oct-1999</t>
  </si>
  <si>
    <t>9150 0745 8762</t>
  </si>
  <si>
    <t>MUKUNDRAJ CHANDRAKANT ANVIKAR</t>
  </si>
  <si>
    <t>MADHURA MUKUNDRAJ ANVIKAR</t>
  </si>
  <si>
    <t>CLINICAL PSYCHOLOGIST</t>
  </si>
  <si>
    <t>401, Sakhamai Sadan, Plot No.51, Behind Green Olive Hotel, Bhagyanagar, Chhatrapati Sambhajinagar</t>
  </si>
  <si>
    <t>NATH VALLEY SCHOOL</t>
  </si>
  <si>
    <t>CBSE - AURANGABAD/MAHARASHTRA</t>
  </si>
  <si>
    <t>SMEF'S BRICK SCHOOL OF ARCHITECTURE, PUNE/MAHARASHTRA</t>
  </si>
  <si>
    <t>AutoCAD,SketchUp,Photoshop,Rhino,Enscape,Lumion,InDesign,Revit,Primavera,coral,MS Project,Excel,MS Office</t>
  </si>
  <si>
    <t>Kasturi Kulkarni and Associates | Junior Architect | Aurangabad | Apr 2024 | Jun 2025 | 1Y 2M | 2.52</t>
  </si>
  <si>
    <t>DAISARIA ASSOCIATES | INTERN ARCHITECT | MUMBAI | Jun 2021 | Nov 2021 | 25.285714285714 Weeks</t>
  </si>
  <si>
    <t>P25701010</t>
  </si>
  <si>
    <t>Arnav Soni</t>
  </si>
  <si>
    <t>soni.arnav@gmail.com</t>
  </si>
  <si>
    <t>p25701010@student.nicmar.ac.in</t>
  </si>
  <si>
    <t>English, Hindi, German (CEFR A1)</t>
  </si>
  <si>
    <t>7216 3978 6333</t>
  </si>
  <si>
    <t>VISHAL SONI</t>
  </si>
  <si>
    <t>EXECUTIVE ENGINEER</t>
  </si>
  <si>
    <t>PRABHA SONI</t>
  </si>
  <si>
    <t>36 Pula, Vrij Vihar, Near RK Circle, Udaipur</t>
  </si>
  <si>
    <t>Udaipur</t>
  </si>
  <si>
    <t>MAHARAHA MEWAR PUBLIC SCHOOL</t>
  </si>
  <si>
    <t>CENTRAL BOARD OF SECONDARY EDUCATION, UDAIPUR, RAJASTHAN</t>
  </si>
  <si>
    <t>MAHARANA MEWAR PUBLIC SCHOOL</t>
  </si>
  <si>
    <t>MUGNEERAM BANGUR MEMORIAL UNIVERSITY</t>
  </si>
  <si>
    <t>MUGNEERAM BANGUR MEMORIAL COLLEGE, JODHPUR, RAJASTHAN</t>
  </si>
  <si>
    <t>AutoCAD,MS Office,MS Project,Primavera,Revit,Rhino,Airtable,Navisworks,Recap Pro,SAP</t>
  </si>
  <si>
    <t>Shantanu Sharma and Associates | Junior Architect | Udaipur | Apr 2023 | Apr 2024 | 1Y 0M | 1.44
Techture Structures Pvt. Ltd. | Junior BIM Architect | Indore | May 2024 | Mar 2025 | 0Y 10M | 3.33</t>
  </si>
  <si>
    <t>Ahluwalia Contracts (India) Limited | Project Management Intern | Gurugram | May 2026 | Jun 2026 | 8.1428571428571 Weeks | Campus Internship
Venugopal and Associates | Architectural Intern | Udaipur | Oct 2021 | Mar 2022 | 25 Weeks</t>
  </si>
  <si>
    <t>Indian Green Building Council - Accredited Professional
Building Information Modelling - Structure and Architecture
Lean Six Sigma - Green Belt [KPMG]
Applied Statistics and Data Analysis</t>
  </si>
  <si>
    <t>P25701011</t>
  </si>
  <si>
    <t>MEET</t>
  </si>
  <si>
    <t>Meet Sanjay Patel</t>
  </si>
  <si>
    <t>meetpatel5811@gmail.com</t>
  </si>
  <si>
    <t>p25701011@student.nicmar.ac.in</t>
  </si>
  <si>
    <t>06-Jul-2000</t>
  </si>
  <si>
    <t>ENGLISH, HINDI, MARATHI GUJARATI</t>
  </si>
  <si>
    <t>4698 2626 8026</t>
  </si>
  <si>
    <t>SANJAY PATEL</t>
  </si>
  <si>
    <t>MANISHA PATEL</t>
  </si>
  <si>
    <t>F-2, Silver Leaf Appartment, Tirthrup Nagar, Chawhan Colony, Near W.C.L. Quarter, CHANDRAPUR</t>
  </si>
  <si>
    <t>ST. MICHAELâ€™S SCHOOL, CHANDRAPUR</t>
  </si>
  <si>
    <t>BAJAJ CHANDRAPUR POLYTECHNIC, CHANDRAPUR</t>
  </si>
  <si>
    <t>SINHGAD INSTITUTE OF TECHNOLOGY, LONAVALA</t>
  </si>
  <si>
    <t>Majestic Realties | HR Operations &amp; Project Coordination Intern | pune | May 2026 | Jun 2026 | 7.7142857142857 Weeks | Campus Internship
Hani Enterprises | Operation and Maintenance Executive | Chandrapur | Jul 2022 | Jun 2025 | 154.42857142857 Weeks</t>
  </si>
  <si>
    <t>Project Management: The Basics for Success
Introduction to Corporate Finance</t>
  </si>
  <si>
    <t>P25701013</t>
  </si>
  <si>
    <t>AKANKSHA</t>
  </si>
  <si>
    <t>Akanksha Avinash Patil</t>
  </si>
  <si>
    <t>akankshapatil1449@gmail.com</t>
  </si>
  <si>
    <t>p25701013@student.nicmar.ac.in</t>
  </si>
  <si>
    <t>14-Apr-1999</t>
  </si>
  <si>
    <t>English,Hindi,Marathi, Kannada</t>
  </si>
  <si>
    <t>Reading,Traveling</t>
  </si>
  <si>
    <t>5699 3975 1939</t>
  </si>
  <si>
    <t>AVINASH PATIL</t>
  </si>
  <si>
    <t>PADMA A. PATIL</t>
  </si>
  <si>
    <t>103, 18 LATTITUDE PHASE 2 GAIKWAD NAGAR PUNAWALE_x000D_</t>
  </si>
  <si>
    <t>5th Floor Iris Apartment Karandemala Kolhapur</t>
  </si>
  <si>
    <t>NEW MODEL ENGLISH SCHOOL</t>
  </si>
  <si>
    <t>MAHAVEER COLLEGE, KOLHAPUR</t>
  </si>
  <si>
    <t>D.Y. PATIL SCHOOL OF ARCHITECTURE, KOLHAPUR.</t>
  </si>
  <si>
    <t>AutoCAD,MS Office,MS Project,Primavera,Sketchup,Lumion,Twinmotion,3Ds Max,Photoshop,Revit,Naviswork</t>
  </si>
  <si>
    <t>Meinhardt EPCM | Junior Manager Architect | Bengaluru | Aug 2022 | Nov 2024 | 2Y 3M | 3.5</t>
  </si>
  <si>
    <t>Architecture Rushikesh H. | Project management intern | Pune | May 2026 | Jul 2026 | 9.5714285714286 Weeks | Campus Internship
PRASHANT S HADKAR CONSULTING ENGINEER | ARCHITECT | KOLHAPUR | Apr 2025 | May 2025 | 8.5714285714286 Weeks
SACHIN GAIKWAD ARCHITECT, INTERIOR DESIGNER AND LANDSCAPE CONSULTANT | TRAINEE | KOLHAPUR | Sep 2021 | Jan 2022 | 18 Weeks</t>
  </si>
  <si>
    <t>Introduction to Corporate Finance
Project Management: The Basics for Success</t>
  </si>
  <si>
    <t>P25701014</t>
  </si>
  <si>
    <t>AGAM</t>
  </si>
  <si>
    <t>WADHWA</t>
  </si>
  <si>
    <t>Agam Wadhwa</t>
  </si>
  <si>
    <t>agamwadhwa8@gmail.com</t>
  </si>
  <si>
    <t>p25701014@student.nicmar.ac.in</t>
  </si>
  <si>
    <t>26-May-2002</t>
  </si>
  <si>
    <t>PUNJABI, HINDI, MARATHI, ENGLISH</t>
  </si>
  <si>
    <t>9389 1168 1928</t>
  </si>
  <si>
    <t>NEERAJ</t>
  </si>
  <si>
    <t>SHIVANI</t>
  </si>
  <si>
    <t>BPH 205, PREM NAGAR APARTMENT_x000D_
NEAR JAIN TEMPLE, MALEGAON ROAD, TARODA KH. NANDED</t>
  </si>
  <si>
    <t>Jasmine 131, L&amp;T Serene County, Telecom Nagar, Gachibowli, Hyderabad</t>
  </si>
  <si>
    <t>GYAN MATA VIDYA VIHAR</t>
  </si>
  <si>
    <t>CENTRAL BOARD OF SECONDARY EDUCATION (NANDED)</t>
  </si>
  <si>
    <t>KIDS' KINGDOM PUBLIC SCHOOL</t>
  </si>
  <si>
    <t>PRESIDENCY UNIVERSITY</t>
  </si>
  <si>
    <t>PRESIDENCY UNIVERSITY BENGALURU</t>
  </si>
  <si>
    <t>MS Office,MS Project,Primavera,Power BI,Tableau,SAP</t>
  </si>
  <si>
    <t>Titus Harris Construction | Project Operations Associate  | Udupi, Karnataka | May 2024 | Jun 2025 | 1Y 1M | 2.4</t>
  </si>
  <si>
    <t>ONESUBSEA | PMO INTERN | PUNE, MAHARASHTRA | May 2026 | Jul 2026 | 8.5714285714286 Weeks | Campus Internship
Huanar | Marketing Head Intern | Bengaluru | Mar 2023 | Jun 2023 | 13.142857142857 Weeks</t>
  </si>
  <si>
    <t>P25701015</t>
  </si>
  <si>
    <t>ASHOOTOSH</t>
  </si>
  <si>
    <t>Ashootosh Sanjay Patil</t>
  </si>
  <si>
    <t>ashootoshpatil@gmail.com</t>
  </si>
  <si>
    <t>p25701015@student.nicmar.ac.in</t>
  </si>
  <si>
    <t>05-Oct-2001</t>
  </si>
  <si>
    <t>5524 4223 3623</t>
  </si>
  <si>
    <t>SANJAY PATIL</t>
  </si>
  <si>
    <t>CHARULATA</t>
  </si>
  <si>
    <t>405 Venkatesh Park C Wing,_x000D_
Near Shree Complex, Adharwadi, Kalyan West</t>
  </si>
  <si>
    <t>SACRED HEART SCHOOL, KALYAN</t>
  </si>
  <si>
    <t>SHRI NARAYANDAS TEJKARAN MUNDADA SECONDARY &amp; HIGHER SECONDARY SCHOOL AMALNER</t>
  </si>
  <si>
    <t>LOKMANYA TILAK INSTITUTE OF ARCHITECTURE AND DESIGN STUDIES</t>
  </si>
  <si>
    <t>AutoCAD,MS Office,MS Project,Primavera,Revit,D5,Twinmotion,Lumion,Photoshop,Sketchup</t>
  </si>
  <si>
    <t>Nudes Architecture | Intern | Lower Parel, Mumbai | May 2026 | Jul 2026 | 9.7142857142857 Weeks | Campus Internship
ARCHITECT HAFEEZ CONTRACTOR | INTERN ARCHITECT | MUMBAI | Nov 2023 | Mar 2024 | 16.571428571429 Weeks</t>
  </si>
  <si>
    <t>BIM, PHOTOSHOP, SKETCHUP, LUMION, REVIT, AUTOCAD 2D &amp; 3D</t>
  </si>
  <si>
    <t>P25701016</t>
  </si>
  <si>
    <t>SURABHI</t>
  </si>
  <si>
    <t>Surabhi Singh</t>
  </si>
  <si>
    <t>surabhi.ils13@gmail.com</t>
  </si>
  <si>
    <t>p25701016@student.nicmar.ac.in</t>
  </si>
  <si>
    <t>6507 6908 8264</t>
  </si>
  <si>
    <t>JAI PRAKASH SINGH</t>
  </si>
  <si>
    <t>GUNJAN SINGH</t>
  </si>
  <si>
    <t>C136, San Tropez, Madrid County, Bhayli, Vasna, Vadodara, Gujarat</t>
  </si>
  <si>
    <t>NAVRACHANA INTERNATIONAL SCHOOL BHAYALI VADODARA</t>
  </si>
  <si>
    <t>INDIAN LANGUAGE SCHOOL LAGOS NIGERIA</t>
  </si>
  <si>
    <t>MANIPAL SCHOOL OF ARCHITECTURE AND PLANNING MANIPAL, KARNATAKA</t>
  </si>
  <si>
    <t>AutoCAD,MS Project,MS PowerPoint,Canva,Revit,Twinmotion,MS Exel</t>
  </si>
  <si>
    <t>Table space constructions Pvt. Ltd. | Project intern  | Bangalore  | May 2026 | Jul 2026 | 8.5714285714286 Weeks | Campus Internship
Geo Designs And Research PVT. LTD | Professional Trainee | Vadodara, Gujarat | Dec 2023 | May 2024 | 25.857142857143 Weeks</t>
  </si>
  <si>
    <t>P25701017</t>
  </si>
  <si>
    <t>Rishika Sharma</t>
  </si>
  <si>
    <t>rishika.seju@gmail.com</t>
  </si>
  <si>
    <t>p25701017@student.nicmar.ac.in</t>
  </si>
  <si>
    <t>25-Mar-2000</t>
  </si>
  <si>
    <t>2052 7646 3202</t>
  </si>
  <si>
    <t>SUSHMESH SHARMA</t>
  </si>
  <si>
    <t>POONAM SHARMA</t>
  </si>
  <si>
    <t>A3-103, NYATI ESTEBAN, UNDRI MARG, UNDRI.</t>
  </si>
  <si>
    <t>A5-21, Solace Park, BT Kawade Road</t>
  </si>
  <si>
    <t>THE BISHOP'S CO-ED SCHOOL, UNDRI</t>
  </si>
  <si>
    <t>THE BISHOP'S SCHOOL, CAMP</t>
  </si>
  <si>
    <t>MIT SCHOOL OF MANAGEMENT</t>
  </si>
  <si>
    <t>MS Office,MS Project,Primavera,MS EXCEL,SPSS,MS POWERPOINT,CANDY</t>
  </si>
  <si>
    <t>Scalene Works | Consultant - Capgemini | Pune | Apr 2021 | Feb 2022 | 0Y 10M | 3
Capgemini | Business Unit Staffing Partner | Pune | Feb 2022 | Oct 2022 | 0Y 8M | 3.75
Accenture | Talent Fulfillment Associate | Pune | Oct 2022 | Sep 2023 | 0Y 10M | 6.4
Erecon Spaces | Assistant Manager-Process Integration | Pune | Feb 2024 | Jun 2025 | 1Y 3M | 7.2</t>
  </si>
  <si>
    <t>P25701018</t>
  </si>
  <si>
    <t>Vedant Anil Mahajan</t>
  </si>
  <si>
    <t>vedant6492@gmail.com</t>
  </si>
  <si>
    <t>p25701018@student.nicmar.ac.in</t>
  </si>
  <si>
    <t>6539 5034 5886</t>
  </si>
  <si>
    <t>NICMAR UNIVERSITY, ULTIMA HOSTEL, N.I.A, BALEWADI RD, RAM NAGAR, BANER, PUNE</t>
  </si>
  <si>
    <t>Dena Nagar Pushpa Appartment Plot No 8 Beside Arihant Appartment Back Side Of Bhole Petrol Pump, Bhusawal.</t>
  </si>
  <si>
    <t>MAHARANA PRATAP VIDYALAYA, BHUSAWAL.</t>
  </si>
  <si>
    <t>MAHARASTRA STATE BOARD OF SECOUNDARY AND HIGHER SECOUNDARY  EDUCATION, PUNE</t>
  </si>
  <si>
    <t>DADASAHEB DEVIDAS NAMDEO BHOLE COLLEGE, BHUSAWAL.</t>
  </si>
  <si>
    <t>MAHARASTRA STATE BOARD OF SECOUNDARY AND HIGHER SECOUNDARY EDUCATION, PUNE</t>
  </si>
  <si>
    <t>SINHGAD COLLEGE OF ENGINEERING, PUNE.</t>
  </si>
  <si>
    <t>AutoCAD,MS Office,MS Project,3d Civil,MS Excel,Revit,Work Breakdown Structure (WBS),Project Scheduling &amp; Tracking,Gantt Charts | Progress Measurement,Risk and Issue Tracking</t>
  </si>
  <si>
    <t>Nyati Group | Project management intern | Pune | May 2026 | Jul 2026 | 9 Weeks | Campus Internship
EVEREST  Constructions &amp; Developers | Intern Site Engineer | Bhusawal | Jul 2024 | Jan 2025 | 30.571428571429 Weeks
M/S VINODKUMAR MOHANLAL JADAWANI (RAILWAY CONTRACTOR) | Intern  | Bhusawal  | Jan 2023 | Feb 2023 | 3.8571428571429 Weeks</t>
  </si>
  <si>
    <t>P25701020</t>
  </si>
  <si>
    <t>NIMISHA</t>
  </si>
  <si>
    <t>POWALE</t>
  </si>
  <si>
    <t>Nimisha Shailesh Powale</t>
  </si>
  <si>
    <t>powalenimisha@gmail.com</t>
  </si>
  <si>
    <t>p25701020@student.nicmar.ac.in</t>
  </si>
  <si>
    <t>Theatre and drama performances,Painting and sketching,Networking and interacting with new people,Exploring art and design and market trends,Travel and cultural exploration,Indian history and heritage</t>
  </si>
  <si>
    <t>6760 0170 4045</t>
  </si>
  <si>
    <t>SHAILESH MANOHAR POWALE</t>
  </si>
  <si>
    <t>BHAGYASHREE SHAILESH POWALE</t>
  </si>
  <si>
    <t>PATHOLOGIST</t>
  </si>
  <si>
    <t>B-25/26, Parijat Chs, Gunsagar Nagar Near Station Road, Kalwa West, Thane. 400605</t>
  </si>
  <si>
    <t>JNAN VIKAS MANDAL'S NEW ENGLISH SCHOOL, KALWA, THANE</t>
  </si>
  <si>
    <t>MAHARASHTRA STATE BOARD OF SECONDARY AND HIGHER SECONDARY EDUCATION, PUNE. THANE, MAHARASHTRA</t>
  </si>
  <si>
    <t>SHETH N.K.T.T. COLLEGE OF COMMERCE AND SHETH J.T.T. COLLEGE OF ARTS THANE</t>
  </si>
  <si>
    <t>UNIVERSITY  OF MUMBAI</t>
  </si>
  <si>
    <t>LOKMANYA TILAK INSTITUTE OF ARCHITECTURE AND DESIGN STUDIES, KOPARKHAIRANE, NAVI MUMBAI, MAHARASHTRA.</t>
  </si>
  <si>
    <t>AutoCAD,MS Office,MS Project,Primavera,Candy,@RISK</t>
  </si>
  <si>
    <t>THE ROOM OF ELEMENTS | JUNIOR ARCHITECT | DOMBIVALI, MUMBAI, MAHARASHTRA  | Jul 2024 | Jul 2025 | 1Y 0M | 1.8</t>
  </si>
  <si>
    <t>ADYTUM DESIGNS PRIVATE LIMITED | ARCHITECTURAL INTERN  | GHATKOPAR, MUMBAI, MAHARASHTRA | Dec 2022 | Apr 2023 | 20.857142857143 Weeks</t>
  </si>
  <si>
    <t>Project Management:The basics for Success</t>
  </si>
  <si>
    <t>P25701021</t>
  </si>
  <si>
    <t>SUSHIR</t>
  </si>
  <si>
    <t>Prajakta Sanjay Sushir</t>
  </si>
  <si>
    <t>prajaktasushir15@gmail.com</t>
  </si>
  <si>
    <t>p25701021@student.nicmar.ac.in</t>
  </si>
  <si>
    <t>15-Mar-2003</t>
  </si>
  <si>
    <t>4388 9186 2796</t>
  </si>
  <si>
    <t>SUDHA</t>
  </si>
  <si>
    <t>127, Dattatraya Nagar, Behind NIT Garden, Nagpur, 440024</t>
  </si>
  <si>
    <t>PRAJAKTA SANJAY SUSHIR</t>
  </si>
  <si>
    <t>SMT. JANKIDEVI JAISWAL HIGH SCHOOL &amp; JUNIOR COLLEGE</t>
  </si>
  <si>
    <t>SWARGIYA JAGANNATH JATTEWAR SHIKSHAN SANSTHA'S INSTITUTE OF DESIGN EDUCATION &amp; ARCHITECTURAL STUDIES, NAGPUR</t>
  </si>
  <si>
    <t>AutoCAD,MS Office,MS Project,Primavera,Sketchup,Rhino,Photoshop,Enscape,Vray,Candy</t>
  </si>
  <si>
    <t>Anarock Property Consultancy | Sourcing and Closing Intern | Dombivli West, Mumbai | May 2026 | Jul 2026 | 9.5714285714286 Weeks | Campus Internship
GRAYSTONE PALETTE ARCHITECTS | INTERN | PUNE | Jan 2024 | May 2024 | 17.428571428571 Weeks</t>
  </si>
  <si>
    <t>Initiating and Planning Projects
Project Management: The Basics for Success</t>
  </si>
  <si>
    <t>P25701022</t>
  </si>
  <si>
    <t>SAMIKSHA</t>
  </si>
  <si>
    <t>POTDUKHE</t>
  </si>
  <si>
    <t>Samiksha Sunil Potdukhe</t>
  </si>
  <si>
    <t>samiksha96potdukhe@gmail.com</t>
  </si>
  <si>
    <t>p25701022@student.nicmar.ac.in</t>
  </si>
  <si>
    <t>Sustainable Infrastructure,Sketching,Concept visualisation,Problem-solving through creative design</t>
  </si>
  <si>
    <t>3604 4434 9445</t>
  </si>
  <si>
    <t>T2- 706, GODREJ GREEN COVE, MAHALUNGE-BALEWADI</t>
  </si>
  <si>
    <t>36, Shubhangi Gruh Nirman Society Besa Nagpur</t>
  </si>
  <si>
    <t>PODAR INTERNATIONAL SCHOOL, NAGPUR</t>
  </si>
  <si>
    <t>G.H.RAISONI JUNIOR COLLEGE NAGPUR, MAHARASHTRA</t>
  </si>
  <si>
    <t>MAHARASHTRA STATE BOARD OF SECONDARY AND HIGHER SECONDARY EDUCATION, NAGPUR/MAHARASHTRA</t>
  </si>
  <si>
    <t>MKSSS, DR. BHANUBEN NANAVAVATI COLLEGE OF ARCHITECTURE FOR WOMEN, PUNE</t>
  </si>
  <si>
    <t>AutoCAD,MS Office,MS Project,Primavera,phtoshop,sketechup,revit,enscape,lumion,QGIS,procreate,Advanced excel,SPSS, Candy, @Risk</t>
  </si>
  <si>
    <t>GODREJ PROPERTIES LIMITED | Operations- (Planning) Intern | Mumbai | May 2026 | Jul 2026 | 8.7142857142857 Weeks | Campus Internship
Architect Rushikesh H. | intern | mumbai | Jun 2023 | Dec 2023 | 24.571428571429 Weeks</t>
  </si>
  <si>
    <t>Capturing spatial data by photogrammetry for scanning and documenting Architectural Heritage</t>
  </si>
  <si>
    <t>P25701024</t>
  </si>
  <si>
    <t>KANDUR</t>
  </si>
  <si>
    <t>SRINATH</t>
  </si>
  <si>
    <t>Neha Kandur Srinath</t>
  </si>
  <si>
    <t>neha.kandur@gmail.com</t>
  </si>
  <si>
    <t>p25701024@student.nicmar.ac.in</t>
  </si>
  <si>
    <t>29-Jun-2000</t>
  </si>
  <si>
    <t>2146 7866 6398</t>
  </si>
  <si>
    <t>SRINATH KANDUR</t>
  </si>
  <si>
    <t>LAKSHMI KANDUR</t>
  </si>
  <si>
    <t>4046, 23rd Main, Banashankari 2nd Stage, Bangalore- 560070</t>
  </si>
  <si>
    <t>SRI KUMARAN CHILDREN'S HOME, BANGALORE</t>
  </si>
  <si>
    <t>BMS COLLEGE OF ARCHITECTURE, BANGALORE</t>
  </si>
  <si>
    <t>AutoCAD,MS Office,MS Project,Primavera,Adobe Illustrator,Adobe Photoshop,SketchUp,Revit,Lumion,Enscape</t>
  </si>
  <si>
    <t>Pragrup: Architecture and Urbanism | Architect | Bangalore | Sep 2023 | Jun 2025 | 1Y 8M | 3.36</t>
  </si>
  <si>
    <t>KPMG India | Major Project Advisory (MPA) Intern | Mumbai | May 2026 | Jun 2026 | 7.5714285714286 Weeks | Campus Internship
Mistry Architects | Architectural Intern | Bangalore | Aug 2022 | Dec 2022 | 17.571428571429 Weeks</t>
  </si>
  <si>
    <t>P25701025</t>
  </si>
  <si>
    <t>PRADYUMNA</t>
  </si>
  <si>
    <t>Deshmukh Pradyumna Nilesh</t>
  </si>
  <si>
    <t>pradyumnadeshmukh1997@gmail.com</t>
  </si>
  <si>
    <t>p25701025@student.nicmar.ac.in</t>
  </si>
  <si>
    <t>8124 2443 9968</t>
  </si>
  <si>
    <t>NILESH DESHMUKH</t>
  </si>
  <si>
    <t>POOJA DESHMUKH</t>
  </si>
  <si>
    <t>F1002, 7 AVENUE, PATIL NAGAR, BALEWADI</t>
  </si>
  <si>
    <t>8, Parag Township, Malu Layout, Ram Nagar, Amravati</t>
  </si>
  <si>
    <t>DNYANMATA HIGH SCHOOL, AMRAVATI</t>
  </si>
  <si>
    <t>PROF. RAM MEGHE INSTITUTE OF TECCHNOLOGY &amp; RESEARCH, BADNERA, MAHARASHTRA</t>
  </si>
  <si>
    <t xml:space="preserve"> Majestic Realties | Project Management Intern | Kothrud, Pune | May 2026 | Jun 2026 | 7.7142857142857 Weeks | Campus Internship</t>
  </si>
  <si>
    <t>P25701026</t>
  </si>
  <si>
    <t>HARSHITH</t>
  </si>
  <si>
    <t>S N</t>
  </si>
  <si>
    <t>Harshith S N</t>
  </si>
  <si>
    <t>harshithsn2001@gmail.com</t>
  </si>
  <si>
    <t>p25701026@student.nicmar.ac.in</t>
  </si>
  <si>
    <t>28-Apr-2001</t>
  </si>
  <si>
    <t>4972 9597 6681</t>
  </si>
  <si>
    <t>NATARAJ S R</t>
  </si>
  <si>
    <t>RETRED TEACHER</t>
  </si>
  <si>
    <t>SARVAMANGALA S</t>
  </si>
  <si>
    <t>HARSHITH SN S/O NATARAJ SR ,SURENAHALLI ,THOVINAKERE POST CN DURGA HOBLI ,KORATAGERE TALLUK ,TUMKUR (D)</t>
  </si>
  <si>
    <t>J K MEMORIAL CENTRAL SCHOOL TUMKUR KARNATAKA</t>
  </si>
  <si>
    <t>MAHESH PU COLLEGE,KUNIGAL ROAD MARALURU,TUMKUR</t>
  </si>
  <si>
    <t>BANGALURU/KARNATAKA</t>
  </si>
  <si>
    <t>CICON ENGINEERS PVT.LTD | SITE ENGINEER - QC | BANAGLURU | Mar 2024 | Jun 2025 | 1Y 3M | 2.6</t>
  </si>
  <si>
    <t>Econstruct Design &amp; Build Pvt.ltd | Project Managament Intern | BANGALURU | May 2026 | Jun 2026 | 8.1428571428571 Weeks | Campus Internship
NEW CONSOLIDATED CONSTRUCTION CO.LTD | QC TRAINEE | BANGALURU | Jul 2022 | Aug 2022 | 4.4285714285714 Weeks</t>
  </si>
  <si>
    <t>P25701027</t>
  </si>
  <si>
    <t>Shreya Gupta</t>
  </si>
  <si>
    <t>11shreyainform@gmail.com</t>
  </si>
  <si>
    <t>p25701027@student.nicmar.ac.in</t>
  </si>
  <si>
    <t>ENGLISH, HINDI, BENGALI AND ODIA</t>
  </si>
  <si>
    <t>Travelling,Social Communication,Event Management,Photography,Management,Problem Solving,Decision Making,Designing,Volunteering &amp; Mentorship</t>
  </si>
  <si>
    <t>2758 6559 5379</t>
  </si>
  <si>
    <t>VIKRAM GUPTA</t>
  </si>
  <si>
    <t>DEEPMALA GUPTA</t>
  </si>
  <si>
    <t>15/29 Bose Pukur Road Opposite Bediadanga Post  Office</t>
  </si>
  <si>
    <t>DELHI PUBLIC SCHOOL RUBY PARK KOLKATA</t>
  </si>
  <si>
    <t>BIJU PATNAIK UNIVERSITY OF TECHNOLOGY, ODISHA ROURKELA</t>
  </si>
  <si>
    <t>PILOO MODY COLLEGE OF ARCHITECTURE, ABIT, CUTTACK</t>
  </si>
  <si>
    <t>AutoCAD,MS Office,MS Project,Primavera,Sketchup,D5,Lumion,Excel,Canva,Teams,Photoshop,SPSS</t>
  </si>
  <si>
    <t>Ahluwalia Contracts (India) Limited  | Project Planning  | Kolkata  | May 2026 | Jul 2026 | 8.7142857142857 Weeks | Campus Internship
Studio Raw Design | Architectural Intern  | Gurugram  | Jun 2024 | Oct 2024 | 21.714285714286 Weeks</t>
  </si>
  <si>
    <t>Project Management: The Basics for Success
Project Management - Initiation and Planning
Six Sigma Tools for Define and Measure
Operations Management
Effective Interpersonal Communication for Business
Microeconomics Principles
Introduction to Generative AI in Human Resources
Corporate Finance Essentials
Laurie Baker Centre For Habitat Studies</t>
  </si>
  <si>
    <t>P25701028</t>
  </si>
  <si>
    <t>MADHURA</t>
  </si>
  <si>
    <t>Madhura Dinesh Bagwe</t>
  </si>
  <si>
    <t>armadhurabagwe@gmail.com</t>
  </si>
  <si>
    <t>p25701028@student.nicmar.ac.in</t>
  </si>
  <si>
    <t>12-Oct-1999</t>
  </si>
  <si>
    <t>9013 4818 5019</t>
  </si>
  <si>
    <t>LOCO-PILOT IN INDIAN RAILWAYS</t>
  </si>
  <si>
    <t>1802,AISHWARYA HEIGHTS,OPP LIC COLONY_x000D_
MITHAGAR ROAD, Mulund East.</t>
  </si>
  <si>
    <t>JAI HIND COLLEGE</t>
  </si>
  <si>
    <t>BHARATI VIDYAPEETH COLLEGE OF ARCHITECTURE, NAVI MUMBAI</t>
  </si>
  <si>
    <t>AutoCAD,MS Office,MS Project,sketchup,lumion,enscape,photoshop</t>
  </si>
  <si>
    <t>Godrej &amp; Boyce Manufacturing Company Limited | Assistant Manager- studio design for Interio Division | Vikhroli, Mumbai | Sep 2022 | Dec 2024 | 2Y 2M | 8.45</t>
  </si>
  <si>
    <t>Pidilite Industries Limited  | Intern | Mumbai | May 2026 | Jun 2026 | 7.5714285714286 Weeks | Campus Internship
Daisaria Associates | Intern | Vidyavihar, Mumbai | Jan 2021 | Jun 2021 | 19.285714285714 Weeks</t>
  </si>
  <si>
    <t>P25701029</t>
  </si>
  <si>
    <t>GANDHARV</t>
  </si>
  <si>
    <t>TUKARAM</t>
  </si>
  <si>
    <t>TIKAM</t>
  </si>
  <si>
    <t>Gandharv Tukaram Tikam</t>
  </si>
  <si>
    <t>gandharv268@gmail.com</t>
  </si>
  <si>
    <t>p25701029@student.nicmar.ac.in</t>
  </si>
  <si>
    <t>06-Sep-2001</t>
  </si>
  <si>
    <t>DRAWING,SINGING,PLAYING CRICKET,Watching construction podcasts,Reading books</t>
  </si>
  <si>
    <t>4755 5309 8342</t>
  </si>
  <si>
    <t>TUKARAM DHONDU TIKAM</t>
  </si>
  <si>
    <t>TRUSHALI TUKARAM TIKAM</t>
  </si>
  <si>
    <t>B/23 VIHANG DARSHAN PROF N.S PHADKE ROAD SAIWADI ANDHERI_x000D_
(EAST)</t>
  </si>
  <si>
    <t>SHRI MADHAVRAO BHAGWAT HIGH SCHOOL</t>
  </si>
  <si>
    <t>MUMBAI SUBURBAN , MAHARASTRA</t>
  </si>
  <si>
    <t>SATHAYE COLLEGE</t>
  </si>
  <si>
    <t>M.H SABOO SIDDIK COLLEGE OF ENGINEERING, MUMBAI CITY</t>
  </si>
  <si>
    <t>AutoCAD,MS Office,MS Project,Primavera,STAAD PRO,Candy</t>
  </si>
  <si>
    <t>DEEP CONSTRUCTIONS | Site Engineer  | Mumbai  | May 2024 | Jun 2025 | 1Y 0M | 2.16</t>
  </si>
  <si>
    <t>New Conssolidated Construction Company | Intern-Contracts and Commercials  | Mumbai  | May 2026 | Jul 2026 | 8.7142857142857 Weeks | Campus Internship</t>
  </si>
  <si>
    <t>Advanced Excel
TCS ioN Young Professional Certificate Course
STAAD PRO
AUTOCCAD</t>
  </si>
  <si>
    <t>P25701030</t>
  </si>
  <si>
    <t>GARGI</t>
  </si>
  <si>
    <t>SUCHINT</t>
  </si>
  <si>
    <t>RAJHANSA</t>
  </si>
  <si>
    <t>Gargi Suchint Rajhansa</t>
  </si>
  <si>
    <t>gargi2001rajhansa@gmail.com</t>
  </si>
  <si>
    <t>p25701030@student.nicmar.ac.in</t>
  </si>
  <si>
    <t>4176 7355 8629</t>
  </si>
  <si>
    <t>SUCHINT VISHNUPANT RAJHANSA</t>
  </si>
  <si>
    <t>SERVICE (BESIX CONSTRUCT LLC, DUBAI)</t>
  </si>
  <si>
    <t>SWATI SUCHINT RAJHANSA</t>
  </si>
  <si>
    <t>SERVICE (DISTRICT AND SESSION'S COURT, NAGPUR)</t>
  </si>
  <si>
    <t>H - 1204, VTP LEONARA, NANDE ROAD, MHALUNGE PUNE</t>
  </si>
  <si>
    <t>'Parijaat' Plot 28, Narkesari Layout, Near Jaitala Post Office, Jaitala,Â Nagpur</t>
  </si>
  <si>
    <t>CENTRE POINT SCHOOL, DABHA, NAGPUR</t>
  </si>
  <si>
    <t>G.H. RAISONI VIDYA NIKETAN, NAGPUR</t>
  </si>
  <si>
    <t>DR. BHANUBEN NANAVATI COLLEGE OF ARCHITECTURE, PUNE, MAHARASHTRA</t>
  </si>
  <si>
    <t>AutoCAD,MS Office,MS Project,Revit,Photoshop,Sketchup,Lumion,Enscape,Illustrator,Canva</t>
  </si>
  <si>
    <t>a'XYKno Capital Services Pvt. Ltd. | Contracts and Transaction Advisory Intern | Nagpur, Maharashtra | May 2026 | Jul 2026 | 8.7142857142857 Weeks | Campus Internship
Shrutika Raut Design Studio | Architecture and Interiors | Prabhat Road, Pune | Jun 2024 | Nov 2024 | 25.571428571429 Weeks</t>
  </si>
  <si>
    <t>P25701031</t>
  </si>
  <si>
    <t>Akshita Anand Chandak</t>
  </si>
  <si>
    <t>akshitachandak25@gmail.com</t>
  </si>
  <si>
    <t>p25701031@student.nicmar.ac.in</t>
  </si>
  <si>
    <t>09-Nov-2000</t>
  </si>
  <si>
    <t>4476 7855 3727</t>
  </si>
  <si>
    <t>A1-1003, MANTRA MONARCH, PATIL NAGAR, BALEWADI, PUNE</t>
  </si>
  <si>
    <t>19, Zade Layout, Bharat Nagar, Amravati Road, Nagpur</t>
  </si>
  <si>
    <t>BHAVAN'S BHAGWANDAS PUROHIT VIDYA MANDIR, CIVIL LINES, NAGPUR</t>
  </si>
  <si>
    <t>SHRI SHIVAJI SCIENCE COLLEGE, NAGPUR</t>
  </si>
  <si>
    <t>L.S. RAHEJA SCHOOL OF ARCHITECTURE, BANDRA EAST, MUMBAI, MAHARASHTRA</t>
  </si>
  <si>
    <t>AutoCAD,MS Office,MS Project,AutoDesk Revit,Adobe Photoshop</t>
  </si>
  <si>
    <t>HSA-Hiten Sethi and Associates | Junior Architect | Bandra, Mumbai | Aug 2024 | Apr 2025 | 0Y 8M | 2.4</t>
  </si>
  <si>
    <t>Studio Humane | Intern | Pune | Nov 2022 | Apr 2023 | 19.571428571429 Weeks
Ideas1 | Intern | Thane, Mumbai | May 2022 | Jun 2022 | 8.5714285714286 Weeks
Rethinking the Future | Editorial Writer- Trainee | Remote | Dec 2024 | Mar 2025 | 15.857142857143 Weeks</t>
  </si>
  <si>
    <t>Intensive Program on Advance Design Tools
Rethinking the Future- Architectural Writing Training Programme
Project Management Assessment
Post Graduate Certification Programme in Project Management
Certified ScrumMaster
PRINCE2: 7th Edition Foundation and Practitioner Master Class
Primavera P6 Fundamentals
Project Management: The Basics for Success</t>
  </si>
  <si>
    <t>P25701032</t>
  </si>
  <si>
    <t>PANCHAMI</t>
  </si>
  <si>
    <t>GUNDA</t>
  </si>
  <si>
    <t>Panchami Milind Gunda</t>
  </si>
  <si>
    <t>panchamigundastudies@gmail.com</t>
  </si>
  <si>
    <t>p25701032@student.nicmar.ac.in</t>
  </si>
  <si>
    <t>6346 4142 9699</t>
  </si>
  <si>
    <t>MILIND GUNDA</t>
  </si>
  <si>
    <t>PANKAJA GUNDA</t>
  </si>
  <si>
    <t>201, B Wing, Indrapuri Apartment, Opp SBI, Karvenagar, Pune 411052</t>
  </si>
  <si>
    <t>MAHARASHTRA EDUCATION SOCIETY'S ABASAHEB GARWARE COLLEGE</t>
  </si>
  <si>
    <t>AutoCAD,MS Office,MS Project,Primavera,Sketch Up,Rhinoceros 3D,Lumion,Enscape,Power Director</t>
  </si>
  <si>
    <t>Sikachi Incorporation | Junior Architect | Pune, Maharashtra | Dec 2023 | Jun 2025 | 1Y 6M | 3</t>
  </si>
  <si>
    <t>Godrej Properties Limited | Summer Intern | Pune | May 2026 | Jul 2026 | 8.5714285714286 Weeks | Campus Internship
Indian National Trust for Art and Cultural Heritage | Architectural Intern | Hampi, Karnataka | Jun 2022 | Oct 2022 | 19.428571428571 Weeks</t>
  </si>
  <si>
    <t>Introduction to Corporate Finance by Coursera
Project Management: The basics for success by Coursera</t>
  </si>
  <si>
    <t>P25701033</t>
  </si>
  <si>
    <t>SANSKAR</t>
  </si>
  <si>
    <t>Sanskar Santosh Mishra</t>
  </si>
  <si>
    <t>mishrasanskar219@gmail.com</t>
  </si>
  <si>
    <t>p25701033@student.nicmar.ac.in</t>
  </si>
  <si>
    <t>Volunteering for Social Causes,Keen interest in global affairs and geopolitics</t>
  </si>
  <si>
    <t>9004 3682 1050</t>
  </si>
  <si>
    <t>NANDITA</t>
  </si>
  <si>
    <t>Ghanshyam Nagar Badnera Road Saturna Amravati</t>
  </si>
  <si>
    <t>TAKHATMAL ENGLISH HIGH SCHOOL</t>
  </si>
  <si>
    <t>MAHARASHTRA STATE BOARD OF SECONDARY AND HIGHER SECONDARY EDUCATION, AMRAVATI</t>
  </si>
  <si>
    <t>BRIJLAL BIYANI SCIENCE COLLEGE</t>
  </si>
  <si>
    <t>BRIJLAL BIYANI SCIENCE COLLEGE, AMRAVATI</t>
  </si>
  <si>
    <t>MS Office,MS Project,Primavera,SPSS</t>
  </si>
  <si>
    <t>Majestic Realties | Digital Marketing Intern | NIBM, PUNE | May 2026 | Jul 2026 | 8.7142857142857 Weeks | Campus Internship</t>
  </si>
  <si>
    <t>Introduction to corporate finance
Project Management: Basics for success</t>
  </si>
  <si>
    <t>P25701034</t>
  </si>
  <si>
    <t>HARIKRISHNA</t>
  </si>
  <si>
    <t>S Harikrishna</t>
  </si>
  <si>
    <t>sh.ug16.ar@nitp.ac.in</t>
  </si>
  <si>
    <t>p25701034@student.nicmar.ac.in</t>
  </si>
  <si>
    <t>25-Jun-1998</t>
  </si>
  <si>
    <t>4307 7590 9558</t>
  </si>
  <si>
    <t>S APPALASWAMY</t>
  </si>
  <si>
    <t>RETIRED EMPLOYEE</t>
  </si>
  <si>
    <t>S BABY</t>
  </si>
  <si>
    <t>No. 42, F3 Nithyam Homes, Valmiki Street, East Tambaram</t>
  </si>
  <si>
    <t>CENTRAL BOARD OF SECONDARY EDUCATION AND CHENNAI</t>
  </si>
  <si>
    <t>NATIONAL INSTITUTE OF TECHNOLOGY</t>
  </si>
  <si>
    <t>NATIONAL INSTITUTE OF TECHNOLOGY, PATNA</t>
  </si>
  <si>
    <t>AutoCAD,MS Office,Revit,Sketchup,Lumion,Photoshop,Enscape</t>
  </si>
  <si>
    <t>Design  Square | Junior Architect | Chennai | Sep 2021 | Mar 2022 | 0Y 6M | 1.56
Bhartiya Urban Private Limited | Trainee Architect | Bengaluru | Mar 2022 | Aug 2022 | 0Y 4M | 3.75
FreshBus Private Limited | Junior Architect, Product Specialist | Hyderabad | Dec 2022 | Jun 2025 | 2Y 6M | 4.5</t>
  </si>
  <si>
    <t>TruBoard Partners | Asset Management Intern | Gurgaon | May 2026 | Jun 2026 | 8.1428571428571 Weeks | Campus Internship
BARA ARCHITECT | Architectural Intern | Chennai | Jul 2020 | Nov 2020 | 18 Weeks</t>
  </si>
  <si>
    <t>P25701035</t>
  </si>
  <si>
    <t>LATA</t>
  </si>
  <si>
    <t>Lata Anil Gupta</t>
  </si>
  <si>
    <t>latagupta1301@gmail.com</t>
  </si>
  <si>
    <t>p25701035@student.nicmar.ac.in</t>
  </si>
  <si>
    <t>13-Jul-2001</t>
  </si>
  <si>
    <t>6493 2819 0431</t>
  </si>
  <si>
    <t>A-202, HILL VIEW CHS, JP ROAD, NEAR NAVRANG CINEMAS, ANDHERI WEST MUMBAI 400058</t>
  </si>
  <si>
    <t>513, Juhu Azad Nagar CHS LTD, CD Barfiwala Road, Andheri West Mumbai-400058</t>
  </si>
  <si>
    <t>SMT. R.S.B. ARYA VIDYA MANDIR, MUMBAI</t>
  </si>
  <si>
    <t>LATE BHAUSAHEB HIRAY S.S. TRUST'S DR. BALIRAM HIRAY COLLEGE OF ARCHITECTURE, MUMBAI</t>
  </si>
  <si>
    <t>AutoCAD,MS Office,MS Project,Primavera,Adobe Photoshop</t>
  </si>
  <si>
    <t>ARCHITECT RUSHIKESH H. | JUNIOR ARCHITECT | MUMBAI | Oct 2024 | Jun 2025 | 0Y 8M | 3.09</t>
  </si>
  <si>
    <t>KALPATARU LIMITED | PROJECT INTERN | Santacruz, Mumbai | May 2026 | Jul 2026 | 9.5714285714286 Weeks | Campus Internship
ARCHITECT RUSHIKESH H. | ARCHITECTURAL INTERN | MUMBAI | Dec 2022 | Apr 2023 | 20.571428571429 Weeks</t>
  </si>
  <si>
    <t>P25701036</t>
  </si>
  <si>
    <t>CHINTALAPATI</t>
  </si>
  <si>
    <t>Archana Chintalapati</t>
  </si>
  <si>
    <t>archi14902@gmail.com</t>
  </si>
  <si>
    <t>p25701036@student.nicmar.ac.in</t>
  </si>
  <si>
    <t>14-Sep-2002</t>
  </si>
  <si>
    <t>English, Hindi And Telugu</t>
  </si>
  <si>
    <t>Carnatic Music,Crochet,Paper Quilling,Custom Rakhi&amp;#39;s,Rangoli,Cooking,Organising,Doodling,Zentangle,Sketching,Water color Painting,Reading Books,Calligraphy,Travelling,Art of Living,Yoga,Dance</t>
  </si>
  <si>
    <t>2638 6342 9076</t>
  </si>
  <si>
    <t>DATTATREYA CHINTALAPATI</t>
  </si>
  <si>
    <t>LAKSHMI SUNEETHA CHINTALAPATI</t>
  </si>
  <si>
    <t>11-39-18, KATURIVARI STREET,_x000D_
ONE TOWN</t>
  </si>
  <si>
    <t>40012 - N ST MATHEW'S PUBLIC SCHOOL, VIJAYAWADA, AP</t>
  </si>
  <si>
    <t>BOARD OF INTERMEDIATE EDUCATION A.P., VIJAYAWADA</t>
  </si>
  <si>
    <t>KONERU LAKSHMAIAH EDUCATION FOUNDATION</t>
  </si>
  <si>
    <t>KONERU LAKSHMAIAH EDUCATION FOUNDATION , VADDESWARAM, GUNTUR</t>
  </si>
  <si>
    <t>AutoCAD,MS Office,MS Project,Autodesk Revit,SketchUp,Lumion,Enscape,Twinmotion,Navisworks,D5,Photoshop,Illustrator,QGIS,Canva,ZWCAD,Forma,Formit,Rhino,Dynamo,Fusion 360,Point Cloud Modelling,DiRoots,BIM Collaborative</t>
  </si>
  <si>
    <t>KPMG | Transformation - Major Project Advisory  | Gurugram | May 2026 | Jun 2026 | 7.5714285714286 Weeks | Campus Internship
INGENIO STUDIO | INTERN | BANGALORE | Jun 2024 | Nov 2024 | 24.714285714286 Weeks
Hidden Dimension | Summer Intern | Vijayawada | Jun 2023 | Jul 2023 | 3.2857142857143 Weeks</t>
  </si>
  <si>
    <t>Professional REVIT &amp; BIM Certification Program</t>
  </si>
  <si>
    <t>P25701037</t>
  </si>
  <si>
    <t>VARSHA H</t>
  </si>
  <si>
    <t>NAYAR</t>
  </si>
  <si>
    <t>Varsha H Nayar</t>
  </si>
  <si>
    <t>varshahnayar.2001@gmail.com</t>
  </si>
  <si>
    <t>p25701037@student.nicmar.ac.in</t>
  </si>
  <si>
    <t>English,Hindi,Malayalm,Tamil</t>
  </si>
  <si>
    <t>9768 9148 1044</t>
  </si>
  <si>
    <t>HARI P NAIR</t>
  </si>
  <si>
    <t>ADDITIONAL GOVT.SECRETARY RTD</t>
  </si>
  <si>
    <t>ANITHA DEVI S</t>
  </si>
  <si>
    <t>ASST.HR MANAGER AIRPORT AUTHORITY OF INDIA</t>
  </si>
  <si>
    <t>TC 9/2900 Sannidhi _x000D_
Mnaluvilakom House,Kariyvattom _x000D_
Trivandrum Kerala _x000D_</t>
  </si>
  <si>
    <t>MARION VILLA CONVENT ICSE SCHOOL</t>
  </si>
  <si>
    <t>ICSE KERALA</t>
  </si>
  <si>
    <t>MAR GREGROS MEMORIAL CENTRAL PUBLIC SCHOOL</t>
  </si>
  <si>
    <t>CBSE KERALA</t>
  </si>
  <si>
    <t>MAR BASELIOS COLLAGE OF ENGINEERING AND TECHNOLOGY</t>
  </si>
  <si>
    <t>AutoCAD,MS Project,Primavera,REVIT,STAAD Pro,ERP,BIM</t>
  </si>
  <si>
    <t>Heather constructions | Assistant Project Engineer (Civil Execution)  | Trivandrum  | Apr 2024 | Nov 2024 | 33.428571428571 Weeks</t>
  </si>
  <si>
    <t>Diploma in BIM and QUANTITY SURVEY</t>
  </si>
  <si>
    <t>P25701038</t>
  </si>
  <si>
    <t>LALIT</t>
  </si>
  <si>
    <t>Lalit Rajput</t>
  </si>
  <si>
    <t>lalitrajput.1112@outlook.com</t>
  </si>
  <si>
    <t>p25701038@student.nicmar.ac.in</t>
  </si>
  <si>
    <t>11-Dec-1997</t>
  </si>
  <si>
    <t>5197 9192 5528</t>
  </si>
  <si>
    <t>POORAN SINGH</t>
  </si>
  <si>
    <t>MEENA SINGH</t>
  </si>
  <si>
    <t>A-202, EURO APPT, SEC-5, RAJENDRA NAGAR, SAHIBABAD, GHAZIABAD</t>
  </si>
  <si>
    <t>DAV PUBLIC SCHOOL</t>
  </si>
  <si>
    <t>CENTRAL BOARD OF SECONDARY EDUCATION, GHAZIABAD</t>
  </si>
  <si>
    <t>DIWAKAR MODEL SCHOOL</t>
  </si>
  <si>
    <t>UNIVERSITY OF PETROLIUM AND ENERGY STUDIES</t>
  </si>
  <si>
    <t>UPES, DEHRADUN</t>
  </si>
  <si>
    <t>Geo Designs and Research (P) Ltd. | Land Aquisition Assistant | Gujarat | Jan 2022 | Jan 2025 | 3Y 0M | 2.52</t>
  </si>
  <si>
    <t>Asian Paints | Sales Engineer | Lucknow | May 2026 | Jul 2026 | 8.7142857142857 Weeks | Campus Internship
Intercontinental Consultants and Technologies Pvt. Ltd. | Internship Trainee | Gujarat | Jul 2018 | Jul 2018 | 3.7142857142857 Weeks</t>
  </si>
  <si>
    <t>Project Management Essentials
Leadership Skills
Supply Chain Digitization: Strategy and Design
Comprehensive Relative Valuation Training
Introduction to Corporate Finance</t>
  </si>
  <si>
    <t>P25701040</t>
  </si>
  <si>
    <t>JAPNEET</t>
  </si>
  <si>
    <t>Japneet Singh</t>
  </si>
  <si>
    <t>japneetsingh141@gmail.com</t>
  </si>
  <si>
    <t>p25701040@student.nicmar.ac.in</t>
  </si>
  <si>
    <t>26-Oct-1997</t>
  </si>
  <si>
    <t>English, Hindi &amp; Punjabi</t>
  </si>
  <si>
    <t>2384 7205 6729</t>
  </si>
  <si>
    <t>GURVINDER SINGH</t>
  </si>
  <si>
    <t>NAVNEET KAUR</t>
  </si>
  <si>
    <t>N-60 Sham Nagar</t>
  </si>
  <si>
    <t>West Delhi</t>
  </si>
  <si>
    <t>SARDAR JASSA SINGH RAMGARHIA PUBLIC SCHOOL</t>
  </si>
  <si>
    <t>CBSE FROM DELHI</t>
  </si>
  <si>
    <t>SALWAN BOYS SENIOR SECONDARY SCHOOL</t>
  </si>
  <si>
    <t>DEENBANDU CHHOTU RAM UNIVERSITY OF SCIENCE &amp; TECHNOLOGY, MURTHAL (SONEPAT)</t>
  </si>
  <si>
    <t>HINDU SCHOOL OF ARCHITECTURE, SONEPAT, HARYANA</t>
  </si>
  <si>
    <t>AutoCAD, MS Office, MS Project, Primavera P6, Revit, Sketchup, Vray, Photoshop, Lumion</t>
  </si>
  <si>
    <t>Confluence | Architect | Delhi | Feb 2025 | Jun 2025 | 0Y 4M | 7.5
DDF Consultants | Architect | Delhi | Jul 2022 | Jan 2025 | 2Y 6M | 6</t>
  </si>
  <si>
    <t>Asian Paints | Intern | Panchkula | May 2026 | Jul 2026 | 8.7142857142857 Weeks | Campus Internship
Distrct Town Planner, Gurugram (Planning) | Intern | Gurugram  | Sep 2021 | Oct 2021 | 5.2857142857143 Weeks</t>
  </si>
  <si>
    <t>P25701041</t>
  </si>
  <si>
    <t>Nishant Nandan T</t>
  </si>
  <si>
    <t>nishantnandan3526@gmail.com</t>
  </si>
  <si>
    <t>p25701041@student.nicmar.ac.in</t>
  </si>
  <si>
    <t>26-Feb-2000</t>
  </si>
  <si>
    <t>ENGLISH,TELUGU,HINDI,ODIA</t>
  </si>
  <si>
    <t>7299 1790 5877</t>
  </si>
  <si>
    <t>T KALI PRASAD</t>
  </si>
  <si>
    <t>T RAJESWARI</t>
  </si>
  <si>
    <t>MAHARANI PETA, JEYPORE, ODISHA</t>
  </si>
  <si>
    <t>Koraput</t>
  </si>
  <si>
    <t>New Street 1st Lane, Jeypore ,koraput , Odisha</t>
  </si>
  <si>
    <t>SRI PRAKASH VIDYANIKETAN</t>
  </si>
  <si>
    <t>ASCENT JUNIOR COLLEGE</t>
  </si>
  <si>
    <t>BIEAP</t>
  </si>
  <si>
    <t>GITAM DEEMED TO BE UNIVERSITY</t>
  </si>
  <si>
    <t>GITAM VISAKHAPATNAM</t>
  </si>
  <si>
    <t>MS Office,MS Project,Primavera,candy</t>
  </si>
  <si>
    <t>SAROJ CONSTRUCTION | project-in-charge(Engineer) | kakinada  | Jan 2022 | May 2024 | 2Y 4M | 3.6
BYJU'S | Business Development Trainee | Bhubaneshwar | Nov 2021 | Dec 2021 | 0Y 1M | 3</t>
  </si>
  <si>
    <t>Engineering Project Management: Initiating and Planning
Renewable Energy and Green Building Entrepreneurship
Municipal Solid Waste Management in Developing Countries
Ethics, Technology and Engineering</t>
  </si>
  <si>
    <t>P25701042</t>
  </si>
  <si>
    <t>SHETTIGAR</t>
  </si>
  <si>
    <t>Shettigar Yash Harish</t>
  </si>
  <si>
    <t>yashshetty44@gmail.com</t>
  </si>
  <si>
    <t>p25701042@student.nicmar.ac.in</t>
  </si>
  <si>
    <t>28-May-1996</t>
  </si>
  <si>
    <t>9077 9783 1968</t>
  </si>
  <si>
    <t>8A-404, Akashdeep CHS, Damodar Park, LBS Marg, Ghatkopar (W), Mumbai - 400 086</t>
  </si>
  <si>
    <t>BOMBAY CAMBRIDGE SCHOOL</t>
  </si>
  <si>
    <t>S.S. &amp; L.S. PATKAR COLLEGE OF ARTS &amp; SCIENCE AND V.P. VARDE COLLEGE OF COMMERCE &amp; ECONOMICS</t>
  </si>
  <si>
    <t>ASMITA COLLEGE OF ARCHITECTURE, THANE, MAHARASHTRA</t>
  </si>
  <si>
    <t>BGM Interior | Project Manager | Bengaluru | Dec 2022 | Jun 2025 | 2Y 6M | 8.4
Talati &amp; Panthaky Associated Designers LLP / ZRC Associates | Architect | Mumbai | Jan 2020 | Nov 2022 | 2Y 9M | 3.24</t>
  </si>
  <si>
    <t>5 Years 4 Months</t>
  </si>
  <si>
    <t>Cushman &amp; Wakefield | Project management Intern | Mumbai | May 2026 | Jul 2026 | 8.7142857142857 Weeks | Campus Internship</t>
  </si>
  <si>
    <t>P25701043</t>
  </si>
  <si>
    <t>VIGHNESH</t>
  </si>
  <si>
    <t>BHADSAVLE</t>
  </si>
  <si>
    <t>Vighnesh Vinod Bhadsavle</t>
  </si>
  <si>
    <t>vighneshbhadsavle@gmail.com</t>
  </si>
  <si>
    <t>p25701043@student.nicmar.ac.in</t>
  </si>
  <si>
    <t>02-Oct-1999</t>
  </si>
  <si>
    <t>3556 4402 7575</t>
  </si>
  <si>
    <t>4/113, Khatav Building, Dr. S. S. Rao Road, Lalbaug, Mumbai - 400012</t>
  </si>
  <si>
    <t>ST. PAUL HIGH SCHOOL</t>
  </si>
  <si>
    <t>WILSON COLLEGE</t>
  </si>
  <si>
    <t>SARDAR VALLABHBHAI PATEL POLYTECHNIC, MUMBAI</t>
  </si>
  <si>
    <t>B. R. HARNE COLLEGE OF ENGINEERING AND TECHNOLOGY, MAHARASHTRA</t>
  </si>
  <si>
    <t>A. R. W Infra Projects Pvt. Ltd. | Project Engineer | Mumbai | Jun 2022 | Jan 2023 | 0Y 7M | 2.88
Xylem Water Solutions India Pvt. Ltd. | Project Engineer | Mumbai | Feb 2023 | Jul 2025 | 2Y 4M | 6.9</t>
  </si>
  <si>
    <t>Ahluwalia Contracts India Ltd. | Project Management Intern | Mumbai | May 2026 | Jun 2026 | 8.1428571428571 Weeks | Campus Internship
Central Railway | Mechanical Engineering Intern | Mumbai | Jan 2022 | Jan 2022 | 3 Weeks
Sai Service India | Internship Trainee | Mumbai | Dec 2021 | Jan 2022 | 1.7142857142857 Weeks
Pantechelearning | Mechanical Engineering Intern | Online | Aug 2021 | Sep 2021 | 4.1428571428571 Weeks</t>
  </si>
  <si>
    <t>AutoCAD Essential
Post Graduate Diploma in Piping Design Engineering</t>
  </si>
  <si>
    <t>P25701044</t>
  </si>
  <si>
    <t>Kushagra Gupta</t>
  </si>
  <si>
    <t>kushagragupta668@gmail.com</t>
  </si>
  <si>
    <t>p25701044@student.nicmar.ac.in</t>
  </si>
  <si>
    <t>05-Mar-1999</t>
  </si>
  <si>
    <t>6328 9736 9583</t>
  </si>
  <si>
    <t>LAKSHMAN GUPTA</t>
  </si>
  <si>
    <t>IT SERVICE</t>
  </si>
  <si>
    <t>PRITI GUPTA</t>
  </si>
  <si>
    <t>R-203, Roseland Residency, Gate-4, Pimple Saudagar, Pune</t>
  </si>
  <si>
    <t>CENTRAL BOARD OF SECONDARY EDUCATION, PUNE/MAHARASHTRA</t>
  </si>
  <si>
    <t>THAPAR INSTITUTE OF ENGINEERING AND TECHNOLOGY, PATIALA/PUNJAB</t>
  </si>
  <si>
    <t>AutoCAD,MS Office,MS Project,Autodesk Revit,Bentley Staad pro,Autodesk Quantity Takeoff</t>
  </si>
  <si>
    <t>L&amp;T Construction | Senior Engineer | Mumbai, Kundankulam | Jul 2022 | Oct 2024 | 2Y 3M | 6
Parthsarthy Infrastructures Pvt Ltd | Manager (Civil &amp; Structural) | Jhansi | Dec 2024 | Jun 2025 | 0Y 6M | 12</t>
  </si>
  <si>
    <t>Parag Deshpande Consulting Engineers Pvt Ltd | Design Intern | Pune | Aug 2022 | Dec 2022 | 21.571428571429 Weeks</t>
  </si>
  <si>
    <t>P25701045</t>
  </si>
  <si>
    <t>DIPESH</t>
  </si>
  <si>
    <t>PRASANNAKUMAR</t>
  </si>
  <si>
    <t>Dipesh Prasannakumar Mahajan</t>
  </si>
  <si>
    <t>dipesh.mahajan4@gmail.com</t>
  </si>
  <si>
    <t>p25701045@student.nicmar.ac.in</t>
  </si>
  <si>
    <t>27-Apr-2003</t>
  </si>
  <si>
    <t>3850 9482 4933</t>
  </si>
  <si>
    <t>PRASANNAKUMAR MAHAJAN</t>
  </si>
  <si>
    <t>CONTRACTOR/ BUILDER</t>
  </si>
  <si>
    <t>SUVARNA MAHAJAN</t>
  </si>
  <si>
    <t>FL. 10, GOVIND GAURAV APP, RIGHT BHUSARI COLONY, PAUD ROAD, KOTHARUD, PUNE- 411038</t>
  </si>
  <si>
    <t>FL.603, B WING, PRIDE PRISTINE, VASUNDHARA LAYOUT,_x000D_
ELECTRONIC CITY, BANGALURU-560100</t>
  </si>
  <si>
    <t>SHREE SANT DNYANESHWAR MADHYAMIK VIDYALAYA</t>
  </si>
  <si>
    <t>SHRI JAYANTRAO WANJARI JUNIOR COLLEGE</t>
  </si>
  <si>
    <t>AMC ENGINEERING COLLEGE, BENGALURU</t>
  </si>
  <si>
    <t>AutoCAD, PRIMAVERA, MS PROJECT</t>
  </si>
  <si>
    <t>VENKATESH BUILCON  | Intern | PUNE | May 2026 | Jul 2026 | 8.7142857142857 Weeks | Campus Internship
SATYAM BUILDERS AND DEVELOPERS | JUNIOR SITE ENGINEER | BENGALURU | Feb 2025 | May 2025 | 12.714285714286 Weeks
SATYAM BUILDERS AND DEVELOPERS | JUNIOR SITE ENGINEER | BENGALURU | Mar 2024 | Apr 2024 | 6.4285714285714 Weeks</t>
  </si>
  <si>
    <t>P25701047</t>
  </si>
  <si>
    <t>MELVIN</t>
  </si>
  <si>
    <t>Melvin Mathew</t>
  </si>
  <si>
    <t>mathewmelvin2000@gmail.com</t>
  </si>
  <si>
    <t>p25701047@student.nicmar.ac.in</t>
  </si>
  <si>
    <t>English, Malayalam and Hindi</t>
  </si>
  <si>
    <t>7517 0124 0166</t>
  </si>
  <si>
    <t>T J MATHEW</t>
  </si>
  <si>
    <t>MARY N JOHN</t>
  </si>
  <si>
    <t>KELAMPARAMBIL HOUSE ,UDAYAMPEROOR P O, _x000D_
ERNAKULAM.</t>
  </si>
  <si>
    <t>CHINMAYA VIDYALAYA KANNANKULANGARA</t>
  </si>
  <si>
    <t>CENTRAL BOARD OF SECONDARY EDUCATION, ERNAKULAM</t>
  </si>
  <si>
    <t>MUTHOOT INSTITUE OF TECHNOLOGY AND SCIENCE, ERNAKULAM.</t>
  </si>
  <si>
    <t>AutoCAD,MS Office,MS Project,3DS MAX,REVIT ARCHITECTURE,BIM</t>
  </si>
  <si>
    <t>KERALA INDUSTRIAL &amp; TECHNICAL CONSULTANCY ORGANISATION Ltd | GRADUATE APPRENTICE | CHENGANNUR, ALAPPUZHA. | Sep 2023 | Sep 2024 | 0Y 11M | 2.07</t>
  </si>
  <si>
    <t>Sobha Limited | Project Management Intern | GIFT City, Gujarat. | May 2026 | Jul 2026 | 9 Weeks | Campus Internship</t>
  </si>
  <si>
    <t>NPTEL Online Certification
Master in Building Design</t>
  </si>
  <si>
    <t>P25701048</t>
  </si>
  <si>
    <t>BANDARU</t>
  </si>
  <si>
    <t>VANITHA DEVI</t>
  </si>
  <si>
    <t>Bandaru Vanitha Devi</t>
  </si>
  <si>
    <t>vanithadevi20@gmail.com</t>
  </si>
  <si>
    <t>p25701048@student.nicmar.ac.in</t>
  </si>
  <si>
    <t>Hindi,English,Telugu</t>
  </si>
  <si>
    <t>2487 0243 1017</t>
  </si>
  <si>
    <t>BANDARU RAMESH</t>
  </si>
  <si>
    <t>BANDARU RADHA</t>
  </si>
  <si>
    <t>Devangula Veedhi, Alamanda, Jami Mandal, Vizinagaram District</t>
  </si>
  <si>
    <t>Vizianagaram</t>
  </si>
  <si>
    <t>KENDRIYA VIDYALAYA NO1,NAUSENABAUGH VISHAKAPATANAM</t>
  </si>
  <si>
    <t>CENTRAL BOARD OF SECONDARY EDUCATION VISHAKHAPATNAM</t>
  </si>
  <si>
    <t>KENDRIYA VIDYALAYA NO1 , NAUSENABAUGH VISHAKAPATANAM</t>
  </si>
  <si>
    <t>CENTRAL BOARD OF SECONDARY EDUCATION, VISHAKAPATANAM</t>
  </si>
  <si>
    <t>JNTU(GV) VIZIANAGARAM ANDHRA PRADESH</t>
  </si>
  <si>
    <t>MVGR COLLEGE OF ENGINEERING ,VIZIANAGARAM</t>
  </si>
  <si>
    <t>AutoCAD,MS Office,MS Project,Primavera,QGIS,ARCGIS</t>
  </si>
  <si>
    <t>Asian Paints | Sales Engineer | Hyderabad | May 2026 | Jul 2026 | 8.7142857142857 Weeks | Campus Internship
NATIONAL INSTITUTE OF CONSTRUCTION MANAGEMENT AND RESEARCH | SUMMER INTERN | HYDERBAD | Jun 2024 | Jun 2024 | 2.4285714285714 Weeks</t>
  </si>
  <si>
    <t>Autodesk Certified Professional: AutoCAD for Design and Drafting Exam Prep
NPTEL  Integrated Waste Management for a Smart City</t>
  </si>
  <si>
    <t>P25701049</t>
  </si>
  <si>
    <t>SACHAN</t>
  </si>
  <si>
    <t>Rajat Sachan</t>
  </si>
  <si>
    <t>rajatsachan123@gmail.com</t>
  </si>
  <si>
    <t>p25701049@student.nicmar.ac.in</t>
  </si>
  <si>
    <t>09-Jan-2002</t>
  </si>
  <si>
    <t>6303 2253 0094</t>
  </si>
  <si>
    <t>ARVIND SACHAN</t>
  </si>
  <si>
    <t>NEETU SACHAN</t>
  </si>
  <si>
    <t>113 SANJAY GANDHI NAGAR NAUBASTA, KANPUR</t>
  </si>
  <si>
    <t>BNSD SHIKSHA NIKETAN INTER COLLEGE</t>
  </si>
  <si>
    <t>BOARD OF HIGHSCHOOL AND INTERMEDIATE EDUCATION UP, KANPUR NAGAR</t>
  </si>
  <si>
    <t>SYMBIOSIS INSTITUTE OF TECHNOLOGY, PUNE, MAHARASTRA</t>
  </si>
  <si>
    <t>Kanpur Development Authority | Summer Intern | Kanpur  | Jul 2021 | Aug 2021 | 4.4285714285714 Weeks
GODREJ PROPERTIES LTD | OPERATIONS | MUMBAI | Jan 2023 | Jun 2023 | 24.571428571429 Weeks</t>
  </si>
  <si>
    <t>"Water Quality studies using Hyperspectral Remote Sensing for the Indian Coastal and Inland Waters" by ISRO
â€œGeospatial Modeling Driven Urban Hazard and Risk Analysis" by ISRO
PG Certification Program in Financial Managment</t>
  </si>
  <si>
    <t>P25701050</t>
  </si>
  <si>
    <t>RINKE</t>
  </si>
  <si>
    <t>Abhinav Pramod Rinke</t>
  </si>
  <si>
    <t>abhinav7169@gmail.com</t>
  </si>
  <si>
    <t>p25701050@student.nicmar.ac.in</t>
  </si>
  <si>
    <t>2055 1793 2321</t>
  </si>
  <si>
    <t>PRAMOD RINKE</t>
  </si>
  <si>
    <t>ARCHANA RINKE</t>
  </si>
  <si>
    <t>MORYA PARK LANE NO. 4, PIMPLE GURAV, PUNE</t>
  </si>
  <si>
    <t>Waman Nagar, Khamgaon</t>
  </si>
  <si>
    <t>SARASWATI VIDHYA MANDIR, KHAMGAON</t>
  </si>
  <si>
    <t>NATIONAL SCIENCE JR. COLLEGE, AKOLA, MAHARASHTRA</t>
  </si>
  <si>
    <t>SANT GADGE BABA AMRAVATI UNIVERSITY, AMRAVATI, MAHARASHTRA</t>
  </si>
  <si>
    <t>MAULI COLLEGE OF ENGINEERING AND TECHNOLOGY, SHEGAON, MAHARASHTRA</t>
  </si>
  <si>
    <t>AutoCAD,MS Office,MS Project,Tekla Software,Revit</t>
  </si>
  <si>
    <t>Quadratic Consultants | Precast Modeler | Baner, Pune | Jun 2023 | Jul 2025 | 2Y 1M | 3.49</t>
  </si>
  <si>
    <t>Jyoti Structures Ltd | Management Intern | Pune | May 2026 | Jul 2026 | 8.7142857142857 Weeks | Campus Internship
Thinktech Engineers | Trainee Engineer | Deccan,Pune | Jan 2023 | Jun 2023 | 25.571428571429 Weeks</t>
  </si>
  <si>
    <t>Tekla Structures Steel Basic Training
Tekla Structures Concrete Basic Training</t>
  </si>
  <si>
    <t>P25701051</t>
  </si>
  <si>
    <t>DEORE</t>
  </si>
  <si>
    <t>Om Ravindra Deore</t>
  </si>
  <si>
    <t>deoreom11@gmail.com</t>
  </si>
  <si>
    <t>p25701051@student.nicmar.ac.in</t>
  </si>
  <si>
    <t>5618 7307 3541</t>
  </si>
  <si>
    <t>RAVINDRA DEORE</t>
  </si>
  <si>
    <t>KAVITA DEORE</t>
  </si>
  <si>
    <t>HOUSE WIFE561873073541</t>
  </si>
  <si>
    <t>Bapusadan, Kalanagar, Near Krishna Row House, Dindori Road, Nashik.</t>
  </si>
  <si>
    <t>DON BOSCO SCHOOL AND JUNIOR COLLEGE</t>
  </si>
  <si>
    <t>MAHARASHTRA STATE BOARD OF SECONDARY AND HIGHER SECONDARY EDUCATION.</t>
  </si>
  <si>
    <t>KRANTIVEER VANSANTRAO NAI SHIKSHAN PRASARAKH</t>
  </si>
  <si>
    <t>SAVITRIBAI PHULE PUNE UNIVERSITY.</t>
  </si>
  <si>
    <t>SMEF'S BRICK SCHOOL OF ARCHITECTURE.</t>
  </si>
  <si>
    <t>AutoCAD,MS Office,MS Project,Primavera,3d Sketchup,lumion,Photoshop.,InDesign,Twinmotion.,CANDY(CCS)</t>
  </si>
  <si>
    <t>Fortress Infracon limited | Project Advisory | Thane | May 2026 | Jul 2026 | 8.7142857142857 Weeks | Campus Internship
Raagin Karman Architects | Intern Architect | Ahemdabad | Jun 2024 | Oct 2024 | 21 Weeks</t>
  </si>
  <si>
    <t>Geometric and Traffic Aspects of Highway
Introduction to Corporate Finance
Project Planning and Execution Management
Project Management: The Basics for Success</t>
  </si>
  <si>
    <t>P25701052</t>
  </si>
  <si>
    <t>PRAGVANSH</t>
  </si>
  <si>
    <t>PALDEWAR</t>
  </si>
  <si>
    <t>Pragvansh Praveen Paldewar</t>
  </si>
  <si>
    <t>pppragu@gmail.com</t>
  </si>
  <si>
    <t>p25701052@student.nicmar.ac.in</t>
  </si>
  <si>
    <t>ENGLISH, MARATHI  AND HINDI</t>
  </si>
  <si>
    <t>3747 4129 6983</t>
  </si>
  <si>
    <t>FLAT NO-203 SHROFF SOLENO, RH21, NANDE - BALEWADI RD, MAHALUNGE, PUNE, MAHARASHTRA 411045</t>
  </si>
  <si>
    <t>Plot No -111/112 Vasant Nagar Near Airport Road ,Nanded</t>
  </si>
  <si>
    <t>CENTRAL BOARD OF SECONDARY EDUCATION , NANDED, MAHARASHTRA</t>
  </si>
  <si>
    <t>CAMBRIDGE JUNIOR COLLEGE ,NANDED</t>
  </si>
  <si>
    <t>VELLORE INSTITUTE OF TECHNOLOGY (VIT), VELLORE</t>
  </si>
  <si>
    <t>VELLORE INSTITUTE OF TECHNOLOGY ,  VELLORE, TAMIL NADU</t>
  </si>
  <si>
    <t>AutoCAD,MS Office,MS Project,Primavera,STAAD PRO,CSI ETABS</t>
  </si>
  <si>
    <t>Kolte-Patil Integrated Townships ( Pune ) Ltd | Civil Engineering Intern | Pune | Sep 2023 | Dec 2023 | 13.142857142857 Weeks</t>
  </si>
  <si>
    <t>Stakeholder Management
Project Scheduling: Estimate Activity Durations
Introduction to Corporate Finance
Project Management: The Basics for Success</t>
  </si>
  <si>
    <t>P25701053</t>
  </si>
  <si>
    <t>KEERTI</t>
  </si>
  <si>
    <t>POLICEPATIL</t>
  </si>
  <si>
    <t>Keerti G Policepatil</t>
  </si>
  <si>
    <t>keertipolicepatil04@gmail.com</t>
  </si>
  <si>
    <t>p25701053@student.nicmar.ac.in</t>
  </si>
  <si>
    <t>7781 3871 3529</t>
  </si>
  <si>
    <t>GURURAJ POLICEPATIL</t>
  </si>
  <si>
    <t>SARASWATI G POLICEPATIL</t>
  </si>
  <si>
    <t>#25/27,LINGARAJ NAGAR(SOUTH) ,VIDYANAGAR,HUBLI</t>
  </si>
  <si>
    <t>CHINMAYA  ENGLISH PRIMARY SCHOOL</t>
  </si>
  <si>
    <t>CHETAN  PU SCIENCE COLLEGE</t>
  </si>
  <si>
    <t>KLE TECHNOLOGICAL UNIVERSITY HUBBALLI ,KARNATAKA</t>
  </si>
  <si>
    <t>MS Office,MS Project,Primavera,Microsoft Excel,Sap</t>
  </si>
  <si>
    <t>Ahluwalia Contracts(India)Limited | INTERN-Project Coordinator  | BENGALURU,KARNATAKA | May 2026 | Jul 2026 | 8.5714285714286 Weeks | Campus Internship
Brigade Group | Intern In PMG and QMS  Department  | Bengaluru | Jan 2025 | Mar 2025 | 8.2857142857143 Weeks</t>
  </si>
  <si>
    <t>P25701054</t>
  </si>
  <si>
    <t>SAMRUDDHI</t>
  </si>
  <si>
    <t>JADHAO</t>
  </si>
  <si>
    <t>Samruddhi Surendra Jadhao</t>
  </si>
  <si>
    <t>samruddhisjadhao@gmail.com</t>
  </si>
  <si>
    <t>p25701054@student.nicmar.ac.in</t>
  </si>
  <si>
    <t>7078 6197 8189</t>
  </si>
  <si>
    <t>SURENDRA JADHAO</t>
  </si>
  <si>
    <t>VAISHALI JADHAO</t>
  </si>
  <si>
    <t>15, Sitaram Baba Colony_x000D_
Behind Satysai Center_x000D_
Near Farshi Stop</t>
  </si>
  <si>
    <t>ST. FRANCIS HIGH SCHOOL, AMRAVATI</t>
  </si>
  <si>
    <t>ARTS, COMMERCE, SCIENCE COLLAGE, KIRAN NAGAR, AMRAVATI</t>
  </si>
  <si>
    <t>VISHWAKARMA INSTITUTE OF INFORMATION AND TECHNOLOGY, PUNE</t>
  </si>
  <si>
    <t>AutoCAD,MS Office,MS Project,Project Planning &amp; Scheduling,Cost Estimation &amp; Quantity Surveying,Billing &amp; BOQ Preparation,Urban Infrastructure Fundamentals,Project Controls &amp; Reporting,Earned Value Management (EVM),Risk Management</t>
  </si>
  <si>
    <t>VISION CIVIL ENGINEER CONTRACTOR &amp; VALUER | Property Valuation Intern | PUNE | Jan 2025 | May 2025 | 19.285714285714 Weeks</t>
  </si>
  <si>
    <t>P25701055</t>
  </si>
  <si>
    <t>CHANDRAHAS</t>
  </si>
  <si>
    <t>Omkar Chandrahas Shinde</t>
  </si>
  <si>
    <t>ocshinde43@gmail.com</t>
  </si>
  <si>
    <t>p25701055@student.nicmar.ac.in</t>
  </si>
  <si>
    <t>Passionate about trekking and outdoor exploration,cricket</t>
  </si>
  <si>
    <t>5544 8966 5131</t>
  </si>
  <si>
    <t>CHANDRAHAS SHINDE</t>
  </si>
  <si>
    <t>GOVT RETIRED</t>
  </si>
  <si>
    <t>502, A -WING RUNWAL GARDEN_x000D_
NEAR RAUNAK PARK ,POKHARAN RD 2</t>
  </si>
  <si>
    <t>LITTLE FLOWER HIGH SCHOOL</t>
  </si>
  <si>
    <t>MAHARSHTA STATE BOARD OF SECONDARY AND HIGHER SECONDARY EDUCATION, PUNE</t>
  </si>
  <si>
    <t>MUCHHALA POLYTECHNIC THANE</t>
  </si>
  <si>
    <t>NEW HORIZON INSTITUTE OF TECHNOLOGY AND MANAGEMENT</t>
  </si>
  <si>
    <t>AutoCAD,MS Office,Revit Structure</t>
  </si>
  <si>
    <t>SHREE SAIBABA GRIHANIRMITI PVT. LTD. | Fitout Engineer | Thane | Jun 2023 | Jul 2024 | 1Y 0M | 2.17</t>
  </si>
  <si>
    <t>PLANHIGH ARCHITECTS AND PROJECT MANAGEMENT CONSULTANTS  | PROJECT MANAGEMENT/COORDINATION  | Thane | May 2026 | Jul 2026 | 8.5714285714286 Weeks | Campus Internship</t>
  </si>
  <si>
    <t>Programme in Autocad</t>
  </si>
  <si>
    <t>P25701056</t>
  </si>
  <si>
    <t>SAWANT</t>
  </si>
  <si>
    <t>Neha Rajesh Sawant</t>
  </si>
  <si>
    <t>nehasawant1904@gmail.com</t>
  </si>
  <si>
    <t>p25701056@student.nicmar.ac.in</t>
  </si>
  <si>
    <t>19-Apr-1999</t>
  </si>
  <si>
    <t>7082 2232 2612</t>
  </si>
  <si>
    <t>DEPUTY ENGINEER</t>
  </si>
  <si>
    <t>SWAPNA</t>
  </si>
  <si>
    <t>BANK OFFICER</t>
  </si>
  <si>
    <t>702, Parth CHS, L.T. Nagar, M.G. Road, Goregaon-west, Mumbai- 400104</t>
  </si>
  <si>
    <t>VIVEK VIDYALAYA &amp; JUNIOR COLLEGE   (MUMBAI)</t>
  </si>
  <si>
    <t>M.L. DAHANUKAR COLLEGE OF COMMERCE   (MUMBAI)</t>
  </si>
  <si>
    <t>SIR J. J. COLLEGE OF ARCHITECTURE   (MUMBAI)</t>
  </si>
  <si>
    <t>AutoCAD,MS Office,MS Project,3D Sketchup,3D Rhino,Adobe Photoshop,Adobe Indesign,Canva design,Lumion</t>
  </si>
  <si>
    <t>Samira Rathod Design Atelier | Junior Architect | Prabhadevi, Mumbai | Oct 2021 | Nov 2023 | 2Y 1M | 3
Serie Architects | Junior Architect | Lower Parel, Mumbai | Feb 2024 | Jun 2025 | 1Y 3M | 5.4</t>
  </si>
  <si>
    <t>ManAssure - Advisory and Consultancy | Business Development Intern | Remote | May 2026 | Jul 2026 | 8.5714285714286 Weeks | Campus Internship
SAS ARCHITECTS | Intern Architect (Site Coordinator) | MULUND, MUMBAI | Jun 2021 | Oct 2021 | 17.428571428571 Weeks
ARCHITECT LOKHADWALLA F.T. | Intern | MUMBAI CENTRAL, MUMBAI | Nov 2019 | Mar 2020 | 17.142857142857 Weeks</t>
  </si>
  <si>
    <t>P25701057</t>
  </si>
  <si>
    <t>PRITHVIRAJ</t>
  </si>
  <si>
    <t>GOSWAMI</t>
  </si>
  <si>
    <t>Prithviraj Goswami</t>
  </si>
  <si>
    <t>prithvirajgoswamilogan@gmail.com</t>
  </si>
  <si>
    <t>p25701057@student.nicmar.ac.in</t>
  </si>
  <si>
    <t>08-Oct-1999</t>
  </si>
  <si>
    <t>8868 4819 2974</t>
  </si>
  <si>
    <t>ALOK RANJAN GOSWAMI</t>
  </si>
  <si>
    <t>PRATIBHA SHARMA GOSWAMI</t>
  </si>
  <si>
    <t>Flat 1B,Ujan Abhoynagar, Agartala, West Tripura,Tripura-799005</t>
  </si>
  <si>
    <t>West Tripura</t>
  </si>
  <si>
    <t>Tripura</t>
  </si>
  <si>
    <t>SRI KRISHNA MISSION SCHOOL</t>
  </si>
  <si>
    <t>CENTRAL BOARD OF SECONDARY EDUCATION(TRIPURA)</t>
  </si>
  <si>
    <t>HINDI HIGHER SECONDARY SCHOOL</t>
  </si>
  <si>
    <t>NATIONAL INSTITUTE OF TECHNOLOGY AGARTALA</t>
  </si>
  <si>
    <t>KEC International Ltd | Engineer-Projects | Bhopal | Jul 2022 | Jun 2024 | 1Y 10M | 6.25</t>
  </si>
  <si>
    <t>Aditya Planing And CAD Solutions | Project Planning And Coordination Intern | Agartala | May 2026 | Jul 2026 | 8.5714285714286 Weeks | Campus Internship</t>
  </si>
  <si>
    <t>P25701058</t>
  </si>
  <si>
    <t>ANIRUDH</t>
  </si>
  <si>
    <t>MANGLIA</t>
  </si>
  <si>
    <t>Anirudh Singh Manglia</t>
  </si>
  <si>
    <t>manglia.anirudh27@gmail.com</t>
  </si>
  <si>
    <t>p25701058@student.nicmar.ac.in</t>
  </si>
  <si>
    <t>27-Jun-2000</t>
  </si>
  <si>
    <t>Theatre,Watching Movies,Geography,Playing Cricket and Basketball,Travelling</t>
  </si>
  <si>
    <t>6045 1604 0860</t>
  </si>
  <si>
    <t>JUGAL KISHORE</t>
  </si>
  <si>
    <t>RETIRED UDC</t>
  </si>
  <si>
    <t>PRAVEENA MANGLIA</t>
  </si>
  <si>
    <t>C-225/A, SARASWATI NAGAR, BASNI-Ist PHASE, JODHPUR</t>
  </si>
  <si>
    <t>Jodhpur</t>
  </si>
  <si>
    <t>ST. ANNE'S SR. SEC. SCHOOL</t>
  </si>
  <si>
    <t>MBM UNIVERSITY</t>
  </si>
  <si>
    <t>MBM ENGINEERING COLLEGE JODHPUR</t>
  </si>
  <si>
    <t>AutoCAD,MS Office,MS Project,Primavera,REVIT,EXCEL</t>
  </si>
  <si>
    <t>HGIEL | GET | PAN INDIA | Oct 2023 | Jan 2024 | 0Y 3M | 3</t>
  </si>
  <si>
    <t>CPWD | Assistant Engineer | Udaipur, Rajasthan | Jun 2022 | Jul 2022 | 6.2857142857143 Weeks</t>
  </si>
  <si>
    <t>AUTODESK REVIT
Microeconomics Principles
Introduction to Generative AI in Human Resources
Project Management:The basics for Success
Introduction to Corporate Finance</t>
  </si>
  <si>
    <t>P25701059</t>
  </si>
  <si>
    <t>Priyanka S</t>
  </si>
  <si>
    <t>priyankashiremath878@gmail.com</t>
  </si>
  <si>
    <t>p25701059@student.nicmar.ac.in</t>
  </si>
  <si>
    <t>English,Hindi and Kannada</t>
  </si>
  <si>
    <t>9356 7359 6680</t>
  </si>
  <si>
    <t>SATHAYYA B</t>
  </si>
  <si>
    <t>NAGAMMA</t>
  </si>
  <si>
    <t>968 VEERABHADRESHWARA NILAYA , BANASHANKARI 6TH STAGE ,2ND BLOCK KARIYANPALYA</t>
  </si>
  <si>
    <t>#13 20th Main Road  , JC Nagar Kurubarahalli Bangalore 560086</t>
  </si>
  <si>
    <t>PRIYANKA S</t>
  </si>
  <si>
    <t>RNS PRE UNIVERSITY COLLAGE</t>
  </si>
  <si>
    <t>JSS ACADEMY OF TECHNICAL EDUCATION</t>
  </si>
  <si>
    <t>AutoCAD,MS Office,MS Project,Primavera,Revit,Stadd pro</t>
  </si>
  <si>
    <t>Systra India | Regional Technical Centre (CTR) | SYSTRA MVA Consulting (India) Pvt. Ltd. Prestige Towers, 8th Floor, Residency Road, Shanthala Nagar, Ashok  Nagar, Bengaluru, Karnataka- 560027 | May 2026 | Jul 2026 | 8.5714285714286 Weeks | Campus Internship
CHETAN INFRATECH CONSULTANTS PVT.LTD | Intern | Banshankari 1st stage, Srinagar | Feb 2025 | Apr 2025 | 11.857142857143 Weeks
Nagarjuna Construction Company | Intern | HBR layout | Oct 2024 | Jan 2025 | 9.4285714285714 Weeks
RITES | SITE INTERN | CHALLAGHATA, BANGALORE | Nov 2023 | Dec 2023 | 4.2857142857143 Weeks</t>
  </si>
  <si>
    <t>P25701060</t>
  </si>
  <si>
    <t>SANGAM</t>
  </si>
  <si>
    <t>SHASHIKANT</t>
  </si>
  <si>
    <t>Singh Sangam Shashikant</t>
  </si>
  <si>
    <t>sangamsingh492000@gmail.com</t>
  </si>
  <si>
    <t>p25701060@student.nicmar.ac.in</t>
  </si>
  <si>
    <t>3172 2660 5130</t>
  </si>
  <si>
    <t>SHASHIKANT RAMSURAT SINGH</t>
  </si>
  <si>
    <t>PRIVATE SECTOR JOB</t>
  </si>
  <si>
    <t>SARITA SHASHIKANT SINGH</t>
  </si>
  <si>
    <t>Flat 002, Guruprabha Sankul, Near Mangalvaar Bazaar, Water Supply Road, Kongaon, Kalyan West</t>
  </si>
  <si>
    <t>OXFORD PUBLIC SCHOOL</t>
  </si>
  <si>
    <t>MAHARASHTRA STATE BOARD OF SECONDARY AND HIGHER SECONDARY EDUCATION / MUMBAI</t>
  </si>
  <si>
    <t>THAKUR POLYTECHNIC / MUMBAI</t>
  </si>
  <si>
    <t>UNIVERSAL COLLEGE OF ENGINEERING / MUMBAI</t>
  </si>
  <si>
    <t>DNEG India Media Services Limited | Show Production Coordinator | Mumbai | Sep 2022 | Sep 2024 | 2Y 0M | 2.4
Freyssinet Menard India Private Limited | Graduate Engineer Trainee | New Delhi, Gurugram, Noida, Mumbai | Oct 2024 | Apr 2025 | 0Y 6M | 3.25</t>
  </si>
  <si>
    <t>SHRREEYA DEVELOPERS | Junior Engineer | Mumbai | Nov 2019 | Jan 2020 | 6.1428571428571 Weeks
KOSMOS DEVELOPERS | JUNIOR ENGINEER | MUMBAI | Nov 2020 | Feb 2021 | 16.428571428571 Weeks
VASUDEV C. WADHWA CONSTRUCTION | JUNIOR ENGINEER | MUMBAI | Mar 2021 | Dec 2021 | 42.571428571429 Weeks</t>
  </si>
  <si>
    <t>P25701061</t>
  </si>
  <si>
    <t>DIPANJAN</t>
  </si>
  <si>
    <t>Dipanjan Ghosh</t>
  </si>
  <si>
    <t>ghoshdipanjan03@gmail.com</t>
  </si>
  <si>
    <t>p25701061@student.nicmar.ac.in</t>
  </si>
  <si>
    <t>3122 3447 7841</t>
  </si>
  <si>
    <t>JOYDIP GHOSH</t>
  </si>
  <si>
    <t>ANJANA GHOSH</t>
  </si>
  <si>
    <t>NICMAR UNIVERSITY, PUNE,25 / 1, BALEWADI, N.I.A. POST OFFICE, PUNE - 411045, MAHARASHTRA</t>
  </si>
  <si>
    <t>Village - Joychandipur_x000D_
P.O. - Bakhrahat_x000D_
District - 24 Pgs (S)_x000D_
Pin - 743377</t>
  </si>
  <si>
    <t>S.L. BAJORIA FOUNDATION HIGH SCHOOL</t>
  </si>
  <si>
    <t>K.E. CARMEL SCHOOL, AMTALA</t>
  </si>
  <si>
    <t>INDIAN SCHOOL CERTIFICATE, NEW DELHI</t>
  </si>
  <si>
    <t>JADAVPUR UNIVERSITY</t>
  </si>
  <si>
    <t>JADAVPUR UNIVERSITY, WEST BENGAL</t>
  </si>
  <si>
    <t>Aditya Birla Group | Assistant Manager, Civil &amp; Construction | Singrauli, Madhya Pradesh | Aug 2023 | Jun 2025 | 1Y 10M | 8</t>
  </si>
  <si>
    <t>Grant Thornton Bharat LLP | Client study, research | Work from home | May 2026 | Jul 2026 | 9.7142857142857 Weeks | Campus Internship</t>
  </si>
  <si>
    <t>P25701062</t>
  </si>
  <si>
    <t>CHINCHAWADE</t>
  </si>
  <si>
    <t>Nikhil Anil Chinchawade</t>
  </si>
  <si>
    <t>nikhilanilchin@gmail.com</t>
  </si>
  <si>
    <t>p25701062@student.nicmar.ac.in</t>
  </si>
  <si>
    <t>Traveling,Theatre,Sports,Watching Movies/Shows</t>
  </si>
  <si>
    <t>3178 4471 9185</t>
  </si>
  <si>
    <t>ANIL CHINCHAWADE</t>
  </si>
  <si>
    <t>SR. DGM</t>
  </si>
  <si>
    <t>NANDINI CHINCHAWADE</t>
  </si>
  <si>
    <t>Kurtarkar Nagri, Bld No. 3A, Flat No. S5, Near Forest Office</t>
  </si>
  <si>
    <t>A. J. DE ALMEIDA HIGH SCHOOL</t>
  </si>
  <si>
    <t>GOA BOARD OF SECONDARY AND HIGHER SECONDARY EDUCATION, ALTO-BETIM, GOA</t>
  </si>
  <si>
    <t>S. S. SAMITI'S HIGHER SECONDARY SCHOOL</t>
  </si>
  <si>
    <t>DON BOSCO COLLEGE OF ENGINEERING, FATORDA MARGAO-GOA</t>
  </si>
  <si>
    <t>AutoCAD,MS Office,MS Project,Primavera,MidasGen</t>
  </si>
  <si>
    <t>Prakash S.P. Lawande Consulting Engineer | Civil Engineer | Ponda Goa | Sep 2023 | Sep 2024 | 1Y 0M | 2.4
Suraksha Constructions | Civil Engineer | Kundaim-Goa | Feb 2023 | Aug 2023 | 0Y 6M | 1.8</t>
  </si>
  <si>
    <t>New Consolidated Construction Co. Ltd. (NCCCL) | Project Planning and Execution | Alibag, Maharashtra | May 2026 | Jul 2026 | 8.7142857142857 Weeks | Campus Internship
Techno Art Builder | Civil Engineer | Ponda | Oct 2024 | Apr 2025 | 28.428571428571 Weeks</t>
  </si>
  <si>
    <t>Financial Literacy  by IITBombayX
English for Oral Communication by  IITBombayX
Diploma in Autocad
Introduction to Generative AI in Human Resources
Introduction to Marketing
Six Sigma Principles
Foundations of Project Management
Microeconomics Principles
Project Management: The Basics for Success
Introduction to Corporate Finance</t>
  </si>
  <si>
    <t>P25701063</t>
  </si>
  <si>
    <t>Sandeep Sahu</t>
  </si>
  <si>
    <t>sahusandeep387@gmail.com</t>
  </si>
  <si>
    <t>p25701063@student.nicmar.ac.in</t>
  </si>
  <si>
    <t>6192 7253 7149</t>
  </si>
  <si>
    <t>SUDHIR KUMAR SAHU</t>
  </si>
  <si>
    <t>DIPMALA SAHU</t>
  </si>
  <si>
    <t>House No - 21, Balaji City, Bargarh, Odisha, 768028</t>
  </si>
  <si>
    <t>VIKASH RESIDENTIAL SCHOOL VIKASENCLAVE BARHAGUDA, BARGARH, ODISHA</t>
  </si>
  <si>
    <t>CENTRAL BOARD OF SECONDAY EDUCATION, BARGARH,ODISHA</t>
  </si>
  <si>
    <t>VIKASH RESIDENTIAL SCHOOL BBSR KHURDA ODISHA</t>
  </si>
  <si>
    <t>CENTRAL BOARD OF SECONDAY EDUCATION, BBSR, ODISHA</t>
  </si>
  <si>
    <t>AutoCAD,MS Office,MS Project,Primavera,Sketchup,lumion,Revit,Navisworks</t>
  </si>
  <si>
    <t>Arconaid Consultants Private Limited | Architecture, Interior Design | Pune | Sep 2024 | Jun 2025 | 0Y 8M | 1.8</t>
  </si>
  <si>
    <t>ARCHITECT RISHIKESH H. | Project Managemrnt Intern | Pune | May 2026 | Jul 2026 | 9.5714285714286 Weeks | Campus Internship
Kalamiti Design Studio | Architecture, Interior Design | Pune | May 2022 | Jul 2022 | 8.5714285714286 Weeks
Verizon Architects | Architecture, Interior, Landscape, Urban Planning and Design | Ahmedabad | Jun 2023 | Nov 2023 | 23.142857142857 Weeks</t>
  </si>
  <si>
    <t>P25701064</t>
  </si>
  <si>
    <t>RIJUTA</t>
  </si>
  <si>
    <t>PULLIWAR</t>
  </si>
  <si>
    <t>Rijuta Prasad Pulliwar</t>
  </si>
  <si>
    <t>rijuta.pulliwar20@gmail.com</t>
  </si>
  <si>
    <t>p25701064@student.nicmar.ac.in</t>
  </si>
  <si>
    <t>20-Sep-2001</t>
  </si>
  <si>
    <t>ENGLISH, HINDI, MARATHI, GERMAN</t>
  </si>
  <si>
    <t>8201 2116 2108</t>
  </si>
  <si>
    <t>PRASAD PULLIWAR</t>
  </si>
  <si>
    <t>POOJA PULLIWAR</t>
  </si>
  <si>
    <t>FLAT 1003, A1 WING, MANTRA MONARCH, PATIL NAGAR, BALEWADI, PUNE.</t>
  </si>
  <si>
    <t>Plot 42, Navnirman Colony, Pratap Nagar, Nagpur.</t>
  </si>
  <si>
    <t>SOMALWAR HIGH SCHOOL &amp; JUNIOR COLLEGE, NIKALAS BRANCH, NAGPUR - 440022</t>
  </si>
  <si>
    <t>M K H SANCHETI PUBLIC SCHOOL &amp; JUNIOR COLLEGE, NAGPUR</t>
  </si>
  <si>
    <t>DR. BHANUBEN NANAVATI COLLEGE OF ARCHITECTURE, PUNE.</t>
  </si>
  <si>
    <t>AutoCAD,MS Office,MS Project,Autodesk Revit,Primavera P6,MS Excel,@Risk</t>
  </si>
  <si>
    <t>Studio Adroit Architects | Junior Architect | Nagpur | Nov 2024 | May 2025 | 0Y 6M | 1.8
PEB Utkarsha Projects Pvt. Ltd. | Junior Architect | Nagpur | May 2024 | Nov 2024 | 0Y 6M | 1.8</t>
  </si>
  <si>
    <t>URBAN TREE ARCHITECTURE | Architectural Intern | PUNE, MAHARASHTRA. | Jun 2023 | Nov 2023 | 24.428571428571 Weeks
AIESEC IN PUNE | Senior Business Development Manager  | PUNE, MAHARASHTRA. | Aug 2020 | Jul 2021 | 52 Weeks</t>
  </si>
  <si>
    <t>Google Agile Essentials
Project Management - The Basics For Success
Certificate for Energy Literacy
Construction Management Foundations
Rhinoceros 3D and Grasshopper
Certified Associate in Project Management (CAPM)Â®
IIM Nagpur - Post Graduation Certificate Programme in Project Management
CSM - Certified Scrum Master
German Language: A2 Level (Goethe-Institute Certified)
Project Optimization in Primavera P6
Introduction to Corporate Finance</t>
  </si>
  <si>
    <t>P25701065</t>
  </si>
  <si>
    <t>CHANDRA</t>
  </si>
  <si>
    <t>K J</t>
  </si>
  <si>
    <t>Surabhi Chandra K J</t>
  </si>
  <si>
    <t>surabhichandra2003@gmail.com</t>
  </si>
  <si>
    <t>p25701065@student.nicmar.ac.in</t>
  </si>
  <si>
    <t>29-Jan-2003</t>
  </si>
  <si>
    <t>8416 6006 8802</t>
  </si>
  <si>
    <t>JAYACHANDRAN C K</t>
  </si>
  <si>
    <t>SENIOR DESIGNER</t>
  </si>
  <si>
    <t>DEEPA JAYACHANDRAN</t>
  </si>
  <si>
    <t>TC 10/2018 (4), VILLA A1, BEACON COLORS, PALATHARA, POWDIKONAM, THIRUVANANTHAPURAM, KERALA</t>
  </si>
  <si>
    <t>COTTAKKATTU HOUSE, NARIYAPURAM, VALLICODE, PATHANAMTHITTA, KERALA</t>
  </si>
  <si>
    <t>Pathanamthitta</t>
  </si>
  <si>
    <t>NAVAJEEVAN BETHANY VIDYALAYA NALANCHIRA</t>
  </si>
  <si>
    <t>SARVODAYA CENTRAL VIDYALAYA NALANCHIRA</t>
  </si>
  <si>
    <t>GOVERNMENT ENGINEERING COLLEGE BARTON HILL, THIRUVANANTHAPURAM</t>
  </si>
  <si>
    <t>AutoCAD,MS Office,MS Project,SPSS</t>
  </si>
  <si>
    <t>Deloitte Touche Tohmatsu India LLP | Intern | Mumbai | May 2026 | Jul 2026 | 8.5714285714286 Weeks | Campus Internship
KERALA RAIL DEVELOPMENT CORPORATION LIMITED | INTERN | THIRUVANANTHAPURAM, KERALA | May 2025 | Jun 2025 | 5.5714285714286 Weeks
SI PROPERTY (KERALA) PRIVATE LIMITED | INTERN | THIRUVANANTHAPURAM, KERALA | Jun 2024 | Jul 2024 | 3.4285714285714 Weeks
KERALA WATER AUTHORITY | INTERN | ARUVIKKARA, THIRUVANANTHAPURAM, KERALA | May 2023 | May 2023 | 0.85714285714286 Weeks</t>
  </si>
  <si>
    <t>P25701066</t>
  </si>
  <si>
    <t>Srushti Shah</t>
  </si>
  <si>
    <t>srushti.urmish.shah@gmail.com</t>
  </si>
  <si>
    <t>p25701066@student.nicmar.ac.in</t>
  </si>
  <si>
    <t>4098 2115 6950</t>
  </si>
  <si>
    <t>URMISH SHAH</t>
  </si>
  <si>
    <t>JAYSHRI SHAH</t>
  </si>
  <si>
    <t>702, Bella Wing, Crystal Palace, Sec- 20, S.G. Belapur, SG Patil Marg, CBD Belapur, Navi Mumbai _x000D_</t>
  </si>
  <si>
    <t>JAIPURIAR SCHOOL NAVI MUMBAI THANE MAHARASHTRA</t>
  </si>
  <si>
    <t>MAHATMA EDUCATION SOCIETY'S PILLAI COLLEGE OF ARCHITECTURE, NEW PANVEL</t>
  </si>
  <si>
    <t>AutoCAD,MS Office,MS Project,Adobe Photoshop,Adobe Illustrator,SketchUp,Lumion</t>
  </si>
  <si>
    <t>Designworks | Junior architect  | Sanpada Navi Mumbai  | Aug 2024 | Jun 2025 | 0Y 10M | 3</t>
  </si>
  <si>
    <t>Medigence Solutions Pvt Ltd | Project Management Intern  | Ahmedabad | May 2026 | Jul 2026 | 8.7142857142857 Weeks | Campus Internship
Compartment S4 | Intern  | Ahmedabad | Nov 2022 | Apr 2023 | 25.714285714286 Weeks</t>
  </si>
  <si>
    <t>SMEF's BRICK School of Architecture, Pune - The Pandemic Memorial competition</t>
  </si>
  <si>
    <t>P25701067</t>
  </si>
  <si>
    <t>SHIRBHATE</t>
  </si>
  <si>
    <t>Akshata Anup Shirbhate</t>
  </si>
  <si>
    <t>akshatashirbhate9@gmail.com</t>
  </si>
  <si>
    <t>p25701067@student.nicmar.ac.in</t>
  </si>
  <si>
    <t>02-Dec-2002</t>
  </si>
  <si>
    <t>4067 6622 3648</t>
  </si>
  <si>
    <t>Anup Shirbhate, Opposite Monalisha Apartment Shrikrushna Peth Near Daffrin Hospital Amravati</t>
  </si>
  <si>
    <t>HOLY CROSS CONVENT ENGLISH HIGH AMRAVTI</t>
  </si>
  <si>
    <t>SSC ,PUNE</t>
  </si>
  <si>
    <t>INDEPENDENT JUNIOR COLLEGE RURAL INSTITUTE, AMRAVATI</t>
  </si>
  <si>
    <t>HSC , PUNE</t>
  </si>
  <si>
    <t>AutoCAD,MS Office,MS Project,Primavera,Illustrator,Indesign,Photoshop,Sketchup</t>
  </si>
  <si>
    <t>Jawaharlal Nehru Port Authority | Architectural Intern | Navi Mumbai | Nov 2023 | Mar 2024 | 17.142857142857 Weeks</t>
  </si>
  <si>
    <t>Project Management Foundations  Project Management Foundation
Strategic Project Risk Management
Business Development Foundation
Lean Six Sigma Foundations
Six Sigma - Green Belt</t>
  </si>
  <si>
    <t>P25701068</t>
  </si>
  <si>
    <t>Prathamesh Santosh Kadam</t>
  </si>
  <si>
    <t>prathmeshkadam259@gmail.com</t>
  </si>
  <si>
    <t>p25701068@student.nicmar.ac.in</t>
  </si>
  <si>
    <t>Trekking,swimming,Acting,Fashion,Photography</t>
  </si>
  <si>
    <t>6574 9105 3938</t>
  </si>
  <si>
    <t>SANTOSH KONDIRAM KADAM</t>
  </si>
  <si>
    <t>OFFICE SUPERINTENDENT</t>
  </si>
  <si>
    <t>HEMLATA SANTOSH KADAM</t>
  </si>
  <si>
    <t>MAHALUNGE</t>
  </si>
  <si>
    <t>Deur, Koregaon, Satara</t>
  </si>
  <si>
    <t>ST. ANN'S ENGLISH MEDIUM SCHOOL &amp; JR.COLLAGE</t>
  </si>
  <si>
    <t>MAHARASHTRA STATE BOARD OF SECONDARY AND HIGHER SECONDARY EDUCATION, KOLHAPUR DIVISIONAL BOARD.</t>
  </si>
  <si>
    <t>PRAGNYA JUNIOR COLLEGE OF ARTS, COMMERCE AND SCIENCE</t>
  </si>
  <si>
    <t>MAHARASHTRA STATE BOARD OF SECONDARY AND HIGHER SECONDARY EDUCATION, PUNE DIVISIONAL BOARD.</t>
  </si>
  <si>
    <t>AISSMS COLLAGE OF ENGINEERING, PUNE, MAHARASHTRA</t>
  </si>
  <si>
    <t>Ecoboard industries Ltd | Project management intern | Pune | May 2026 | Jun 2026 | 8 Weeks | Campus Internship
Jain Engineering Pvt. Ltd. | Site execution  | Dombivli east | Dec 2023 | Jan 2024 | 5.8571428571429 Weeks</t>
  </si>
  <si>
    <t>Autocad
Collaborate effectively for professional success
Introduction to Corporate Finance
Project Management: The Basics for Success</t>
  </si>
  <si>
    <t>P25701070</t>
  </si>
  <si>
    <t>TAPASWIN</t>
  </si>
  <si>
    <t>Tapaswin Mishra</t>
  </si>
  <si>
    <t>mishratapaswin@gmail.com</t>
  </si>
  <si>
    <t>p25701070@student.nicmar.ac.in</t>
  </si>
  <si>
    <t>20-Oct-2002</t>
  </si>
  <si>
    <t>English Odia Hindi</t>
  </si>
  <si>
    <t>5481 6714 3768</t>
  </si>
  <si>
    <t>RABINARAYAN MISHRA</t>
  </si>
  <si>
    <t>SNEHALATA MISHRA</t>
  </si>
  <si>
    <t>Mohaveer Nagar ,  Jaipurkilla , Pipili</t>
  </si>
  <si>
    <t>Puri</t>
  </si>
  <si>
    <t>SRASWATI SISHU VIDYA MANDIR, JAYAPURKILLA, PIPILI</t>
  </si>
  <si>
    <t>JUPITER WOMEN'S SCIENCE HIGHER SECONDARY SCHOOL</t>
  </si>
  <si>
    <t>COUNCIL OF HIGHER SECONDARY  EDUCATION , ODISHA</t>
  </si>
  <si>
    <t>ODISHA UNIVERSITY OF TECHNOLOGY AND RESEARCH, ODISHA</t>
  </si>
  <si>
    <t>MS Office,MS Project,Primavera,SPSS,GIS</t>
  </si>
  <si>
    <t>MINISTRY OF HOUSING AND URBAN AFFAIRS, INDIA | INTERN | BHUBANESWAR | Jul 2022 | Aug 2022 | 5 Weeks</t>
  </si>
  <si>
    <t>Introduction to Corporate Finance
Project Management : The Basic For Success</t>
  </si>
  <si>
    <t>P25701071</t>
  </si>
  <si>
    <t>SADAVARTE</t>
  </si>
  <si>
    <t>Sakshi Avinash Sadavarte</t>
  </si>
  <si>
    <t>sakshi61002@gmail.com</t>
  </si>
  <si>
    <t>p25701071@student.nicmar.ac.in</t>
  </si>
  <si>
    <t>5976 4376 8257</t>
  </si>
  <si>
    <t>303, BARKHA BAHAR, MG ROAD, BESIDE THE FOOD TOWN HOTEL, NAUPADA, THANE WEST</t>
  </si>
  <si>
    <t>B/2 Shri Krishna Govind Prasad, Bhaskar Colony, Naupada, Thane West.</t>
  </si>
  <si>
    <t>SARASWATI VIDYALAYA HIGH SCHOOL &amp; JR. COLLEGE OF SCIENCE, THANE WEST</t>
  </si>
  <si>
    <t>MAHARASHTRA STATE BOARD OF SECONDARY AND HIGHER SECONDARY EDUCATION - MUMBAI</t>
  </si>
  <si>
    <t>AutoCAD,MS Office,MS Project,Primavera,Revit,Sketchup,Lumion</t>
  </si>
  <si>
    <t>JDesigns | Architectural Intern | Dadar, Mumbai | Nov 2023 | Apr 2024 | 20.714285714286 Weeks</t>
  </si>
  <si>
    <t>Sales Representative Certification Program by Reliance Foundation Skilling Academy
Coursera - Project Management- The Basics for success
Coursera- Introduction to Corporate Finance</t>
  </si>
  <si>
    <t>P25701073</t>
  </si>
  <si>
    <t>ANISH</t>
  </si>
  <si>
    <t>Anish K J</t>
  </si>
  <si>
    <t>kj.anish31@gmail.com</t>
  </si>
  <si>
    <t>p25701073@student.nicmar.ac.in</t>
  </si>
  <si>
    <t>31-Dec-2001</t>
  </si>
  <si>
    <t>ENGLISH, HINDI, KANNADA, KONKONI</t>
  </si>
  <si>
    <t>8126 1232 4008</t>
  </si>
  <si>
    <t>JOSEPH KV</t>
  </si>
  <si>
    <t>ANITHA JENNIFER</t>
  </si>
  <si>
    <t>#176, Munnekolal, Marathalli</t>
  </si>
  <si>
    <t>AIR FORCE SCHOOL MURGESHPALYA CAMP</t>
  </si>
  <si>
    <t>CENTRAL BOARD OF SECONDARY EDUCATION, BENGALURU/ KARNATAKA</t>
  </si>
  <si>
    <t>GOVERNMENT POLYTECHNIC IMMADIHALLI, BANGALORE/KARNATAKA</t>
  </si>
  <si>
    <t>CMR INSTITUTE OF TECHNOLOGY, BANGALORE/KARNATAKA</t>
  </si>
  <si>
    <t>AutoCAD,MS Office,MS Project,Primavera,@Risk,Candy</t>
  </si>
  <si>
    <t>Sowparnika Homes Pvt. Ltd. | Jr. Engineer | Bangalore | Jul 2024 | Jun 2025 | 0Y 11M | 3.25</t>
  </si>
  <si>
    <t>UNISPACE | Project Management Intern | Bengaluru | May 2026 | Jul 2026 | 8.7142857142857 Weeks | Campus Internship
SALARPURIA SATTVA | CONSTRUCTION MANAGEMENT AND QA/QC | BENGALURU | Aug 2023 | Sep 2023 | 4.4285714285714 Weeks
GOVERNMENT OF KARNATAKA PUBLIC WORKS DEPARTMENT | PROJECT MANAGEMENT | BANGERPET, KARNATAKA | Sep 2021 | Sep 2021 | 2 Weeks</t>
  </si>
  <si>
    <t>P25701074</t>
  </si>
  <si>
    <t>Jaswant Singh R</t>
  </si>
  <si>
    <t>jasusingh001@gmail.com</t>
  </si>
  <si>
    <t>p25701074@student.nicmar.ac.in</t>
  </si>
  <si>
    <t>08-Nov-2000</t>
  </si>
  <si>
    <t>English,Hindi,Kannada,Tamil,Telugu</t>
  </si>
  <si>
    <t>6256 4386 3517</t>
  </si>
  <si>
    <t>RAVINDRANATH SINGH R</t>
  </si>
  <si>
    <t>RATHNA SINGH R</t>
  </si>
  <si>
    <t>9/1, 1st Main Road, New Guddadahalli, Bangalore, Karnataka 560026</t>
  </si>
  <si>
    <t>BANGALORE HIGH SCHOOL</t>
  </si>
  <si>
    <t>KARNATAKA SECONDARY EDUCATION EXAMINATION BOARD, BENGALURU</t>
  </si>
  <si>
    <t>AUTOMOBILE ENGINEERING</t>
  </si>
  <si>
    <t>PVP POLYTECHNIC, BANGALURU</t>
  </si>
  <si>
    <t>2017-Nov</t>
  </si>
  <si>
    <t>ACHARYA INSTITUTE OF TECHNOLOGY</t>
  </si>
  <si>
    <t>AutoCAD,MS Office,MS Project,Primavera,Matlab,Adobe suite,Solid works,HSE documentation</t>
  </si>
  <si>
    <t>Practice Buzz | Marketing Executive | India | Sep 2023 | Jul 2025 | 1Y 10M | 3.96
JBM Ogihara Automotive India Limited | Production Engineer | Bangalore | May 2023 | Apr 2024 | 0Y 11M | 3</t>
  </si>
  <si>
    <t>Acharya Institute Of Technology | Digital Marketing Team | Baangalore | Nov 2021 | Oct 2022 | 47.571428571429 Weeks</t>
  </si>
  <si>
    <t>Electrical Vehicles</t>
  </si>
  <si>
    <t>P25701075</t>
  </si>
  <si>
    <t>BHANUSHALI</t>
  </si>
  <si>
    <t>Varun Amar Bhanushali</t>
  </si>
  <si>
    <t>varunbhanu3@gmail.com</t>
  </si>
  <si>
    <t>p25701075@student.nicmar.ac.in</t>
  </si>
  <si>
    <t>ENGLISH, HINDI, MARATHI, GUJRATI</t>
  </si>
  <si>
    <t>Drama &amp; Playwriting,Running marathons,playing a musical instrument,Listening to podcasts</t>
  </si>
  <si>
    <t>7659 7642 5921</t>
  </si>
  <si>
    <t>Gurukul Nagar,yukta Apartment,flat No 2/3, Kinhavali</t>
  </si>
  <si>
    <t>WISDOM ENGLISH SCHOOL</t>
  </si>
  <si>
    <t>MAHARASHTRA STATE BOARD/MURBAD</t>
  </si>
  <si>
    <t>PACE JUNIOR SCIENCE COLLEGE</t>
  </si>
  <si>
    <t>MAHARASHTRA STATE OF HIGHER AND SECONDARY EDUCATION/THANE</t>
  </si>
  <si>
    <t>SHIVAJIRAO S JONDHLE COLLEGE OF ENGINEERING/MAHARASHTRA</t>
  </si>
  <si>
    <t>AutoCAD,MS Office,MS Project,Primavera,Asana</t>
  </si>
  <si>
    <t>Pidilite Industries | Business Development &amp; Market Research | Mumbai | May 2026 | Jul 2026 | 11.857142857143 Weeks | Campus Internship
Manish Construction | Junior Engineer  | Pimpri-Chinchwad  | Jul 2024 | Feb 2025 | 27.714285714286 Weeks</t>
  </si>
  <si>
    <t>AUTOCAD CIVIL
Equity Market Analyst
Corporate Finance</t>
  </si>
  <si>
    <t>P25701076</t>
  </si>
  <si>
    <t>RUDRA</t>
  </si>
  <si>
    <t>DATTATRAYA</t>
  </si>
  <si>
    <t>PHADTARE</t>
  </si>
  <si>
    <t>Rudra Dattatraya Phadtare</t>
  </si>
  <si>
    <t>rudraphadtare2709@gmail.com</t>
  </si>
  <si>
    <t>p25701076@student.nicmar.ac.in</t>
  </si>
  <si>
    <t>Fitness and Gym,Volunteering for Social Causes,Gathering Information about different Countries,Playing cricket &amp; volleyball</t>
  </si>
  <si>
    <t>4085 8597 7971</t>
  </si>
  <si>
    <t>DATTATRAYA PHADTARE</t>
  </si>
  <si>
    <t>RETIRED MECHANICAL ENGINEER</t>
  </si>
  <si>
    <t>RESHMA PHADTARE</t>
  </si>
  <si>
    <t>JOURNALIST</t>
  </si>
  <si>
    <t>Chaitrabun Bungalow Pl, No 84 , Vanashree Nagar ,Talegaon Dabhade ,</t>
  </si>
  <si>
    <t>DR.A.C HIGH SCHOOL</t>
  </si>
  <si>
    <t>ASM JR . COLLEGE</t>
  </si>
  <si>
    <t>DY PATIL COLLEGE OF ENGINEERING , AKURDI , PUNE.</t>
  </si>
  <si>
    <t>AutoCAD,MS Office,MS Project,Advanced Excel,STAAD.PRO,Revit</t>
  </si>
  <si>
    <t>VEDAS AND POLARIS INTERNATIONAL INDUSTRIES DUBAI , UAE . | OPERATIONS INTERN | DUBAI , UAE | Dec 2023 | Jan 2024 | 6.7142857142857 Weeks</t>
  </si>
  <si>
    <t>Project Management : The Basics for Success
Diploma in Building Design
Introduction to corporate finance</t>
  </si>
  <si>
    <t>P25701077</t>
  </si>
  <si>
    <t>SHOURYA</t>
  </si>
  <si>
    <t>Shourya Singh</t>
  </si>
  <si>
    <t>shourya.031.singh@gmail.com</t>
  </si>
  <si>
    <t>p25701077@student.nicmar.ac.in</t>
  </si>
  <si>
    <t>31-Oct-2001</t>
  </si>
  <si>
    <t>5989 6114 9482</t>
  </si>
  <si>
    <t>SAURABH KUMAR</t>
  </si>
  <si>
    <t>PRIYA SINGH</t>
  </si>
  <si>
    <t>Rzf-1 Street 1, Mahavir Enclave Palam, Sec - 1, Dwarka, Delhi - 110045</t>
  </si>
  <si>
    <t>VANADANA INTERNATIONAL SR SEC SCHOOL</t>
  </si>
  <si>
    <t>VANDANA INTERNATIONAL SR SEC SCHOOL</t>
  </si>
  <si>
    <t>BHARATI VIDYAPEETH DEEMED TO BE UNIVERSITY</t>
  </si>
  <si>
    <t>Janaadhar Ind Pvt Ltd | Assistant Planning Engineer  | Bangalore | Aug 2022 | Apr 2025 | 2Y 8M | 6.5</t>
  </si>
  <si>
    <t>Mace Project &amp; Cost Management Pvt. Ltd | Project Management Intern | Noida, Delhi NCR | May 2026 | Jul 2026 | 8.1428571428571 Weeks | Campus Internship
SHANGHAI TUNNEL ENGINEERING COMPANY LTD. | INTERN  | DELHI  | Sep 2021 | Oct 2021 | 6 Weeks</t>
  </si>
  <si>
    <t>P25701078</t>
  </si>
  <si>
    <t>SARAVANAN</t>
  </si>
  <si>
    <t>Avinash Saravanan</t>
  </si>
  <si>
    <t>avinashsaravanan.2000@gmail.com</t>
  </si>
  <si>
    <t>p25701078@student.nicmar.ac.in</t>
  </si>
  <si>
    <t>27-Aug-2000</t>
  </si>
  <si>
    <t>6765 0235 9747</t>
  </si>
  <si>
    <t>ARTHI</t>
  </si>
  <si>
    <t>3,pilliyar Koil Street, Pulliyambedu_x000D_</t>
  </si>
  <si>
    <t>SWAMYS MATRIC HIGHER SECONDARY SCHOOL</t>
  </si>
  <si>
    <t>STATE BOARD OF EXAMINATIONS, TAMILNADU</t>
  </si>
  <si>
    <t>CRESCENT SCHOOL OF ARCHITECTURE, CHENNAI</t>
  </si>
  <si>
    <t>AutoCAD,MS Office,MS Project,Rhino,D5 Render,Photoshop</t>
  </si>
  <si>
    <t>Creative Lab Interiors and Contracting | Interior Architect | Dubai | Sep 2023 | May 2025 | 1Y 8M | 12.88</t>
  </si>
  <si>
    <t>Ashoka Builders India Private Limited (ASBL Private Limited) | Design Coordinator Intern | Hyderabad | May 2026 | Jul 2026 | 8.7142857142857 Weeks | Campus Internship
Shilpa Architects | Intern Architect | Chennai | Jan 2022 | Jun 2022 | 24.428571428571 Weeks</t>
  </si>
  <si>
    <t>P25701080</t>
  </si>
  <si>
    <t>Vedant Ganesh Sawant</t>
  </si>
  <si>
    <t>work.ar.vedantsawant@gmail.com</t>
  </si>
  <si>
    <t>p25701080@student.nicmar.ac.in</t>
  </si>
  <si>
    <t>9610 8476 9993</t>
  </si>
  <si>
    <t>GANESH SADASHIV SAWANT</t>
  </si>
  <si>
    <t>RETIRED FROM ONGC</t>
  </si>
  <si>
    <t>MADHAVI GANESH SAWANT</t>
  </si>
  <si>
    <t>1103 Terrain Heights, Aaram Society Road, Vakola, Santacruz East, Mumbai -400055</t>
  </si>
  <si>
    <t>PARLE TILAK VIDYALAYA, VILE PARLE EAST, MUMBAI</t>
  </si>
  <si>
    <t>PACE JUNIOR SCIENCE COLLEGE, DADAR</t>
  </si>
  <si>
    <t>THAKUR SCHOOL OF ARCHITECTURE AND PLANNING , MUMBAI</t>
  </si>
  <si>
    <t>AutoCAD,MS Office,MS Project,Primavera,SKETCHUP,PHOTOSHOP,LUMION,SPSS,CANDY,@RISK</t>
  </si>
  <si>
    <t>URBAN STUDIO, MUMBAI | ARCHITECT | MUMBAI | Jun 2023 | Jun 2025 | 2Y 0M | 6.6</t>
  </si>
  <si>
    <t>Architect Rushikesh. H | Project Management Intern | MUMBAI | May 2026 | Jul 2026 | 9.5714285714286 Weeks | Campus Internship
INGRAIN | ARCHITECTURAL INTERN | MUMBAI | Nov 2021 | Apr 2022 | 20.285714285714 Weeks</t>
  </si>
  <si>
    <t>REAL ESTATE DEVELOPMENT AND MANAGEMENT</t>
  </si>
  <si>
    <t>P25701082</t>
  </si>
  <si>
    <t>KARTIKEYA</t>
  </si>
  <si>
    <t>Kumar Kartikeya</t>
  </si>
  <si>
    <t>kartikeyak2@gmail.com</t>
  </si>
  <si>
    <t>p25701082@student.nicmar.ac.in</t>
  </si>
  <si>
    <t>2047 9541 4130</t>
  </si>
  <si>
    <t>DILIP KUMAR SINGH</t>
  </si>
  <si>
    <t>SARIKA SINGH</t>
  </si>
  <si>
    <t>ROOM NO. - 302, SILVER JUBILEE HOSTEL</t>
  </si>
  <si>
    <t>23/2 Kumar House, Single Mandi_x000D_
Behind Lakshman Vidhyalaya_x000D_
Pathri Bagh</t>
  </si>
  <si>
    <t>Dehradun</t>
  </si>
  <si>
    <t>SCHOLARS HOME SR SEC SCHOOL</t>
  </si>
  <si>
    <t>S.G.R.R. PATEL NAGAR SCHOOL</t>
  </si>
  <si>
    <t>MECHANICAL</t>
  </si>
  <si>
    <t>SHIVALIK COLLEGE OF ENGINEERING, DEHRA DUN, UTTRAKHAND</t>
  </si>
  <si>
    <t>CHANDIGARH UNIVERSITY, CHANDIGARH, PUNJAB</t>
  </si>
  <si>
    <t>Primavera P6, Power BI, ERM, Advanced Excel, AutoCAD, MS Project Engineering, Drawings Interpretation, Cost Control</t>
  </si>
  <si>
    <t>Proactive Engineering Services  | Project Management Intern. | Pune | May 2026 | Jul 2026 | 8.7142857142857 Weeks | Campus Internship
Ultra vision engineering | Rajasthan | Mechanical engineer | Rajasthan, Barmer | Jan 2024 | Aug 2024 | 31.285714285714 Weeks | Campus Internship
S.S.R Enterprises  | Planning Engineer | Rajasthan | Oct 2024 | Jun 2025 | 34.714285714286 Weeks
Uttarakhand transport corporation | Mechanical engineer | Dehra dun | Jun 2022 | Jul 2022 | 5.8571428571429 Weeks
Bridge And Roof Corporation LTD. | Assistant Engineer | Bhatinda, Punjab | Jun 2021 | Jul 2021 | 8.5714285714286 Weeks</t>
  </si>
  <si>
    <t>KPMG 6 Sigma Certificate</t>
  </si>
  <si>
    <t>P25701083</t>
  </si>
  <si>
    <t>AADEESH</t>
  </si>
  <si>
    <t>GOBRELE</t>
  </si>
  <si>
    <t>Aadeesh Gobrele</t>
  </si>
  <si>
    <t>aadeesh.gobrele23@gmail.com</t>
  </si>
  <si>
    <t>p25701083@student.nicmar.ac.in</t>
  </si>
  <si>
    <t>2517 0648 3412</t>
  </si>
  <si>
    <t>MANOJ GOBRELE</t>
  </si>
  <si>
    <t>KIRAN GOBRELE</t>
  </si>
  <si>
    <t>A2-102, GULMARG COOPERATIVE HOUSING SOCIETY, GATE NO 2, MOHAN NAGAR</t>
  </si>
  <si>
    <t>House No. 14, Sanjana Park, Bhicholi Mardana</t>
  </si>
  <si>
    <t>ST. ARNOLDâ€™S HIGHER SECONDARY SCHOOL</t>
  </si>
  <si>
    <t>INDORE</t>
  </si>
  <si>
    <t>SCHOOL OF ARCHITECTURE, IPS ACADEMY INFORE</t>
  </si>
  <si>
    <t>AutoCAD,MS Office,MS Project,Primavera,Lightroom,revit</t>
  </si>
  <si>
    <t>9 SQUARES ARCHITECTS PVT LTD | INTERN | INDORE | Aug 2023 | Dec 2023 | 18.285714285714 Weeks</t>
  </si>
  <si>
    <t>P25701084</t>
  </si>
  <si>
    <t>Rohit Kumar</t>
  </si>
  <si>
    <t>rohitkumar19d@gmail.com</t>
  </si>
  <si>
    <t>p25701084@student.nicmar.ac.in</t>
  </si>
  <si>
    <t>3160 9676 8577</t>
  </si>
  <si>
    <t>VIBHUTI KUMAR</t>
  </si>
  <si>
    <t>ANITA KUMARI</t>
  </si>
  <si>
    <t>SOUTH COLONY ANDAL, P.O+P.S-ANDAL, DISTRICT- PASCHIM BARDHAMAN, WEST BENGAL-713321</t>
  </si>
  <si>
    <t>VILLAGE- BAKARPUR NIRPURA, P.O-BISHNUPUR SAID, P.S- RAJAPAKAR THANA BLOCK-RAJAPAKAR, SUB-DIVISION- MAHUA, DISTRICT- VAISHALI, BIHAR- 844115</t>
  </si>
  <si>
    <t>Vaishali</t>
  </si>
  <si>
    <t>KENDRIYA VIDYALAYA ANDAL</t>
  </si>
  <si>
    <t>MEGHNAD SAHA INSTITUTE OF TECHNOLOGY-142, KOLKATA</t>
  </si>
  <si>
    <t>Project Planning and Scheduling,MS Excel (Dashboards and Data Analysis),Lean Six Sigma,MS Project,IBM SPSS,Oracle Primavera P6,MINITAB,MS Office,Risk Management and Cost Control,AutoCAD 2D,MS Word &amp; PowerPoint</t>
  </si>
  <si>
    <t>Ahluwalia Contracts (India) Ltd.  | Planning Intern | Kolkata | May 2026 | Jul 2026 | 8.7142857142857 Weeks | Campus Internship
M/S GUPTA ENTERPRISE | SUMMER-INTERNSHIP | BELGACHIA VAGAR, HOWRAH | Jul 2023 | Jul 2023 | 3.7142857142857 Weeks
M/S LAXMAN SHARMA |  INTERN â€“ PLANNING ENGINEER | PHULWARISHARIF,PANTA | Aug 2024 | Jan 2025 | 26.142857142857 Weeks</t>
  </si>
  <si>
    <t>AutoCAD 2D â€“ Drafting and Civil Design
Oracle Primavera P6 â€“ Project Planning, Scheduling &amp; Control
MS Project â€“ Scheduling, Cost Management &amp; Tracking
Create Charts and Dashboards Using Microsoft Excel
Project Management: The Basics for Success
Data Analytics for Lean Six Sigma using Minitab</t>
  </si>
  <si>
    <t>P25701085</t>
  </si>
  <si>
    <t>NIRANJAN</t>
  </si>
  <si>
    <t>Kshitij Niranjan Kanade</t>
  </si>
  <si>
    <t>kanadekshitij151@gmail.com</t>
  </si>
  <si>
    <t>p25701085@student.nicmar.ac.in</t>
  </si>
  <si>
    <t>06-Dec-2002</t>
  </si>
  <si>
    <t>7855 0513 3619</t>
  </si>
  <si>
    <t>Deulwada,near Ballaleshwar Temple,Pali, Tal-Sudhagad, Dist-Raigad</t>
  </si>
  <si>
    <t>PETROCHEMICALS VIDYALAYA</t>
  </si>
  <si>
    <t>CBSE NAGOTHANE MAHARSHTRA</t>
  </si>
  <si>
    <t>Y.B PATIL POLYTECHNIC, AKURDI</t>
  </si>
  <si>
    <t>JSPM NTC, PUNE</t>
  </si>
  <si>
    <t>AutoCAD,MS Office,MS Project,Primavera,Market Research &amp; Site Feasibility Support,Vendor &amp; Channel Coordination,Data Collection &amp; Documentation for Due Diligence,Report Preparation &amp; Site Notes</t>
  </si>
  <si>
    <t>D'quor Spaces | Project-Coordinator | Pune | May 2026 | Jul 2026 | 8.7142857142857 Weeks | Campus Internship
SBP INFRA | Intern â€“ Assistant Engineer  | PALI, SUDHAGAD | Dec 2022 | Jan 2023 | 4.2857142857143 Weeks</t>
  </si>
  <si>
    <t>Auto cad and revit</t>
  </si>
  <si>
    <t>P25701087</t>
  </si>
  <si>
    <t>VINEET</t>
  </si>
  <si>
    <t>Vineet H</t>
  </si>
  <si>
    <t>vineethosmani18@gmail.com</t>
  </si>
  <si>
    <t>p25701087@student.nicmar.ac.in</t>
  </si>
  <si>
    <t>27-Apr-2001</t>
  </si>
  <si>
    <t>English, Hindi &amp; Kannada</t>
  </si>
  <si>
    <t>2478 3863 8999</t>
  </si>
  <si>
    <t>VENKATESH H</t>
  </si>
  <si>
    <t>VINAYA VENKATESH</t>
  </si>
  <si>
    <t>1027/18, Nisargadhama, Chamarajapuram, JLV Road, Mysuru</t>
  </si>
  <si>
    <t>JSS PUBLIC SCHOOL SIDDARTHA NAGAR MYSORE</t>
  </si>
  <si>
    <t>BASE PU COLLEGE</t>
  </si>
  <si>
    <t>DEAPARTMENT OF PRE-UNIVERSITY EDUCATION, GOVERNMENT OF KARNATAKA</t>
  </si>
  <si>
    <t>JSS SCIENCE &amp; TECHNOLOGY UNIVERSITY</t>
  </si>
  <si>
    <t>AutoCAD,MS Office,REVIT,StaadPRO</t>
  </si>
  <si>
    <t>Tata Consulting Engineers Limited | Senior Engineer | Bengaluru | Aug 2023 | Jun 2025 | 1Y 10M | 7.99</t>
  </si>
  <si>
    <t>M/S Foundations, Developers and Promoters, Mysuru | Intern | Mysuru | Aug 2022 | Sep 2022 | 4.4285714285714 Weeks</t>
  </si>
  <si>
    <t>P25701088</t>
  </si>
  <si>
    <t>WADEKAR</t>
  </si>
  <si>
    <t>Sanskar Bhaskar Wadekar</t>
  </si>
  <si>
    <t>wadekarsanskar242@gmail.com</t>
  </si>
  <si>
    <t>p25701088@student.nicmar.ac.in</t>
  </si>
  <si>
    <t>6136 0271 7821</t>
  </si>
  <si>
    <t>Gopalpur, Post Palashi_x000D_
Chhatrapati Sambhajinagar (Aurangabad),431008</t>
  </si>
  <si>
    <t>MUKUL MANDIR</t>
  </si>
  <si>
    <t>SHIV CHHATRAPATI COLLEGE</t>
  </si>
  <si>
    <t>DR. BABASAHEB AMBEDKAR TECHNOLOGICAL UNIVERSITY, LONERE, RAIGAD, MAHARASHTRA</t>
  </si>
  <si>
    <t>AutoCAD,MS Office,MS Project,Primavera,Sketchup,Lumion,Adobe Suites,Adobe Photoshop,After Effects,Vray,Enscape,Figma,Media Encoder,Candy,Snaptrude,AI</t>
  </si>
  <si>
    <t>Econiwaran (Way to Sustainable Development) | Junior Architect | Chhatrapati Sambhajinagar (Aurangabad) | Jun 2023 | Jun 2025 | 2Y 0M | 0.9</t>
  </si>
  <si>
    <t>SPACE CDA | Junior Architect | Nashik | Jul 2022 | Dec 2022 | 23.714285714286 Weeks</t>
  </si>
  <si>
    <t>UI UX Design
Professional Course in Stereoscopic Film Making</t>
  </si>
  <si>
    <t>P25701089</t>
  </si>
  <si>
    <t>Darshan Sanjay Kamble</t>
  </si>
  <si>
    <t>darshankamble6838@gmail.com</t>
  </si>
  <si>
    <t>p25701089@student.nicmar.ac.in</t>
  </si>
  <si>
    <t>06-Aug-2003</t>
  </si>
  <si>
    <t>English , Hindi, Marathi</t>
  </si>
  <si>
    <t>6758 3447 6554</t>
  </si>
  <si>
    <t>SANJAY SHIVRAM KAMBLE</t>
  </si>
  <si>
    <t>SUJATA SANJAY KAMBLE</t>
  </si>
  <si>
    <t>C-17,Darshan Nagari,Keshavnagar,Chinchwad,Pune-33</t>
  </si>
  <si>
    <t>BLOSSOM PUBLIC SCHOOL,TATHAWADE</t>
  </si>
  <si>
    <t>JSPM RAJARSHI SHAHU COLLEGE OF ENGINEERING , TATHAWADE</t>
  </si>
  <si>
    <t>RAJ PATH INFRACON PVT.LTD | Junior Engineer  | Amar Business Zone Baner Pune411045 | Sep 2024 | May 2025 | 38.714285714286 Weeks</t>
  </si>
  <si>
    <t>P25701090</t>
  </si>
  <si>
    <t>AJU</t>
  </si>
  <si>
    <t>Aju M John</t>
  </si>
  <si>
    <t>ajumjohn1998@gmail.com</t>
  </si>
  <si>
    <t>p25701090@student.nicmar.ac.in</t>
  </si>
  <si>
    <t>21-Mar-1998</t>
  </si>
  <si>
    <t>5238 7915 5559</t>
  </si>
  <si>
    <t>JOHN M VARGHESE</t>
  </si>
  <si>
    <t>ALEYAMMA JOHN</t>
  </si>
  <si>
    <t>MADACKAL HOUSE,PRASHANT NAGAR ,KAVIYOOR P.O, TIRUVALLA</t>
  </si>
  <si>
    <t>IMMANUEL MAR THOMA CENTRAL SCHOOL, THIRUVALLA</t>
  </si>
  <si>
    <t>CENTRAL BOARD OF SECONDARY EDUCATION,  KERALA</t>
  </si>
  <si>
    <t>SACRED HEART HIGHER SECONDARY SCHOOL, CHANGANASSERY</t>
  </si>
  <si>
    <t>KERALA BOARD OF HIGHER SECONDARY EDUCATION, KERALA</t>
  </si>
  <si>
    <t>VINAYAKA MISSION'S RESEARCH FOUNDATION</t>
  </si>
  <si>
    <t>AARUPADAI VEEDU INSTITUTE OF TECHNOLOGY, KANCHEEPURAM /TAMIL NADU</t>
  </si>
  <si>
    <t>AutoCAD,MS Office,MS Project,REVIT ARCHITECTURE</t>
  </si>
  <si>
    <t>NOEL HOMES | JUNIOR  PROJECT ENGINEER | ERNAKULAM, KERALA | Apr 2023 | Jun 2025 | 2Y 2M | 2.4</t>
  </si>
  <si>
    <t>GNY GROUP | Site Engineer | Chhatrapati Sambhajinagar | May 2026 | Jul 2026 | 8.7142857142857 Weeks | Campus Internship
SOLID CAD | CAD ENGINEER | CHANGANASSERY | Jul 2022 | Dec 2022 | 24.428571428571 Weeks</t>
  </si>
  <si>
    <t>Quantity Surveying
Maintenance and Repair of concrete structures (NPTEL)</t>
  </si>
  <si>
    <t>P25701091</t>
  </si>
  <si>
    <t>SAMAPIKA</t>
  </si>
  <si>
    <t>BISWAL</t>
  </si>
  <si>
    <t>Swati Samapika Biswal</t>
  </si>
  <si>
    <t>arswatisamapikabiswal@gmail.com</t>
  </si>
  <si>
    <t>p25701091@student.nicmar.ac.in</t>
  </si>
  <si>
    <t>24-Mar-2000</t>
  </si>
  <si>
    <t>5520 9205 5802</t>
  </si>
  <si>
    <t>GOUTAM BISWAL</t>
  </si>
  <si>
    <t>BAMS</t>
  </si>
  <si>
    <t>HARABATI BISWAL</t>
  </si>
  <si>
    <t>Panesara_x000D_
At/po Loisingha</t>
  </si>
  <si>
    <t>Balangir</t>
  </si>
  <si>
    <t>SARASWATI VIDYAMANDIR, MANGAL BAZAR, JHARSUGUDA</t>
  </si>
  <si>
    <t>NEWTON COLLEGE OF +2 SCIENCE, SAMBALPUR</t>
  </si>
  <si>
    <t>AutoCAD,MS Office,MS Project,Primavera,LUMION,SKETCHUP,PHOTOSHOP,VRAY,Candy,@risk</t>
  </si>
  <si>
    <t>BRICK VILLE ARCHITECTS | ARCHITECT | SUNDARGARH, ODISHA | Jun 2023 | Jun 2025 | 2Y 0M | 2.4</t>
  </si>
  <si>
    <t>Architect Rishikesh. H. | Project management Intern  | Mumbai  | May 2026 | Jul 2026 | 9.5714285714286 Weeks | Campus Internship
A + B , INCORPORATION | INTERN | BHUBANESWAR | Aug 2022 | Dec 2022 | 17.571428571429 Weeks</t>
  </si>
  <si>
    <t>P25701092</t>
  </si>
  <si>
    <t>SAVITRI</t>
  </si>
  <si>
    <t>Savitri Singh</t>
  </si>
  <si>
    <t>singhsavitri614@gmail.com</t>
  </si>
  <si>
    <t>p25701092@student.nicmar.ac.in</t>
  </si>
  <si>
    <t>26-Sep-1997</t>
  </si>
  <si>
    <t>7537 5351 9941</t>
  </si>
  <si>
    <t>PINKI</t>
  </si>
  <si>
    <t>E-102, D/D Nagar</t>
  </si>
  <si>
    <t>CENTRAL ACADEMY SCHOOL</t>
  </si>
  <si>
    <t>GURU GOBIND SINGH INDRAPRASTHA UNIVERSITY, NEW DELHI</t>
  </si>
  <si>
    <t>MAHAVIR SWAMI INSTITUTE OF TECHNOLOGY/ SONIPAT/HARYANA</t>
  </si>
  <si>
    <t>AutoCAD,MS Office,MS Project,Primavera,Canva,WORDPRESS,SPSS</t>
  </si>
  <si>
    <t>Driffle | Marketing-Executive | Gurugram | Apr 2021 | Nov 2023 | 2Y 7M | 3.21
91 Squarefeet | Marketing  Executive | Gurugram | Dec 2023 | Oct 2024 | 0Y 10M | 3.6</t>
  </si>
  <si>
    <t>P25701093</t>
  </si>
  <si>
    <t>AQULINE</t>
  </si>
  <si>
    <t>Aquline C R</t>
  </si>
  <si>
    <t>aqulinesalim4111@gmail.com</t>
  </si>
  <si>
    <t>p25701093@student.nicmar.ac.in</t>
  </si>
  <si>
    <t>15-Sep-2000</t>
  </si>
  <si>
    <t>English,Hindi,Malayalam,Tamil</t>
  </si>
  <si>
    <t>9544 7711 0906</t>
  </si>
  <si>
    <t>SALIM C N</t>
  </si>
  <si>
    <t>REHANA SALIM</t>
  </si>
  <si>
    <t>Changethu,Elippakulam P.O Vallikunnam,Mavelikkara,Alappuzha</t>
  </si>
  <si>
    <t>BISHOP MOORE VIDYAPITH</t>
  </si>
  <si>
    <t>ANGELS ARC ENGLISH MEDIUM SCHOOL</t>
  </si>
  <si>
    <t>TKM SCHOOL OF ARCHITECTURE,KOLLAM</t>
  </si>
  <si>
    <t>AutoCAD,MS Office,MS Project,Revit,Sketchup,Enscape,Lumion,Adobe Illustrator,Adobe Photoshop,Adobe InDesign,Navisworks,BIM 360,3dsmax,Adobe Premiere Pro,Canva</t>
  </si>
  <si>
    <t>CNS Builders and Developers | Project Architect | Kayamkulam,Kerala | Jan 2024 | Jun 2025 | 1Y 5M | 0.23</t>
  </si>
  <si>
    <t>PIDILITE INDUSTRIES LTD. | BUSINESS DEVELOPMENT INTERN | Bengaluru | May 2026 | Jun 2026 | 7.5714285714286 Weeks | Campus Internship
VEDIKA | ARCHITECTURAL TRAINEE | CHENNAI,INDIA | Sep 2023 | Jan 2024 | 16.142857142857 Weeks</t>
  </si>
  <si>
    <t>BIM Certification in Architecture
Certificate of Registration as an Architect</t>
  </si>
  <si>
    <t>P25701094</t>
  </si>
  <si>
    <t>KAWARE</t>
  </si>
  <si>
    <t>Yash Anant Kaware</t>
  </si>
  <si>
    <t>yashkaware13@gmail.com</t>
  </si>
  <si>
    <t>p25701094@student.nicmar.ac.in</t>
  </si>
  <si>
    <t>6679 7639 7770</t>
  </si>
  <si>
    <t>GOVT SERVICES</t>
  </si>
  <si>
    <t>Hari Colony Kthora Naka Amt</t>
  </si>
  <si>
    <t>GOLDEN KIDS MARATHI HIGH SCHOOL</t>
  </si>
  <si>
    <t>VIDHYA BHARTI MAHAVIDHALAYA</t>
  </si>
  <si>
    <t>SANT GADGE BABA UNIVERSITY AMRAVATI</t>
  </si>
  <si>
    <t>AMRAVATI</t>
  </si>
  <si>
    <t>AutoCAD,MS Office,MS Project,Primavera,3 d max</t>
  </si>
  <si>
    <t xml:space="preserve"> J. Kumar Infra Projects Ltd. | Project Management Intern | Thane Maharashtra | May 2026 | Jul 2026 | 9.7142857142857 Weeks | Campus Internship
BALAJI STRUCTURAL CONSULTANCY | INTERN | AMRAVATI | Jan 2020 | Mar 2020 | 6.8571428571429 Weeks
BALAJI STRUCTURAL CONSULTANCY | INTERN | Amravati  | Aug 2021 | Sep 2021 | 4.4285714285714 Weeks</t>
  </si>
  <si>
    <t>Autocad 2019
STAAD. Pro V8i</t>
  </si>
  <si>
    <t>P25701095</t>
  </si>
  <si>
    <t>VIDHU</t>
  </si>
  <si>
    <t>Vidhu Krishna</t>
  </si>
  <si>
    <t>vidhuk342@gmail.com</t>
  </si>
  <si>
    <t>p25701095@student.nicmar.ac.in</t>
  </si>
  <si>
    <t>8460 9580 4401</t>
  </si>
  <si>
    <t>BABU K</t>
  </si>
  <si>
    <t>MANAGER AT PRIVATE CONSTRUCTION COMPANY</t>
  </si>
  <si>
    <t>JAYA C</t>
  </si>
  <si>
    <t>Yadukulam,Adukkath Paramba,Madikai(po),Kasaragod</t>
  </si>
  <si>
    <t>GHSS UPPILIKAI</t>
  </si>
  <si>
    <t>A.P.J. ABDUL KALAM TECHNOLOGICAL UNIVERSITY</t>
  </si>
  <si>
    <t>VIMAL JYOTHI ENGINEERING COLLEGE, CHEMPERI</t>
  </si>
  <si>
    <t>VSL INDIA PRIVATE LIMITED | Site Execution | Chennai | May 2026 | Jul 2026 | 8.7142857142857 Weeks | Campus Internship
MARY MATHA CONSTRUCTIONS | SITE ENGINEER | KALIKKADAVU,KASARAGOD | Jul 2024 | May 2025 | 47.428571428571 Weeks</t>
  </si>
  <si>
    <t>BIM Certification in Architecture</t>
  </si>
  <si>
    <t>P25701097</t>
  </si>
  <si>
    <t>DIYA</t>
  </si>
  <si>
    <t>KANKAREJ</t>
  </si>
  <si>
    <t>Diya Rajendra Kankarej</t>
  </si>
  <si>
    <t>diyakankarej2003@gmail.com</t>
  </si>
  <si>
    <t>p25701097@student.nicmar.ac.in</t>
  </si>
  <si>
    <t>10-Oct-2003</t>
  </si>
  <si>
    <t>9147 0025 2689</t>
  </si>
  <si>
    <t>RAJENDRA RAMCHANDRA KANKAREJ</t>
  </si>
  <si>
    <t>SEEMA RAJENDRA KANKAREJ</t>
  </si>
  <si>
    <t>67, Ashirwad Konark Nagar -1 , Panchavati Nashik , Maharashtra</t>
  </si>
  <si>
    <t>K.N. KELA HIGH SCHOOL NASHIK MAHARASHTRA</t>
  </si>
  <si>
    <t>MET BHUJBAL KNOWLEDGE CITY NASHIK MAHARASHTRA</t>
  </si>
  <si>
    <t>PIMPRI CHINCHWAD COLLEGE OF ENGINEERING AND RESEARCH CENTRE RAVET PUNE MAHARASHTRA</t>
  </si>
  <si>
    <t>AutoCAD,MS Office,MS Project,Primavera,SPSS,Planning &amp; Scheduling: Primavera P6,MS Project 	â€¢	Design &amp; Drafting: AutoCAD,STAAD.Pro,Fusion 360 	â€¢	Construction ERP: HIT-Office 	â€¢	Data &amp; Reporting: MS Excel,MS Office,SPSS 	â€¢	Core Knowledge: Estimatio</t>
  </si>
  <si>
    <t>KNOW - HOW PRACTICAL EXPOSURE | TRAINEE  | AKURDI , PUNE  | Dec 2023 | Jan 2024 | 3.7142857142857 Weeks</t>
  </si>
  <si>
    <t>P25701098</t>
  </si>
  <si>
    <t>RIDDHI</t>
  </si>
  <si>
    <t>EKAL</t>
  </si>
  <si>
    <t>Riddhi Rajendra Ekal</t>
  </si>
  <si>
    <t>riddhiekal@gmail.com</t>
  </si>
  <si>
    <t>p25701098@student.nicmar.ac.in</t>
  </si>
  <si>
    <t>24-Mar-1998</t>
  </si>
  <si>
    <t>2869 1093 9579</t>
  </si>
  <si>
    <t>SHANTI</t>
  </si>
  <si>
    <t>401 B Wing Sai Prasad Bldg, Near Sagar Sangam Hotel, Mira Bhy Road East.</t>
  </si>
  <si>
    <t>SARDAR VALLABHBHAI PATEL VIDYALAYA</t>
  </si>
  <si>
    <t>ROYAL COLLEGE OF SCIENCE</t>
  </si>
  <si>
    <t>ADITYA COLLEGE OF ARCHITECTURE</t>
  </si>
  <si>
    <t>IBA ARCHITECTS | JUNIOR ARCHITECT | MUMBAI | Oct 2021 | Oct 2022 | 1Y 0M | 1.8
GK Buildcon (SKG Developers) | Junior Project Architect | Mumbai | Feb 2023 | May 2024 | 1Y 3M | 2.76
JP INFRA PVT LTD | Junior Project Architect | Mumbai | Jun 2024 | Jun 2025 | 1Y 0M | 4.8</t>
  </si>
  <si>
    <t>CUSHMAN &amp; WAKEFIELD |  Project Management Intern | Mumbai | May 2026 | Jul 2026 | 8.5714285714286 Weeks | Campus Internship
SUDIN PATIL ARCHITECTS | ARCHITECT | THANE | Nov 2019 | Mar 2020 | 18.714285714286 Weeks</t>
  </si>
  <si>
    <t>IIT Kharaghpur ECell 2k18-19
Kathkuni Architecture by Kaarwan
Earth Construction Training Program Certificate
Course on Autocad For Architects &amp; Civil Engineers
Agile with Atlassian Jira
Introduction to Corporate Finance, University of Pennsylvania
Six Sigma and the Organization Advanced,Kennesaw State University</t>
  </si>
  <si>
    <t>P25701099</t>
  </si>
  <si>
    <t>Sanket Nagesh Vaidya</t>
  </si>
  <si>
    <t>vaidyasanket005@gmail.com</t>
  </si>
  <si>
    <t>p25701099@student.nicmar.ac.in</t>
  </si>
  <si>
    <t>4037 4029 8460</t>
  </si>
  <si>
    <t>NAGESH VAIDYA</t>
  </si>
  <si>
    <t>SARIKA VAIDYA</t>
  </si>
  <si>
    <t>A-19, RAJYOG COLONY ROAD_x000D_
OPPOSITE RADHE GOVIND APARTMENT NIGDI</t>
  </si>
  <si>
    <t>Rajsarthi Nagar ,svm Colony_x000D_
Tulujai Niwas</t>
  </si>
  <si>
    <t>SVM HIGH SCHOOL KINWAT</t>
  </si>
  <si>
    <t>DEOGIRI COLLEGE OF ENGINEERING</t>
  </si>
  <si>
    <t>DR.D.Y.PATIL COLLEGE OF ENGINEERING AKURDI , PUNE</t>
  </si>
  <si>
    <t>AutoCAD,MS Office,MS Project,Catia,UG NX,Soildworks</t>
  </si>
  <si>
    <t>Moldetk Ltd. | Design Engineer | Pune | Apr 2023 | Apr 2025 | 2Y 0M | 25</t>
  </si>
  <si>
    <t>Introduction to Mechanical Engineering Design and Manufacturing with Fusion 360
Project Management: The Basics for Success
Initiating and Planning Projects
Introduction to Corporate Finance</t>
  </si>
  <si>
    <t>P25701100</t>
  </si>
  <si>
    <t>MAHARAJ</t>
  </si>
  <si>
    <t>Aakanksha Maharaj</t>
  </si>
  <si>
    <t>aakanksha.khushi@yahoo.in</t>
  </si>
  <si>
    <t>p25701100@student.nicmar.ac.in</t>
  </si>
  <si>
    <t>04-Jan-2001</t>
  </si>
  <si>
    <t>Painting,Playing Badminton,Listening to music,Dancing,Baking</t>
  </si>
  <si>
    <t>9095 3456 4035</t>
  </si>
  <si>
    <t>SANJAY KUMAR MAHARAJ</t>
  </si>
  <si>
    <t>MAMTA MAHARAJ</t>
  </si>
  <si>
    <t>C 403, Ispatika Apartments, Plot Number 29, Sector 4, Dwarka 110078</t>
  </si>
  <si>
    <t>DWARKA INTERNATIONAL SCHOOL</t>
  </si>
  <si>
    <t>AMITY SCHOOL OF ENGINEERING AND TECHNOLOGY, NOIDA, UTTAR PRADESH</t>
  </si>
  <si>
    <t>AutoCAD,MS Office,Familiar with BIM interface.,Familiar with Rivet interface</t>
  </si>
  <si>
    <t>Adaniconnex | Assistant Manager | Noida | Aug 2022 | Jul 2025 | 2Y 11M | 10.09</t>
  </si>
  <si>
    <t>L&amp;T | INTERN | MANESAR | May 2021 | Jun 2021 | 5.8571428571429 Weeks</t>
  </si>
  <si>
    <t>P25701101</t>
  </si>
  <si>
    <t>CHAUGULE</t>
  </si>
  <si>
    <t>Atharva Mahendra Chaugule</t>
  </si>
  <si>
    <t>atharvachaugule2501@gmail.com</t>
  </si>
  <si>
    <t>p25701101@student.nicmar.ac.in</t>
  </si>
  <si>
    <t>25-Mar-2001</t>
  </si>
  <si>
    <t>3796 2763 6900</t>
  </si>
  <si>
    <t>MAHENDRA MAHADEO CHAUGULE</t>
  </si>
  <si>
    <t>SHILPA MAHENDRA CHAUGULE</t>
  </si>
  <si>
    <t>19/a/a, Aruna Arthi CHS, Opp. Old Post Office , Near Shankar Mandir , Kalwa West , Thane - 400605</t>
  </si>
  <si>
    <t>NEW ENGLISH SCHOOL KALWA</t>
  </si>
  <si>
    <t>AGNEL POLYTECHNIC, VASHI</t>
  </si>
  <si>
    <t>ALAMURI RATNAMALA INSTITUTE OF ENGINEERING AND TECHNOLOGY , SHAHPUR</t>
  </si>
  <si>
    <t>Purva Contractor and Developers | Site Engineer | Kalwa | Feb 2023 | Jun 2025 | 2Y 4M | 4.2</t>
  </si>
  <si>
    <t>PURVA CONTRACTOR AND DEVELOPERS | INTERN ENGINEER  | NAVI MUMBAI | May 2019 | Jun 2019 | 5.8571428571429 Weeks</t>
  </si>
  <si>
    <t>Revit
AutoCAD</t>
  </si>
  <si>
    <t>P25701102</t>
  </si>
  <si>
    <t>GUJARATHI</t>
  </si>
  <si>
    <t>Himanshu Jitendra Gujarathi</t>
  </si>
  <si>
    <t>himanshugujarathi99@gmail.com</t>
  </si>
  <si>
    <t>p25701102@student.nicmar.ac.in</t>
  </si>
  <si>
    <t>08-Aug-2000</t>
  </si>
  <si>
    <t>English ,Hindi,Marathi,Gujarathi</t>
  </si>
  <si>
    <t>Reading Books,Vollyball</t>
  </si>
  <si>
    <t>7052 1180 4573</t>
  </si>
  <si>
    <t>JITENDRA VILAS GUJARATHI</t>
  </si>
  <si>
    <t>SARIKA JITENDRA GUJARATHI</t>
  </si>
  <si>
    <t>Sai Samrajya Residency Bungalow No 2 Om Sai, Ahilyadevi Chawk Khandoba Mal,Rajgurunagar,Khed Dist.Pune Maharashtra 410505</t>
  </si>
  <si>
    <t>KTES ENGLISH MEDIUM SCHOOL ,KHED</t>
  </si>
  <si>
    <t>MAHATMA GANDHI MAHAVIDYALAYA,KHED PUNE</t>
  </si>
  <si>
    <t>D.Y. PATIL SCHOOL OF ARCHITECTURE ,AMBI PUNE, MAHARASHTRA</t>
  </si>
  <si>
    <t>AutoCAD,MS Office,MS Project,Sketchup,photoshop,lumion,Nscape,Powerpoint,EXCEL,ZWCAD,word</t>
  </si>
  <si>
    <t>PRASHANT DESHMUKH AND ASSOCIATES | JR.ARCHITECT | KATRAJ PUNE | Jun 2023 | Mar 2025 | 1Y 8M | 3.36
GLOBAL GROUP | JR.ARCHITECT | YERWADA ,PUNE | Mar 2025 | Jul 2025 | 0Y 3M | 4.75</t>
  </si>
  <si>
    <t>PRASHANT DESHMUKH AND ASSOCIATES | TRAINEE ARCHITECT | KATRAJ ,PUNE | Jun 2022 | Oct 2022 | 21 Weeks</t>
  </si>
  <si>
    <t>P25701106</t>
  </si>
  <si>
    <t>S DEVI</t>
  </si>
  <si>
    <t>S Devi Nanda</t>
  </si>
  <si>
    <t>devinandasmitha@gmail.com</t>
  </si>
  <si>
    <t>p25701106@student.nicmar.ac.in</t>
  </si>
  <si>
    <t>Engish,Malayalam and Hindi</t>
  </si>
  <si>
    <t>7323 9093 3770</t>
  </si>
  <si>
    <t>S HARIKRISHNAN</t>
  </si>
  <si>
    <t>SENIOR SUPERINTENDENT, FOOD SAFETY, GOVT OF KERALA</t>
  </si>
  <si>
    <t>S SMITHA</t>
  </si>
  <si>
    <t>POST MASTER</t>
  </si>
  <si>
    <t>HARINANDANAM ANCHALUMMOODU PERINAD PO KOLLAM</t>
  </si>
  <si>
    <t>LAKE FORD SCHOOL KAVANAD KOLLAM KERALA</t>
  </si>
  <si>
    <t>SREE NARAYANA PUBLIC SCHOOL VADAKKEVILA PO KOLLAM KL</t>
  </si>
  <si>
    <t>GOVT. ENGINEERING COLEGE, BARTON HILL</t>
  </si>
  <si>
    <t>KRDCL | INTERN | THIRUVANANTHAPURAM | May 2025 | Jun 2025 | 5.5714285714286 Weeks</t>
  </si>
  <si>
    <t>P25701107</t>
  </si>
  <si>
    <t>GEETHIKA</t>
  </si>
  <si>
    <t>Geethika S S</t>
  </si>
  <si>
    <t>geethikamadothil@gmail.com</t>
  </si>
  <si>
    <t>p25701107@student.nicmar.ac.in</t>
  </si>
  <si>
    <t>29-Sep-2003</t>
  </si>
  <si>
    <t>4548 8938 9312</t>
  </si>
  <si>
    <t>SHAJU S</t>
  </si>
  <si>
    <t>SUB ENGINEER, KERALA STATE ELECTRICITY BOARD</t>
  </si>
  <si>
    <t>SINDHU V R</t>
  </si>
  <si>
    <t>BANK EMPLOYEE, KERALA STATE COOPERATIVE BANK</t>
  </si>
  <si>
    <t>Mampazhakonathu Madothil, Kachani, Karakulam,Thiruvananthapuram</t>
  </si>
  <si>
    <t>SARASWATHI VIDYALAYA</t>
  </si>
  <si>
    <t>GOVERNMENT ENGINEERING COLLEGE, BARTON HILL, THIRUVANATHAPURAM, KERALA</t>
  </si>
  <si>
    <t>AutoCAD,MS Office,MS Project,Primavera,MS Excel, Power point, MS Word</t>
  </si>
  <si>
    <t>Bangalore Metro Rail Corporation Limited (BMRCL) | Site Execution | Bangalore, Karnataka | May 2026 | Jul 2026 | 8.7142857142857 Weeks | Campus Internship
KERALA RAIL DEVELOPMENT COOPERATION | INTERN | THIRUVANANTHAPURAM, KERALA | May 2025 | Jun 2025 | 5.5714285714286 Weeks
Kerala Water Authority | Intern | Thiruvananthapuram, Kerala | May 2023 | May 2023 | 0.85714285714286 Weeks</t>
  </si>
  <si>
    <t>P25701108</t>
  </si>
  <si>
    <t>SANVITTI</t>
  </si>
  <si>
    <t>Sanvitti Shetty</t>
  </si>
  <si>
    <t>sanvittishetty@gmail.com</t>
  </si>
  <si>
    <t>p25701108@student.nicmar.ac.in</t>
  </si>
  <si>
    <t>18-Mar-2001</t>
  </si>
  <si>
    <t>ENGLISH, HINDI, TULU</t>
  </si>
  <si>
    <t>5623 7772 2993</t>
  </si>
  <si>
    <t>SATHEESH KUMAR SHETTY</t>
  </si>
  <si>
    <t>SHAYARI S SHETTY</t>
  </si>
  <si>
    <t>C3101,Indis One City_x000D_
Kukatpally, Hyderabad, Telangana</t>
  </si>
  <si>
    <t>DELHI PUBLIC SCHOOL NACHARAM</t>
  </si>
  <si>
    <t>AutoCAD,MS Office,EDGE App</t>
  </si>
  <si>
    <t>NAVEEN ASSOCIATES, LANDSCAPE ARCHITECTS | INTERN ARCHITECT  | HYDERABAD  | Aug 2024 | May 2025 | 43.285714285714 Weeks
Urban Arts: Architects and Interior Designers | Architectural Intern  | Hyderabad  | May 2023 | Nov 2023 | 26.714285714286 Weeks
India Lost and Found | Cultural Researcher  | Remote  | Apr 2021 | Sep 2021 | 24.142857142857 Weeks</t>
  </si>
  <si>
    <t>Architecture Journalism Course
Editorial Writer</t>
  </si>
  <si>
    <t>P25701109</t>
  </si>
  <si>
    <t>DHAYGUDE</t>
  </si>
  <si>
    <t>Siddhi Sunil Dhaygude</t>
  </si>
  <si>
    <t>dhaygudesiddhi14@gmail.com</t>
  </si>
  <si>
    <t>p25701109@student.nicmar.ac.in</t>
  </si>
  <si>
    <t>5748 7125 0475</t>
  </si>
  <si>
    <t>NUTAN</t>
  </si>
  <si>
    <t>Plot No. 26 City Point Society Magarpatta Hadapsar Pune 411028</t>
  </si>
  <si>
    <t>SSC   MAHARASHTRA</t>
  </si>
  <si>
    <t>PUNE UNIVERSITY</t>
  </si>
  <si>
    <t>VISHWAKARMA INSTITUTE OF INFORMATION TECHNOLOGY PUNE</t>
  </si>
  <si>
    <t>AutoCAD,MS Office,MS Project,Primavera,MS Excel,Candy</t>
  </si>
  <si>
    <t>Progenius Pavements | research intern | Sinhagad  | Jan 2023 | Apr 2024 | 65 Weeks
ZENITH CONSULTANT | SITE INTERN  | BANER | Aug 2024 | Dec 2024 | 20.571428571429 Weeks</t>
  </si>
  <si>
    <t>P25701110</t>
  </si>
  <si>
    <t>ISHWARSING</t>
  </si>
  <si>
    <t>Gayatri Ishwarsing Rathod</t>
  </si>
  <si>
    <t>gayatri.rathod1283@gmail.com</t>
  </si>
  <si>
    <t>p25701110@student.nicmar.ac.in</t>
  </si>
  <si>
    <t>9308 4455 9534</t>
  </si>
  <si>
    <t>ISHWARSING DAMODAR RATHOD</t>
  </si>
  <si>
    <t>DIPIKA ISHWARSING RATHOD</t>
  </si>
  <si>
    <t>Plot No.709 Shobha Sadan Mahda Colony Pen, Near Red Wood City Plaza, Pen Raigad</t>
  </si>
  <si>
    <t>PEN SHIKSHAN MAHILA SAMITI ENGLISH MEDIUM SCHOOL</t>
  </si>
  <si>
    <t>KHIMJI PALAN CHHEDA JUNIOR COLLEGE OF COMMERCE AND SCIENCE</t>
  </si>
  <si>
    <t>SADAR PATEL COLLEGE OF ENGINEERING, MUMBAI</t>
  </si>
  <si>
    <t>AutoCAD,MS Project,MS Excel,Report Writing</t>
  </si>
  <si>
    <t>JSW STEEL | CIVIL ENGINEERING INTERN | DOLVI VILLAGE, PEN TALUK, RAIGAD DISTRICT, MAHARASHTRA  402107 | Jan 2024 | Jan 2024 | 2.5714285714286 Weeks
TUV SUD SOUTH ASIA PRIVATE LIMITED | CIVIL ENGINEERING INTERN | THANE | Aug 2023 | Aug 2023 | 2.1428571428571 Weeks</t>
  </si>
  <si>
    <t>P25701111</t>
  </si>
  <si>
    <t>ANAGHA</t>
  </si>
  <si>
    <t>Anagha Deepak Patil</t>
  </si>
  <si>
    <t>anaghadeepakpatil@gmail.com</t>
  </si>
  <si>
    <t>p25701111@student.nicmar.ac.in</t>
  </si>
  <si>
    <t>4021 2300 2211</t>
  </si>
  <si>
    <t>DEEPAK PATIL</t>
  </si>
  <si>
    <t>SHUBHANGI PATIL</t>
  </si>
  <si>
    <t>703, B Wing, Jeevanshila CHS, Bandra East, Mumbai - 400051</t>
  </si>
  <si>
    <t>IES MANIK VIDYAMANDIR</t>
  </si>
  <si>
    <t>INDIAN EDUCATION SOCIETY'S JUNIOR COLLEGE</t>
  </si>
  <si>
    <t>NARSEE MONJEE INSTITUTE OF MANAGEMENT STUDIES UNIVERSITY</t>
  </si>
  <si>
    <t>BALWANT SHETH SCHOOL OF ARCHITECTURE, MUMBAI</t>
  </si>
  <si>
    <t>AutoCAD,MS Office,Rhino,Sketchup,Photoshop,Illustrator</t>
  </si>
  <si>
    <t>Shilp Associates Pvt. Ltd. | Junior Architect | Mumbai | Jun 2024 | Dec 2024 | 0Y 6M | 3.6
Somani Developers | Junior Architect | Pune/ Mumbai | Jan 2025 | Jun 2025 | 0Y 5M | 4.8</t>
  </si>
  <si>
    <t>Shilp Associates Pvt. Ltd. | Architectural Intern | Mumbai | Mar 2024 | May 2024 | 11.571428571429 Weeks</t>
  </si>
  <si>
    <t>P25701112</t>
  </si>
  <si>
    <t>Sakshi Rakesh Shah</t>
  </si>
  <si>
    <t>shahsakshi220@gmail.com</t>
  </si>
  <si>
    <t>p25701112@student.nicmar.ac.in</t>
  </si>
  <si>
    <t>Photography and video editing,Volunteering and mentoring,Reading books</t>
  </si>
  <si>
    <t>6531 7393 0779</t>
  </si>
  <si>
    <t>YAMINI</t>
  </si>
  <si>
    <t>BUSINESSWOMAN</t>
  </si>
  <si>
    <t>803, Raj Vaibhav Tower, K.T. Soni Marg, Mahavir Nagar, Kandivali-w, Mumbai-67.</t>
  </si>
  <si>
    <t>SWAMI VIVEKANAND INTERNATIONAL SCHOOL</t>
  </si>
  <si>
    <t>SHRI. T. P. BHATIA COLLEGE OF SCIENCE</t>
  </si>
  <si>
    <t>DR. BALIRAM HIRAY COLLEGE OF ARCHITECTURE, MUMBAI</t>
  </si>
  <si>
    <t xml:space="preserve">Autodesk AutoCAD | Power BI | ERP | MS Office | MS Project | Primavera | Autodesk Revit | Sketchup | Enscape | Rhinoceros 3D | Adobe Photoshop | Tally ERP 9 </t>
  </si>
  <si>
    <t>A.S.Designs | Associate Architect | Andheri | Jun 2023 | Jun 2025 | 2Y 0M | 2.52</t>
  </si>
  <si>
    <t>S.P. SHEVADE &amp; ASSOCIATES | Architectural Intern | MUMBAI-VILE PARLE | Dec 2021 | May 2022 | 24.142857142857 Weeks
Estilo Designs | Interior Design Intern | Bangalore | Jul 2021 | Aug 2021 | 4.4285714285714 Weeks
TEJAS GURAV ARCHITECTS | Architectural Intern | KOLHAPUR  | Jun 2021 | Sep 2021 | 13.857142857143 Weeks</t>
  </si>
  <si>
    <t>Indian Green Building Council Certification</t>
  </si>
  <si>
    <t>P25701113</t>
  </si>
  <si>
    <t>BABASAHEB</t>
  </si>
  <si>
    <t>MURTADAK</t>
  </si>
  <si>
    <t>Pranjal Babasaheb Murtadak</t>
  </si>
  <si>
    <t>pranjalmurtadak1221@gamil.com</t>
  </si>
  <si>
    <t>p25701113@student.nicmar.ac.in</t>
  </si>
  <si>
    <t>HINDI, ENGLISH AND MARATHI</t>
  </si>
  <si>
    <t>2856 2010 9715</t>
  </si>
  <si>
    <t>YOGIA</t>
  </si>
  <si>
    <t>Samarthroop Apt. Goldencity, Laxminagar, Sangamner-422605</t>
  </si>
  <si>
    <t>B. G. P. SAHYADRI VIDYALAYA, SANGAMNER</t>
  </si>
  <si>
    <t>MAHARASHTRA STATE BOARD, PUNE</t>
  </si>
  <si>
    <t>B. G. P. SAHYADRI JR. COLLEGE, SANGAMNER</t>
  </si>
  <si>
    <t>MAHARASHTRA STATE BORAD, PUNE</t>
  </si>
  <si>
    <t>AMRUTVAHINI COLLEGE OF ENGINEERING, SANGAMNER</t>
  </si>
  <si>
    <t>AutoCAD,MS Office,Primavera,PowerBI,SQL</t>
  </si>
  <si>
    <t>Plansquare Management Consultancy, Nashik | Planning Engineer | Nashik | Aug 2024 | May 2025 | 0Y 9M | 1.8</t>
  </si>
  <si>
    <t>CONVENIENT CONSTRUCTION CONSULTANCY Pvt.Ltd. (CCCPL) | Intern- Project Management/Construction Management | Indore | May 2026 | Jul 2026 | 9.7142857142857 Weeks | Campus Internship
SHREE CONSTRUCTION AND ASSOCIATES, SANGAMNER. | SITE ENGINEER | SANGAMNER | Jan 2023 | Feb 2023 | 4.5714285714286 Weeks</t>
  </si>
  <si>
    <t>Excel Using AI Workshop Certificate
PowerBI Workshop Certification
Primavera P6 Professional Certificate</t>
  </si>
  <si>
    <t>P25701114</t>
  </si>
  <si>
    <t>RAJARAM</t>
  </si>
  <si>
    <t>KHAIRNAR</t>
  </si>
  <si>
    <t>Rohan Rajaram Khairnar</t>
  </si>
  <si>
    <t>rohankhairnar9096@gmail.com</t>
  </si>
  <si>
    <t>p25701114@student.nicmar.ac.in</t>
  </si>
  <si>
    <t>17-Oct-2002</t>
  </si>
  <si>
    <t>6717 0859 7949</t>
  </si>
  <si>
    <t>RAJARAM KHAIRNAR</t>
  </si>
  <si>
    <t>PALLAVI KHAIRNAR</t>
  </si>
  <si>
    <t>50/2 Keshrinandan Housing Society, Bajrang Chowk, N-6 Cidco, Aurangabad</t>
  </si>
  <si>
    <t>S.B.O.A PUBLIC SCHOOL</t>
  </si>
  <si>
    <t>STATE BOARD-AURANGABAD,MAHARASHTRA</t>
  </si>
  <si>
    <t>ST.LAWRENCE SUPER THIRTY JR. COLLEGE</t>
  </si>
  <si>
    <t>MGM UNIVERSITY</t>
  </si>
  <si>
    <t>JAWAHARLAL NEHRU ENGINEERING COLLEGE, AURANGABAD, MAHARASHTRA</t>
  </si>
  <si>
    <t>AutoCAD,MS Office,Resource allocation &amp; planning,Construction materials testing,AutoCAD,MS Project,Reading &amp; interpreting construction drawings,PowerBI,Python,SQL</t>
  </si>
  <si>
    <t>Manik Infra Projects | Site Engineer | Ambad,Jalna Maharashtra | Jul 2024 | Jun 2025 | 0Y 11M | 1.8</t>
  </si>
  <si>
    <t>M/S.Godavari Construction  | Site Administration and Control - Intern | Chhatrapati Sambhajinagar(Aurangabad) | May 2026 | Jul 2026 | 7.7142857142857 Weeks | Campus Internship
Intellipaat Software Solutions Pvt.Ltd. | Data Scientist - Intern | Work From Home | Dec 2023 | May 2024 | 21.714285714286 Weeks</t>
  </si>
  <si>
    <t>Power BI Course
PGP in Data Science And Machine Learning
SQL Course</t>
  </si>
  <si>
    <t>P25701115</t>
  </si>
  <si>
    <t>Anjaly Manoj</t>
  </si>
  <si>
    <t>anjalymanoj.ker@gmail.com</t>
  </si>
  <si>
    <t>p25701115@student.nicmar.ac.in</t>
  </si>
  <si>
    <t>11-Jun-1998</t>
  </si>
  <si>
    <t>English, Hindi, Malayalam, Tamil, Marathi</t>
  </si>
  <si>
    <t>7914 4956 3042</t>
  </si>
  <si>
    <t>MANOJ K.P.</t>
  </si>
  <si>
    <t>SHEEJA P. GEORGE</t>
  </si>
  <si>
    <t>Niketha, TC 69/286, Kamaleswaram, Manacaud P. O.</t>
  </si>
  <si>
    <t>ST. THOMAS RESIDENTIAL SCHOOL, THIRUVANANTHAPURAM</t>
  </si>
  <si>
    <t>COLLEGE OF ENGINEERING TRIVANDRUM, THIRUVANANTHAPURAM, KERALA</t>
  </si>
  <si>
    <t>AutoCAD,MS Office,MS Project,Primavera,Revit,Navisworks,Adobe Photoshop,Power BI,Sketchup Pro,Lumion,Procreate,Autodesk Construction Cloud</t>
  </si>
  <si>
    <t>Inscript Interiors | Junior Architect | Thiruvananthapuram, Kerala | Aug 2021 | Jul 2022 | 0Y 11M | 1.2
Dar-al-Handassah | Interior Architect | Pune, Maharashtra | Nov 2022 | May 2025 | 2Y 5M | 8.41</t>
  </si>
  <si>
    <t>Vishwannath Associates | Student Trainee Architect | Bangalore, Karnataka | Jul 2019 | Dec 2019 | 23.714285714286 Weeks</t>
  </si>
  <si>
    <t>P25701116</t>
  </si>
  <si>
    <t>GOKAK</t>
  </si>
  <si>
    <t>DHANASHREE</t>
  </si>
  <si>
    <t>SHIVANAND</t>
  </si>
  <si>
    <t>Gokak Dhanashree Shivanand</t>
  </si>
  <si>
    <t>dhanashreegokak74665@gmail.com</t>
  </si>
  <si>
    <t>p25701116@student.nicmar.ac.in</t>
  </si>
  <si>
    <t>Marathi, English, Hindi ,Kannad</t>
  </si>
  <si>
    <t>3851 4715 2706</t>
  </si>
  <si>
    <t>SHIVANAND SONBA GOKAK</t>
  </si>
  <si>
    <t>DAKSHAYANI SHIVANAND GOKAK</t>
  </si>
  <si>
    <t>Fl.no.58,Anand Park Soc, Ekta Nagari, Anand Nagar, Sinhagad Road</t>
  </si>
  <si>
    <t>DNYANGANGA ENGLISH MEDIUM SCHOOL</t>
  </si>
  <si>
    <t>PUNE CITY</t>
  </si>
  <si>
    <t>ABASAHEB GARWARE COLLEGE</t>
  </si>
  <si>
    <t>SMT. KASHIBAI NAVALE COLLEGE OF ARCHITECTURE</t>
  </si>
  <si>
    <t>AutoCAD,MS Office,MS Project,Sketchup,lumion,enscape,D5,twin motion</t>
  </si>
  <si>
    <t>Samakalin Design and Infrastructure pvt Ltd | Architectural Intern | Pune  | Jun 2024 | Oct 2024 | 19.428571428571 Weeks</t>
  </si>
  <si>
    <t>P25701117</t>
  </si>
  <si>
    <t>DATTATRAY</t>
  </si>
  <si>
    <t>DAREKAR</t>
  </si>
  <si>
    <t>Sahil Dattatray Darekar</t>
  </si>
  <si>
    <t>sahildarekar7@gmail.com</t>
  </si>
  <si>
    <t>p25701117@student.nicmar.ac.in</t>
  </si>
  <si>
    <t>01-Feb-2002</t>
  </si>
  <si>
    <t>8201 6022 3345</t>
  </si>
  <si>
    <t>JAYASHRI</t>
  </si>
  <si>
    <t>SAMARTH PURAM SOCITY, NARHE_x000D_
NEAR SWAMINARAYAN TEMPLE</t>
  </si>
  <si>
    <t>Sakewadi, Kolgoan</t>
  </si>
  <si>
    <t>RESIDENTIAL HIGHSCHOOL , AHMEDNAGAR</t>
  </si>
  <si>
    <t>DR. N. J. PAULBUDHE INSTITUTE OF TECHNOLOGY , AHMEDNAGAR, MAHARASHTRA</t>
  </si>
  <si>
    <t>TSSM'S BHIVRABAI SAWANT COLLEGE OF ENGINEERING AND RESEARCH , PUNE</t>
  </si>
  <si>
    <t>AutoCAD,REVIT,CSI ETABS,TEKLA STRUCTURE</t>
  </si>
  <si>
    <t>P25701118</t>
  </si>
  <si>
    <t>SUDEEP</t>
  </si>
  <si>
    <t>Sudeep Roy</t>
  </si>
  <si>
    <t>roysudeep8@gmail.com</t>
  </si>
  <si>
    <t>p25701118@student.nicmar.ac.in</t>
  </si>
  <si>
    <t>ENGLISH, BENGALI &amp; HINDI</t>
  </si>
  <si>
    <t>7129 5962 1442</t>
  </si>
  <si>
    <t>SUBRATA KUMAR ROY</t>
  </si>
  <si>
    <t>EX BSF</t>
  </si>
  <si>
    <t>MALABIKA ROY</t>
  </si>
  <si>
    <t>Shyamnagar More, Shyamnagar, Tehatta, Nadia, West Bengal, 741155</t>
  </si>
  <si>
    <t>VIVEKANANDA ACADEMY</t>
  </si>
  <si>
    <t>JNV GOPALPUR BIRBHUM</t>
  </si>
  <si>
    <t>OM DAYAL GROUP OF INSTITUTIONS</t>
  </si>
  <si>
    <t>AutoCAD,MS Office,MS Project,Lumion,Photoshop,Revit,BIM,3d Modeling</t>
  </si>
  <si>
    <t>RADIANT | ARCHITECT | KOLKATA | Jul 2022 | Jul 2024 | 2Y 0M | 4.6
ARCH-HUE Consultants | PROJECT ARCHITECT | KOLKATA | Aug 2024 | Jun 2025 | 0Y 10M | 5.06</t>
  </si>
  <si>
    <t>Kayne Bio Sciences Ltd | Project Execution Intern | HYDERABAD | May 2026 | Jul 2026 | 8.7142857142857 Weeks | Campus Internship
RADIANT | INTERN ARCHITECT | KOLKATA | Jul 2021 | Jan 2022 | 26.285714285714 Weeks</t>
  </si>
  <si>
    <t>Empaneled Architect , New Town Kolkata Development Authority ( NKDA )
Registered Architect, COUNCIL OF ARCHITECTURE
Urban Service Planning , NPTEL ONLINE CERTIFICATION</t>
  </si>
  <si>
    <t>P25701119</t>
  </si>
  <si>
    <t>ABHIJAY</t>
  </si>
  <si>
    <t>GADEKAR</t>
  </si>
  <si>
    <t>Abhijay Ajay Gadekar</t>
  </si>
  <si>
    <t>abhijayagadekar1980@gmail.com</t>
  </si>
  <si>
    <t>p25701119@student.nicmar.ac.in</t>
  </si>
  <si>
    <t>8295 5297 9840</t>
  </si>
  <si>
    <t>AJAY GADEKAR</t>
  </si>
  <si>
    <t>SHUBHANGI GADEKAR</t>
  </si>
  <si>
    <t>Jasmini Bungalow Plot No.12, Civil Lines, NMV Society, Near RTO.</t>
  </si>
  <si>
    <t>CENTRE POINT SCHOOL</t>
  </si>
  <si>
    <t>GURUNANAK PUBLIC SCHOOL</t>
  </si>
  <si>
    <t>RASHTRASANT TUKODOJI MAHARAJ UNIVERSITY, NAGPUR</t>
  </si>
  <si>
    <t>PRIYADARSHANI COLLEGE OF ENGINEERING</t>
  </si>
  <si>
    <t>AutoCAD,MS Office,MS Project,Primavera,SPSS,CANDY,@RISK</t>
  </si>
  <si>
    <t>Sky Construction | Intern | Nagpur | May 2024 | Jun 2024 | 5 Weeks
Raghukaul Constructions Private Limited | Intern | Nagpur | Jul 2023 | Jul 2023 | 3 Weeks</t>
  </si>
  <si>
    <t>Course in Universal Health</t>
  </si>
  <si>
    <t>P25701120</t>
  </si>
  <si>
    <t>Praveen . K</t>
  </si>
  <si>
    <t>kp966999@gmail.com</t>
  </si>
  <si>
    <t>p25701120@student.nicmar.ac.in</t>
  </si>
  <si>
    <t>18-Jul-2002</t>
  </si>
  <si>
    <t>TAMIL,ENGLISH,HINDI</t>
  </si>
  <si>
    <t>8729 3896 8010</t>
  </si>
  <si>
    <t>KANNAN.S</t>
  </si>
  <si>
    <t>NIRUBAMA.K</t>
  </si>
  <si>
    <t>175/2 V.O.C Road, NNL Bus Shed Opposite, Karaikudi</t>
  </si>
  <si>
    <t>ALAGAPPA MATRIC HR SEC SCHOOL KARAIKUDI</t>
  </si>
  <si>
    <t>KARAIKUDI MAGARISHI VIDHAYA MANDIR MATRIC HR SEC SCHOOL</t>
  </si>
  <si>
    <t>C.A.R.E SCHOOL OF ARCHITECTURE</t>
  </si>
  <si>
    <t>AutoCAD,MS Office,MS Project,Primavera,Revit (BIM),CANDY,SketchUp</t>
  </si>
  <si>
    <t>EDSOM FINTECT PVT. LTD | Project Management &amp; Business Analytics | Pune | May 2026 | Jun 2026 | 7.7142857142857 Weeks | Campus Internship
Narshimham Associates | Architecture  | Hyderabad | Jun 2023 | Nov 2023 | 20.571428571429 Weeks</t>
  </si>
  <si>
    <t>Project Management the Basics for Success Course Certificate
Introduction to Corporate Finance Course Certificate
BIM Course</t>
  </si>
  <si>
    <t>P25701121</t>
  </si>
  <si>
    <t>KAKADE</t>
  </si>
  <si>
    <t>Sourav Suresh Kakade</t>
  </si>
  <si>
    <t>kakade.sourav@gmail.com</t>
  </si>
  <si>
    <t>p25701121@student.nicmar.ac.in</t>
  </si>
  <si>
    <t>15-Mar-1999</t>
  </si>
  <si>
    <t>7148 7721 9866</t>
  </si>
  <si>
    <t>SURESH KAKADE</t>
  </si>
  <si>
    <t>MRIDULA KAKADE</t>
  </si>
  <si>
    <t>E-001/2, Shireen Complex, Manpada Road, Near Sanghavi Garden, Sagaon, Dombivli East</t>
  </si>
  <si>
    <t>ABHINAV VIDYALAY</t>
  </si>
  <si>
    <t>COUNCIL FOR THE INDIAN SCHOOL CERTIFICATE EXAMINATIONS, DOMBIVLI, INDIA</t>
  </si>
  <si>
    <t>RAMNARAIN RUIA COLLEGE</t>
  </si>
  <si>
    <t>SHRI SHIVAJI MARATHA SOCIETY'S COLLEGE OF ARCHITECTURE, PUNE, MAHARASHTRA</t>
  </si>
  <si>
    <t>AutoCAD,MS Office,MS Project,Revit,Photoshop,Sketchup</t>
  </si>
  <si>
    <t>P. G. Patki Architects | Junior Architect-BIM | 1st Floor, Calcot House, 8, Tamarind Ln, Kala Ghoda, Fort, Mumbai, Maharashtra 400001 | May 2023 | Jul 2025 | 2Y 1M | 3.48</t>
  </si>
  <si>
    <t>Ar. Ninad Vaidya | Intern | Ninad Vaidya Architects, Ground Floor, Rachna Divine, Dombivli, Unit No 1, Tilak Road, Dombivli, Thane, Maharashtra, 421201 | Jul 2021 | Nov 2021 | 18.714285714286 Weeks
Studio Symetree | Jr Architect | Aundh, Pune | Jun 2022 | Oct 2022 | 21.571428571429 Weeks</t>
  </si>
  <si>
    <t>P25701122</t>
  </si>
  <si>
    <t>Tejas N</t>
  </si>
  <si>
    <t>tejas.narayanaswamy33@gmail.com</t>
  </si>
  <si>
    <t>p25701122@student.nicmar.ac.in</t>
  </si>
  <si>
    <t>3915 7864 1990</t>
  </si>
  <si>
    <t>NARAYANASWAMY V</t>
  </si>
  <si>
    <t>LATHA K</t>
  </si>
  <si>
    <t>No. 280, Geetha Bharath Nilaya, 1st Main , 1st Cross ,Vidyaranayapura</t>
  </si>
  <si>
    <t>SRI VIDYA MANDIRA HIGH SCHOOL</t>
  </si>
  <si>
    <t>KARNATAKA SECONDARY EDUCATION EXAMINATION BOARD , BENGALURU , KARNATAKA</t>
  </si>
  <si>
    <t>MES KISHORA KENDRA PU COLLEGE</t>
  </si>
  <si>
    <t>KARNATAKA SECONDARY EDUCATION (PRE-UNIVERSITY) EXAMINATION BOARD , BENGALURU , KARNATAKA</t>
  </si>
  <si>
    <t>BANGALORE INSTITUTE OF TECHNOLOGY , BENGALURU , KARNATAKA</t>
  </si>
  <si>
    <t>Foxconn Hon Hai Technology India Mega Development Private Limited | Supplier Quality Engineer Trainee | Bengaluru | Oct 2024 | May 2025 | 0Y 7M | 2.97</t>
  </si>
  <si>
    <t>Bangalore Metro Rail Corporation Limited | Project Management Trainee | Bengaluru | May 2026 | Jul 2026 | 8.7142857142857 Weeks | Campus Internship
Concord United Products Private Limited | Graduate Apprentice Trainee - Blade Manufacturing | Bengaluru | Jun 2024 | Sep 2024 | 16.714285714286 Weeks
Bharat Electronics Limited | Project Trainee - Strategic Communication &amp; Unmanned Systems | Bengaluru | Aug 2023 | Sep 2023 | 4.8571428571429 Weeks</t>
  </si>
  <si>
    <t>P25701123</t>
  </si>
  <si>
    <t>WAIRAGADE</t>
  </si>
  <si>
    <t>Aditya Ramesh Wairagade</t>
  </si>
  <si>
    <t>vairagadeaditya34@gmail.com</t>
  </si>
  <si>
    <t>p25701123@student.nicmar.ac.in</t>
  </si>
  <si>
    <t>4701 2974 6941</t>
  </si>
  <si>
    <t>RAMESH WAIRAGADE</t>
  </si>
  <si>
    <t>ASHA WAIRAGADE</t>
  </si>
  <si>
    <t>Dashrath Wada, Near Medplus, Jatpura Ward No. 1, Ramnagar Road, Chandrapur.</t>
  </si>
  <si>
    <t>VIDYA NIKETAN HIGH SCHOOL, CHANDRAPUR</t>
  </si>
  <si>
    <t>VIDYA NIKETAN JUNIOR COLLEGE, CHANDRAPUR</t>
  </si>
  <si>
    <t>ST. VINCENT COLLEGE OF ENGINEERING &amp; TECHNOLOGY, NAGPUR</t>
  </si>
  <si>
    <t>MS Office,MS Project,Primavera,Solidworks</t>
  </si>
  <si>
    <t>AK Associates  | Project Coordination  | Chandrapur, Maharashtra  | May 2026 | Jul 2026 | 8.7142857142857 Weeks | Campus Internship
KP Industries | Engineering Trainee | Hingna MIDC, Nagpur | Sep 2021 | Oct 2021 | 2 Weeks
Tristar Cars Private Limited ( Maruti Suzuki) | Engineering Trainee | Chandrapur | Jan 2022 | Jan 2022 | 2 Weeks
CHANDRAPUR FERRO ALLOY PLANT (STEEL AUTHORITY OF INDIA LIMITED) | Engineering Trainee  | CHANDRAPUR | Feb 2022 | Feb 2022 | 3.8571428571429 Weeks</t>
  </si>
  <si>
    <t>P25701124</t>
  </si>
  <si>
    <t>SHIBU</t>
  </si>
  <si>
    <t>Aravind Shibu</t>
  </si>
  <si>
    <t>aravindshibu2406@gmail.com</t>
  </si>
  <si>
    <t>p25701124@student.nicmar.ac.in</t>
  </si>
  <si>
    <t>06-Feb-2001</t>
  </si>
  <si>
    <t>5746 2689 3039</t>
  </si>
  <si>
    <t>SHIBU A</t>
  </si>
  <si>
    <t>SUJATHA G</t>
  </si>
  <si>
    <t>LIC EMPLOYEE</t>
  </si>
  <si>
    <t>Souparnika House, Court Junction_x000D_
Ponkunnam P.O Kottayam Kerala</t>
  </si>
  <si>
    <t>ST ANTONY'S PUBLIC SCHOOL KANJIRAPALLY KOTTAYAM</t>
  </si>
  <si>
    <t>AMAL JYOTHI COLLEGE OF  ENGINEERING KANJIRAPALLY, KERALA</t>
  </si>
  <si>
    <t>AutoCAD,MS Office,MS Project,Primavera,CANVA</t>
  </si>
  <si>
    <t>GlobalFair Inc | Project Management Intern  | Bengalore  | May 2026 | Jun 2026 | 8.1428571428571 Weeks | Campus Internship
K-DISC | YIP INTERNSHIP | KOTTAYAM | Jan 2024 | Mar 2024 | 8.5714285714286 Weeks
LIVIT  INTERIORS | MANAGEMENT AND CLIENT COORDINATOR | ERNAKULAM | Jul 2024 | Dec 2024 | 21.857142857143 Weeks
Kerala Public Works Department | Intern | Kottayam  | May 2023 | May 2023 | 0.71428571428571 Weeks</t>
  </si>
  <si>
    <t>Volunteer for NASA SPACE APPS CHALLENGE 2024
Course Completion on  STAAD.Pro
Course Completion on  Primavera Project Management
Certificate of Participation in Srishti, 10th National Level Project Exhibition and Competition
Certificate for being Career Ambassador in implementing the connect career to campus.
Course Completion on  AI Applications  for Civil Engineer
Energy Cell Regional Coordinator
Volunteer for NASA SPACE APPS CHALLENGE 2023</t>
  </si>
  <si>
    <t>P25701125</t>
  </si>
  <si>
    <t>AMIN</t>
  </si>
  <si>
    <t>Pooja Pravin Amin</t>
  </si>
  <si>
    <t>poojjaamin@gmail.com</t>
  </si>
  <si>
    <t>p25701125@student.nicmar.ac.in</t>
  </si>
  <si>
    <t>3291 5634 1858</t>
  </si>
  <si>
    <t>PRAVIN S AMIN</t>
  </si>
  <si>
    <t>JAYA PRAVIN AMIN</t>
  </si>
  <si>
    <t>401/B9, Brahmand Complex PHASE 3, Azad Nagar, Opp Orchid International School, Thane (W)</t>
  </si>
  <si>
    <t>SRI MA VIDYALAYA</t>
  </si>
  <si>
    <t>VIDYA NIKETAN JR COLLEGE OF COMMERCE AND SICENCE</t>
  </si>
  <si>
    <t>DR. DY PATIL COLLEGE OF ARCHITECTURE, NAVI MUMBAI</t>
  </si>
  <si>
    <t>AutoCAD,MS Office,MS Project,Primavera,Archicad,Lumion,Revit,Photoshop</t>
  </si>
  <si>
    <t>GA Design | Junior Architect | Lower Parel, Mumbai | Jan 2024 | Jun 2025 | 1Y 4M | 2.52</t>
  </si>
  <si>
    <t>SAAKAAR ARCHITECTS | Junior Architect | THANE, MAHARASHTRA  | Dec 2021 | Apr 2022 | 16.428571428571 Weeks</t>
  </si>
  <si>
    <t>Business Communication Essential by IIM Bangalore
ISO Certified Software Training Course(S) for Revit, Rhino, Grasshopper, Lumion
Career in Set Design
Architecture Illustration</t>
  </si>
  <si>
    <t>P25701126</t>
  </si>
  <si>
    <t>Priya Krishna Jaiswal</t>
  </si>
  <si>
    <t>jaiswalpriya2903@gmail.com</t>
  </si>
  <si>
    <t>p25701126@student.nicmar.ac.in</t>
  </si>
  <si>
    <t>4645 6127 3961</t>
  </si>
  <si>
    <t>14, 2nd Floor, Krishna Niwas, R. A. Kidwai Road, Wadala (West), Mumbai - 400031</t>
  </si>
  <si>
    <t>SOUTH INDIAN WELFARE SOCIETY SCHOOL</t>
  </si>
  <si>
    <t>SIES COLLEGE OF ARTS, SCIENCE &amp; COMMERCE</t>
  </si>
  <si>
    <t>AutoCAD,MS Office,MS Project,Primavera,Adobe Photoshop,Lumion,SketchUp</t>
  </si>
  <si>
    <t>Ascendas Firstspace  | Project Intern  | BKC, Mumbai | May 2026 | Jun 2026 | 8.1428571428571 Weeks | Campus Internship
S. P. Shevade &amp; Associates | Intern Architect | Vile Parle | Dec 2022 | Apr 2023 | 20.142857142857 Weeks
Talati and Partners LLP | Architect | Worli, Mumbai  | Jul 2024 | Jun 2025 | 49.571428571429 Weeks</t>
  </si>
  <si>
    <t>P25701127</t>
  </si>
  <si>
    <t>PONNAM</t>
  </si>
  <si>
    <t>Ponnam Sai Kiran</t>
  </si>
  <si>
    <t>p.saikiran006@gmail.com</t>
  </si>
  <si>
    <t>p25701127@student.nicmar.ac.in</t>
  </si>
  <si>
    <t>06-May-2003</t>
  </si>
  <si>
    <t>English,Hindi,Telugu,Odia</t>
  </si>
  <si>
    <t>8057 8973 1192</t>
  </si>
  <si>
    <t>P.ARUN CHOWDARY</t>
  </si>
  <si>
    <t>P.LAKSHMI SUREKHA</t>
  </si>
  <si>
    <t>Arun Buildings,Oppposite Paramount Automobiles,Devodola,Rayagada,Odisha</t>
  </si>
  <si>
    <t>Rayagada</t>
  </si>
  <si>
    <t>CBSE VISHAKAPATNAM,ANDHRA PRADESH</t>
  </si>
  <si>
    <t>SOA UNIVERSITY</t>
  </si>
  <si>
    <t>INSTITUTE OF TECHNICAL EDUCATION AND RESEARCH,BHUBANESHWAR,ODISHA</t>
  </si>
  <si>
    <t>MS Office,MS Project,Primavera,Python,Java,Adobe Photoshop,Adobe PreimrePro,Data Science,AI ML,Full Stack,Algorithm Design,@RISK,Candy(Basic),Canva,Digital Logic Design,Computer Networking,DBMS</t>
  </si>
  <si>
    <t>P25701128</t>
  </si>
  <si>
    <t>NANDHINI</t>
  </si>
  <si>
    <t>Nandhini N</t>
  </si>
  <si>
    <t>nandhiniar2503@gmail.com</t>
  </si>
  <si>
    <t>p25701128@student.nicmar.ac.in</t>
  </si>
  <si>
    <t>6673 2496 2348</t>
  </si>
  <si>
    <t>NAGARAJAN K</t>
  </si>
  <si>
    <t>LAKSHMI N</t>
  </si>
  <si>
    <t>3/843-A, AMIRTHA NAGAR, ARASANATTI VILLAGE, MOOKANDAPALLI, HOSUR</t>
  </si>
  <si>
    <t>MAHARISHI VIDYA MANDIR</t>
  </si>
  <si>
    <t>CBSE, HOSUR</t>
  </si>
  <si>
    <t>SCHOOL OF ARCHITECTURE &amp; PLANNING,CHENNAI</t>
  </si>
  <si>
    <t>AutoCAD,MS Office,MS Project,Primavera,SKETCHUP,REVIT,LUMION,D5,ENSCAPE</t>
  </si>
  <si>
    <t>A SKETCH ARCHITECTURE + DESIGN | JUNIOR ARCHITECT | bengaluru | Nov 2024 | May 2025 | 0Y 6M | 3.24</t>
  </si>
  <si>
    <t>UNKNOWN ARCHITECTS | INTERN ARCHITECT | CHENNAI | Mar 2022 | Jun 2022 | 13.714285714286 Weeks
UNKNOWN ARCHITECTS | JUNIOR ARCHITECT | CHENNAI | Jul 2023 | Jul 2024 | 56.285714285714 Weeks</t>
  </si>
  <si>
    <t>P25701129</t>
  </si>
  <si>
    <t>Aditi Jitendra Patil</t>
  </si>
  <si>
    <t>aditi.jpatil28@gmail.com</t>
  </si>
  <si>
    <t>p25701129@student.nicmar.ac.in</t>
  </si>
  <si>
    <t>6390 3912 5999</t>
  </si>
  <si>
    <t>JITENDRA PATIL</t>
  </si>
  <si>
    <t>SHARADA PATIL</t>
  </si>
  <si>
    <t>401,Uttara CHS, Plot No. 11 &amp;12, Sector 50(old), Seawoods, Navi Mumbai- 400706</t>
  </si>
  <si>
    <t>RYAN INTERNATIONAL SCHOOL, GOREGAON(E), MUMBAI</t>
  </si>
  <si>
    <t>ICSE, MUMBAI</t>
  </si>
  <si>
    <t>DNYAN PUSHPA VIDYANIKETAN &amp; JR. COLLEGE , CBD BELAPUR, NAVI MUMBAI</t>
  </si>
  <si>
    <t>HSC,MAHARASHTRA</t>
  </si>
  <si>
    <t>AutoCAD,MS Office,MS Project,Primavera,Adobe Photoshop,Revit,Lumion,Enscape,Sketcheup</t>
  </si>
  <si>
    <t>Praveen Awate Architects Pvt.Ltd | Jr. Architect | Dadar(West), Mumbai | Sep 2023 | Apr 2024 | 0Y 7M | 2.4
Urbann Analysis and Solutions Pvt.Ltd | Jr. Architect | CBD Belapur, Navi Mumbai | May 2024 | Jun 2025 | 1Y 1M | 3</t>
  </si>
  <si>
    <t>Larsen &amp; Toubro Construction | Project Planning Intern | Kharghar, Navi Mumbai | May 2026 | Jul 2026 | 8.5714285714286 Weeks | Campus Internship
Mobius Architects | Intern Architect | Juhinagar, Navi Mumbai | Nov 2021 | May 2022 | 22.571428571429 Weeks</t>
  </si>
  <si>
    <t>P25701130</t>
  </si>
  <si>
    <t>SANDU</t>
  </si>
  <si>
    <t>Sandu Rakesh</t>
  </si>
  <si>
    <t>rakeshsandu2003@gmail.com</t>
  </si>
  <si>
    <t>p25701130@student.nicmar.ac.in</t>
  </si>
  <si>
    <t>25-Sep-2003</t>
  </si>
  <si>
    <t>Sports,Travelling</t>
  </si>
  <si>
    <t>5738 8308 6956</t>
  </si>
  <si>
    <t>SANDU PANDU RANGA RAO</t>
  </si>
  <si>
    <t>COCONUT VENDOR</t>
  </si>
  <si>
    <t>SANDU VENKATARATNAM</t>
  </si>
  <si>
    <t>D/No:65-5-10/2, Darsi Peta-1,Patamata,Vijayawada</t>
  </si>
  <si>
    <t>ACHARYA NAGARJUNA UNIVERSITY, GUNTUR, ANDHRA PRADESH</t>
  </si>
  <si>
    <t>Bangalore Metro Rail Corporation Ltd.  | Project Management Intern | Bengaluru | May 2026 | Jul 2026 | 8.7142857142857 Weeks | Campus Internship
STARC INDIA | SITE ENGINEER INTERN | HYDERABAD | Mar 2025 | Jun 2025 | 13.142857142857 Weeks</t>
  </si>
  <si>
    <t>P25701131</t>
  </si>
  <si>
    <t>RISHIDHAR</t>
  </si>
  <si>
    <t>Rishidhar M S</t>
  </si>
  <si>
    <t>rishizeth5@gmail.com</t>
  </si>
  <si>
    <t>p25701131@student.nicmar.ac.in</t>
  </si>
  <si>
    <t>Gym,Books,F1,Trading</t>
  </si>
  <si>
    <t>4814 5110 3757</t>
  </si>
  <si>
    <t>MEGAN C</t>
  </si>
  <si>
    <t>SUKUMARI C</t>
  </si>
  <si>
    <t>MATH PROFESSOR</t>
  </si>
  <si>
    <t>17,b Kannagi Street,Muthamil Nagar,M.C.Road,Thanjavur.</t>
  </si>
  <si>
    <t>YAGAPPA MATRICULATION HIGHER SECONDARY SCHOOL</t>
  </si>
  <si>
    <t>THANJAVUR</t>
  </si>
  <si>
    <t>SASTRA DEEMED UNIVERSITY</t>
  </si>
  <si>
    <t>MS Office,MS Project,Primavera,MS Excel,Site Execution,Quantity Estimation,Quality Control</t>
  </si>
  <si>
    <t>Sakkthi Construction | Site Engineer | Trichy | Jul 2024 | Jun 2025 | 0Y 11M | 2.4</t>
  </si>
  <si>
    <t>VME Pre-cast | Production Supervisor | Kanchipuram | Jul 2023 | Jul 2023 | 2 Weeks</t>
  </si>
  <si>
    <t>P25701132</t>
  </si>
  <si>
    <t>PRASANNA</t>
  </si>
  <si>
    <t>THAWARE</t>
  </si>
  <si>
    <t>Prasanna Dhananjay Thaware</t>
  </si>
  <si>
    <t>p.thaware@yahoo.com</t>
  </si>
  <si>
    <t>p25701132@student.nicmar.ac.in</t>
  </si>
  <si>
    <t>09-Jul-2000</t>
  </si>
  <si>
    <t>Travelling,Motorcycling,Swimming</t>
  </si>
  <si>
    <t>3991 9190 1714</t>
  </si>
  <si>
    <t>YOGITA</t>
  </si>
  <si>
    <t>Second Floor, Vedant Apartment, Kohale Layout, Khadgaon Road, Wadi</t>
  </si>
  <si>
    <t>ST. XAVIERS HIGH SCHOOL NAGPUR</t>
  </si>
  <si>
    <t>CENTRAL BOARD OF SECONDARY EDUCATION (CBSE)  NAGPUR MH</t>
  </si>
  <si>
    <t>GOVERNMENT COLLEGE OF ENGINEERING AURANGABAD, CHHATRAPATI SAMBHAJINAGAR, MAHARASHTRA</t>
  </si>
  <si>
    <t>AutoCAD,MS Office,MS Project,Primavera,Solidworks,Ansys,Catia</t>
  </si>
  <si>
    <t>Adani Solar Adani Infra (India) Ltd | Assistant Manager Project Management | Mundra, Gujarat | Aug 2022 | Feb 2024 | 1Y 6M | 8</t>
  </si>
  <si>
    <t>Saint-Gobain India Pvt. Ltd. | Sales &amp; Marketing Intern | Bengaluru | May 2026 | Jul 2026 | 8.5714285714286 Weeks | Campus Internship</t>
  </si>
  <si>
    <t>P25701133</t>
  </si>
  <si>
    <t>Om Rajesh Patil</t>
  </si>
  <si>
    <t>ompatil16122002@gmail.com</t>
  </si>
  <si>
    <t>p25701133@student.nicmar.ac.in</t>
  </si>
  <si>
    <t>16-Dec-2002</t>
  </si>
  <si>
    <t>ENGLISH, HINDI, MARATHI, KANNADA</t>
  </si>
  <si>
    <t>7769 0136 0503</t>
  </si>
  <si>
    <t>RAJESH PATIL</t>
  </si>
  <si>
    <t>GOVERNMENT CONTRACTOR &amp; BUSINESSMAN</t>
  </si>
  <si>
    <t>Rajsheela Building, Ashok Nagar, Nipani, District Belgaum, Karnataka, 591237</t>
  </si>
  <si>
    <t>SANJAY GHODAWAT INTERNATIONAL SCHOOL</t>
  </si>
  <si>
    <t>CAMBRIDGE ASSESSMENT INTERNATIONAL EDUCATION INTERNATIONAL GENERAL CERTIFICATE OF SECONDARY EDUCATION (CAIE IGCSE), KOLHAPUR, MAHARASHTRA</t>
  </si>
  <si>
    <t>INTERNATIONAL BACCALAUREATE DIPLOMA PROGRAM (IBDP), KOLHAPUR, MAHARASHTRA</t>
  </si>
  <si>
    <t>SVKM'S NARSEE MONJEE INSTITUTE OF MANAGEMENT STUDIES (NMIMS UNIVERSITY)</t>
  </si>
  <si>
    <t>PRAVIN DALAL SCHOOL OF ENTREPRENEURSHIP &amp; FAMILY BUSINESS MANAGEMENT</t>
  </si>
  <si>
    <t>MS Office,MS Project,Primavera,Tableau</t>
  </si>
  <si>
    <t>M/s B.R.Patil Engineers &amp; Contractors | Assistant Manager  | Belgaum, karnataka  | Mar 2024 | Jun 2025 | 1Y 3M | 2.09</t>
  </si>
  <si>
    <t>Asian Paints Project Sales | Sales Engineer  | Mangaluru  | May 2026 | Jun 2026 | 4.4285714285714 Weeks | Campus Internship
GEOLIFE AGRITECH PVT LTD | SALES &amp; DISTRIBUTION INTERN  | MUMBAI | Apr 2023 | Jun 2023 | 10.428571428571 Weeks
PIOMA CHEMICALS (MAYPHARM LIFE SCIENCES) | PROCUREMENT &amp; PURCHASING INTERN | MUMBAI | May 2022 | Jun 2022 | 6.7142857142857 Weeks
LEAPUS TECHNOLOGIES PVT LTD (PIXIS AI) | CUSTOMER SUCCESS AND PERFORMANCE MARKETER | BENGALURU  | May 2021 | Jul 2021 | 12.714285714286 Weeks</t>
  </si>
  <si>
    <t>P25701134</t>
  </si>
  <si>
    <t>ASHWINKUMAR</t>
  </si>
  <si>
    <t>VHARAMBALE</t>
  </si>
  <si>
    <t>Priyanka Ashwinkumar Vharambale</t>
  </si>
  <si>
    <t>priyankavharambale91@gmail.com</t>
  </si>
  <si>
    <t>p25701134@student.nicmar.ac.in</t>
  </si>
  <si>
    <t>2427 9649 0093</t>
  </si>
  <si>
    <t>SENIOR PROFESSOR</t>
  </si>
  <si>
    <t>SUCHITRA</t>
  </si>
  <si>
    <t>Plot No. 31,Padma Housing Society,near S.S.C. Board, _x000D_
Rajendra Nagar Ring Road</t>
  </si>
  <si>
    <t>RADHABAI SHINDE ENGLISH MEDIUM SCHOOL</t>
  </si>
  <si>
    <t>MAHARASHTRA STATE BOARD OF SECONDARY AND  HIGHER SECONDARY EDUCATION, PUNE</t>
  </si>
  <si>
    <t>NEW INSTITUTE OF TECHNOLOGY, KOLHAPUR, MAHARASHTRA</t>
  </si>
  <si>
    <t>RAJARAMBAPU INSTITUTE OF TECHNOLOGY, ISLAMPUR, MAHARASHTRA</t>
  </si>
  <si>
    <t>AutoCAD,civil 3d,storm sewer extension and analysis</t>
  </si>
  <si>
    <t>Indovance Pvt. Ltd. | Civil Design Engineer | Pune | Mar 2024 | Jul 2025 | 1Y 3M | 4</t>
  </si>
  <si>
    <t>Indovance Pvt. Ltd. | Trainee Design Engineer | Pune | Jan 2024 | Mar 2024 | 9.8571428571429 Weeks
Pooja Associates | Intern | Islampur | Sep 2022 | Sep 2022 | 2.8571428571429 Weeks</t>
  </si>
  <si>
    <t>P25701135</t>
  </si>
  <si>
    <t>PASAD</t>
  </si>
  <si>
    <t>Jay Anil Pasad</t>
  </si>
  <si>
    <t>jay36pasad@gmail.com</t>
  </si>
  <si>
    <t>p25701135@student.nicmar.ac.in</t>
  </si>
  <si>
    <t>28-Dec-2000</t>
  </si>
  <si>
    <t>Hindi,English,Marathi,Gujarati,Kutchi</t>
  </si>
  <si>
    <t>9703 4998 8081</t>
  </si>
  <si>
    <t>ANIL PASAD</t>
  </si>
  <si>
    <t>LEENA PASAD</t>
  </si>
  <si>
    <t>B/203, Malhar Palace No. 2,_x000D_
Manpada Road, Opp Kasturi Plaza</t>
  </si>
  <si>
    <t>2004-Jul</t>
  </si>
  <si>
    <t>K J SOMAIYA COLLEGE OF SCIENCE &amp; COMMERCE</t>
  </si>
  <si>
    <t>DR. D Y PATIL COLLEGE OF ARCHITECTURE</t>
  </si>
  <si>
    <t>AutoCAD,MS Office,MS Project,Primavera,SketchUp,Enscape,Photoshop,Excel</t>
  </si>
  <si>
    <t>Shree Designs | Jr. Architect | Mumbai | Jul 2023 | Jun 2025 | 1Y 11M | 3.6</t>
  </si>
  <si>
    <t>Dilip Deshmukh &amp; Associates | Intern | Dombivali | Dec 2021 | Apr 2022 | 18.428571428571 Weeks</t>
  </si>
  <si>
    <t>P25701136</t>
  </si>
  <si>
    <t>URJA</t>
  </si>
  <si>
    <t>Urja Nitin Chauhan</t>
  </si>
  <si>
    <t>chauhanurja05@gmail.com</t>
  </si>
  <si>
    <t>p25701136@student.nicmar.ac.in</t>
  </si>
  <si>
    <t>English, Marathi, Hindi, Gujarati</t>
  </si>
  <si>
    <t>8746 0737 4195</t>
  </si>
  <si>
    <t>NITIN CHAUHAN</t>
  </si>
  <si>
    <t>SHEETAL CHAUHAN</t>
  </si>
  <si>
    <t>101, Amidhara CHS, Mamlatdarwadi Rd No.4, Near Nandu Medical, Malad West</t>
  </si>
  <si>
    <t>AutoCAD,MS Office,MS Project,Primavera,Photoshop,Sketchup</t>
  </si>
  <si>
    <t>MANISH MEHTA ARCHITECT | ASSISTANT ARCHITECT | MUMBAI | Jun 2023 | Apr 2025 | 1Y 10M | 3.6</t>
  </si>
  <si>
    <t>Jones Lang LaSalle Property Consultants (India) Pvt Ltd | Intern | Mumbai | May 2026 | Jul 2026 | 8.7142857142857 Weeks | Campus Internship
MANISH MEHTA ARCHITECT | ARCHITECTURAL INTERN | SANTACRUZ, MUMBAI | Dec 2021 | Apr 2022 | 18.428571428571 Weeks</t>
  </si>
  <si>
    <t>UN Volunteers
Autocad</t>
  </si>
  <si>
    <t>P25701137</t>
  </si>
  <si>
    <t>SALODKAR</t>
  </si>
  <si>
    <t>Dhanashree Arvind Salodkar</t>
  </si>
  <si>
    <t>dsalodkar7875@gmail.com</t>
  </si>
  <si>
    <t>p25701137@student.nicmar.ac.in</t>
  </si>
  <si>
    <t>Performing Arts (Dance),Creative &amp; Experience Design,Visual Arts (Painting &amp; Sketching),Outdoor Exploration &amp; Riding</t>
  </si>
  <si>
    <t>7568 5206 2037</t>
  </si>
  <si>
    <t>MRUNAL</t>
  </si>
  <si>
    <t>Gandhi Nagar, Dhamangaon Road</t>
  </si>
  <si>
    <t>ST. ALOYSIUS ENGLISH MEDIUM HIGH SCHOOL</t>
  </si>
  <si>
    <t>ADARSH SANSKAR JUNIOR COLLEGE , NAGPUR</t>
  </si>
  <si>
    <t>MAHARASHTRA STATE BOARD OF SECONDARY &amp; HIGHER SECONDARY EDUCATION , PUNE</t>
  </si>
  <si>
    <t>PADMASHREE DR. D Y PATIL COLLEGE OF ARCHITECTURE, AKURDI , PUNE</t>
  </si>
  <si>
    <t>AutoCAD,MS Office,MS Project,Sketchup,Lumion</t>
  </si>
  <si>
    <t>Figments Experience Lab | Junior Architect | Pune  | Jul 2024 | Jun 2025 | 0Y 11M | 2.16</t>
  </si>
  <si>
    <t>Akruti Concept Studio | Intern  | Pune  | Jun 2023 | Oct 2023 | 19.428571428571 Weeks</t>
  </si>
  <si>
    <t>P25701138</t>
  </si>
  <si>
    <t>SANJALI</t>
  </si>
  <si>
    <t>GANORE</t>
  </si>
  <si>
    <t>Sanjali Sachin Ganore</t>
  </si>
  <si>
    <t>sanjaliganore19@gmail.com</t>
  </si>
  <si>
    <t>p25701138@student.nicmar.ac.in</t>
  </si>
  <si>
    <t>9322 3024 5758</t>
  </si>
  <si>
    <t>SUNAYANA</t>
  </si>
  <si>
    <t>493, Nivrutti Cloth Stores, Telikhunt Chowk, Sangamner, Ahmednagar</t>
  </si>
  <si>
    <t>DHRUV ACADEMY</t>
  </si>
  <si>
    <t>SIR JJ COLLEGE OF ARCHITECTURE</t>
  </si>
  <si>
    <t>AutoCAD,MS Office,MS Project,Primavera,Sketchup,Photoshop,Vectorworks</t>
  </si>
  <si>
    <t>ANT Associates | Junior Architect | Nashik | Sep 2024 | Jun 2025 | 0Y 9M | 1.8</t>
  </si>
  <si>
    <t>ABHIKALPAN ARCHITECTS AND PLANNERS | Architectural Intern | MUMBAI | Dec 2022 | Apr 2023 | 20.714285714286 Weeks</t>
  </si>
  <si>
    <t>P25701139</t>
  </si>
  <si>
    <t>AARTHI MAHALAKSHMI</t>
  </si>
  <si>
    <t>SUBRAMANIAN</t>
  </si>
  <si>
    <t>Aarthi Mahalakshmi . Subramanian</t>
  </si>
  <si>
    <t>aarthimahalakshmi8@gmail.com</t>
  </si>
  <si>
    <t>p25701139@student.nicmar.ac.in</t>
  </si>
  <si>
    <t>27-Oct-2000</t>
  </si>
  <si>
    <t>English, Tamil, Hindi, Marathi</t>
  </si>
  <si>
    <t>3994 7981 0560</t>
  </si>
  <si>
    <t>OFFICE EMPLOYEE</t>
  </si>
  <si>
    <t>THANGAM</t>
  </si>
  <si>
    <t>104, B WING, TIRUPATI ICON, SECTOR 20, KAMOTHE, PANVEL, 410209</t>
  </si>
  <si>
    <t>48, Hem Bhuvan, Vatchraj Lane, Matunga Central, 400019</t>
  </si>
  <si>
    <t>SIES HIGH SCHOOL</t>
  </si>
  <si>
    <t>PRAVIN PATIL POLYTECHNIC, THANE</t>
  </si>
  <si>
    <t>UNIVERSAL COLLEGE OF ENGINEERING,VASAI</t>
  </si>
  <si>
    <t>2027-May</t>
  </si>
  <si>
    <t>MS Office,MS Project,Primavera,Power BI,Data Analysis,SQL,@risk,Advanced MS Excel</t>
  </si>
  <si>
    <t>HDB Financial Services | Junior Officer | Kanjurmarg Mumbai | Jan 2023 | Apr 2024 | 1Y 3M | 2.33</t>
  </si>
  <si>
    <t>Google Business Intelligence
Project Management: The Basics for Success</t>
  </si>
  <si>
    <t>P25701140</t>
  </si>
  <si>
    <t>Rutuja Prashant Patil</t>
  </si>
  <si>
    <t>rutujappatil.05@gmail.com</t>
  </si>
  <si>
    <t>p25701140@student.nicmar.ac.in</t>
  </si>
  <si>
    <t>05-Mar-2002</t>
  </si>
  <si>
    <t>4411 3754 6099</t>
  </si>
  <si>
    <t>RUPALI</t>
  </si>
  <si>
    <t>10, Zunjar Colony Godoli Housing Society, Satara</t>
  </si>
  <si>
    <t>GURUKUL SECONDARY SCHOOL</t>
  </si>
  <si>
    <t>PARENTS ASSOCIATION ENGLISH SCHOOL &amp; JUNIOR COLLEGE SATARA</t>
  </si>
  <si>
    <t>S B PATIL COLLEGE OF ARCHITECTURE AND DESIGN, MAHARASHTRA, PUNE</t>
  </si>
  <si>
    <t>AutoCAD,MS Office,MS Project,sketchup,photoshop,enscape,Draft sight,Ms Excel</t>
  </si>
  <si>
    <t>RHA &amp; Associates | Intern (architect) | Goa | Jun 2024 | Oct 2024 | 16.571428571429 Weeks</t>
  </si>
  <si>
    <t>Business Communication Essentials
Project Management: The Basics for Success
Introduction to Corporate Finance</t>
  </si>
  <si>
    <t>P25701141</t>
  </si>
  <si>
    <t>MAYURESH</t>
  </si>
  <si>
    <t>UKALE</t>
  </si>
  <si>
    <t>Mayuresh Manoj Ukale</t>
  </si>
  <si>
    <t>mayurukale8539@gmail.com</t>
  </si>
  <si>
    <t>p25701141@student.nicmar.ac.in</t>
  </si>
  <si>
    <t>18-Feb-2002</t>
  </si>
  <si>
    <t>2605 5903 9624</t>
  </si>
  <si>
    <t>MANOJ GANPAT UKALE</t>
  </si>
  <si>
    <t>ANJALI MANOJ UKALE</t>
  </si>
  <si>
    <t>Near Old DCC Bank And Market Yard Pandhpur Road Sangola</t>
  </si>
  <si>
    <t>SANGOLA VIDYAMANDIR PRASHALA, SANGOLA</t>
  </si>
  <si>
    <t>SANGMESHWAR COLLEGE, SOLAPUR</t>
  </si>
  <si>
    <t>PIMPARI CHINCHWAD COLLEGE OF ENGINEERING, NIGADI, PUNE</t>
  </si>
  <si>
    <t>AutoCAD,MS Office,MS Project,Solidworks,Inventor,Ansys,Fusion360</t>
  </si>
  <si>
    <t>Helical Auto Technology India Pvt Ltd | Senior Engineer | Pune  | Aug 2023 | Jun 2025 | 1Y 10M | 4.64</t>
  </si>
  <si>
    <t>Asian Paints Limited | Project Sales (Construction Chemicals ) | Pune | May 2026 | Jul 2026 | 8.7142857142857 Weeks | Campus Internship
ENPRO INDUSTRIES PVT LTD | INTERN- R&amp;D | PUNE | Jul 2022 | Jan 2023 | 26.142857142857 Weeks
PIMPARI CHINCHWAD COLLEGE OF ENGINEERIN (AMBUSH AGROTECH) | DIVISION HEAD- HARVESTING MECHANISM | PUNE | Jan 2022 | Mar 2022 | 12.714285714286 Weeks</t>
  </si>
  <si>
    <t>P25701142</t>
  </si>
  <si>
    <t>BALIRAM</t>
  </si>
  <si>
    <t>Pranav Baliram Borate</t>
  </si>
  <si>
    <t>pranavborate100@gmail.com</t>
  </si>
  <si>
    <t>p25701142@student.nicmar.ac.in</t>
  </si>
  <si>
    <t>8051 6340 4257</t>
  </si>
  <si>
    <t>USHA</t>
  </si>
  <si>
    <t>At Post Bidal, Tal-Man, Dist- Satara</t>
  </si>
  <si>
    <t>SHALOM INTERNATIONAL SCHOOL, PACHGANI</t>
  </si>
  <si>
    <t>GALAXY ENGLISH MEDIUM SCHOOL &amp; JUNIOR COLLEGE</t>
  </si>
  <si>
    <t>MAHATMA PHULE KRUSHI VIDYAPEETH</t>
  </si>
  <si>
    <t>MS Office,MS Project,SPSS,MS EXCEL</t>
  </si>
  <si>
    <t>Raj Process Equipment and systems Pvt.Ltd. | Project Management Intern | Pune | May 2026 | Jul 2026 | 8.8571428571429 Weeks | Campus Internship</t>
  </si>
  <si>
    <t>P25701143</t>
  </si>
  <si>
    <t>PAMANNAVAR</t>
  </si>
  <si>
    <t>Sahil Ravindra Pamannavar</t>
  </si>
  <si>
    <t>sahilpamannvar@gmail.com</t>
  </si>
  <si>
    <t>p25701143@student.nicmar.ac.in</t>
  </si>
  <si>
    <t>31-Dec-1999</t>
  </si>
  <si>
    <t>5689 1970 3221</t>
  </si>
  <si>
    <t>Near Panchratna Medical Sugar Factory Road, Kabnur, Ichalkaranji 416116</t>
  </si>
  <si>
    <t>MANERE HIGH SCHOOL AND JUNIOR COLLEGE, ICHALKARANJI</t>
  </si>
  <si>
    <t>DR. J. J. MAGDUM POLYTECHNIC, JAYSINGPUR</t>
  </si>
  <si>
    <t>DR. A. D. SHINDE COLLEGE OF ENGINEERING, BHADGAON, MAHARASHTRA</t>
  </si>
  <si>
    <t>Gurudatta Construction | Site Engineer  | Kagal,Kolhapur | Jul 2023 | Jun 2024 | 0Y 11M | 1.56
Prashant Deshmukh Projects Pvt. Ltd. | Site Engineer  | Chakan,Pune | Jul 2024 | Jul 2025 | 0Y 11M | 3</t>
  </si>
  <si>
    <t>P25701144</t>
  </si>
  <si>
    <t>PANKAJ</t>
  </si>
  <si>
    <t>NANAVATI</t>
  </si>
  <si>
    <t>Siddharth Pankaj Nanavati</t>
  </si>
  <si>
    <t>nanavatisiddharth21@gmail.com</t>
  </si>
  <si>
    <t>p25701144@student.nicmar.ac.in</t>
  </si>
  <si>
    <t>2061 3275 1809</t>
  </si>
  <si>
    <t>PANKAJ VIJAY NANAVATI</t>
  </si>
  <si>
    <t>PRITI PANKAJ NANAVATI</t>
  </si>
  <si>
    <t>A-602,Yashodhan Society, Kapil Nagar, Kondhwa Budruk, Near VIIT College, Pune-48</t>
  </si>
  <si>
    <t>DR. KALMADI SHAMARAO HIGH SCHOOL, PUNE</t>
  </si>
  <si>
    <t>NEW ENGLISH SCHOOL RAMANBAUG,PUNE</t>
  </si>
  <si>
    <t>AAYOJAN SCHOOL OF ARCHITECTURE AND DESIGN, PUNE</t>
  </si>
  <si>
    <t>Microsoft Project, Primavera P6, AutoCAD, Microsoft Office, SketchUp</t>
  </si>
  <si>
    <t>Adani Realty | Intern- Projects Team | Pune | May 2026 | Jul 2026 | 9.5714285714286 Weeks | Campus Internship
SAMYAK C2 INFRA PVT. LTD | Architectural &amp; Project Coordination Intern | KOTHRUD, PUNE | Jun 2024 | Dec 2024 | 25 Weeks</t>
  </si>
  <si>
    <t>Lean Six Sigma Green Belt- KPMG
EDGE Green Building Certification: Excellence in Design for Greater Efficiencies
Foundations of Project Management: Google
Landslide Facility Planning by L&amp;T EduTech
Airside Facility Planning By L&amp;T EduTech
Airport Infrastructure Development- L&amp;T EduTech</t>
  </si>
  <si>
    <t>P25701145</t>
  </si>
  <si>
    <t>RITWIK</t>
  </si>
  <si>
    <t>MUKHERJEE</t>
  </si>
  <si>
    <t>Ritwik Mukherjee</t>
  </si>
  <si>
    <t>swayam9865@gmail.com</t>
  </si>
  <si>
    <t>p25701145@student.nicmar.ac.in</t>
  </si>
  <si>
    <t>05-Dec-1997</t>
  </si>
  <si>
    <t>ENGLISH,HINDI,BENGALI</t>
  </si>
  <si>
    <t>9732 2418 0560</t>
  </si>
  <si>
    <t>RAM MOHAN MUKHERJEE</t>
  </si>
  <si>
    <t>KANIKA MUKHERJEE</t>
  </si>
  <si>
    <t>A1 Kamal Apartment Durga Mandir Road Hirapur</t>
  </si>
  <si>
    <t>DELHI PUBLIC SCHOOL DHANBAD</t>
  </si>
  <si>
    <t>CBSE JHARKHAND</t>
  </si>
  <si>
    <t>NIOS ISL JHARIA</t>
  </si>
  <si>
    <t>NATIONAL INSTITUTE OF OPEN SCHOOLING JHARKHAND</t>
  </si>
  <si>
    <t>TECHNO INTERNATIONAL NEWTOWN, WEST BENGAL</t>
  </si>
  <si>
    <t>AutoCAD,MS Office,Computer Application certification Course,Advanced excel certification Course</t>
  </si>
  <si>
    <t>Central Public Works Department | Project Intern | IIT ISM DHANBAD, JHARKHAND | May 2026 | Jul 2026 | 9.7142857142857 Weeks | Campus Internship</t>
  </si>
  <si>
    <t>Advanced Diploma in Computer Applications
Advanced Excel</t>
  </si>
  <si>
    <t>P25701147</t>
  </si>
  <si>
    <t>Raut Aniket Santosh</t>
  </si>
  <si>
    <t>aniketsraut@yahoo.com</t>
  </si>
  <si>
    <t>p25701147@student.nicmar.ac.in</t>
  </si>
  <si>
    <t>8624 2307 8375</t>
  </si>
  <si>
    <t>Juhunagar CHS, A/8, Sector-15, Near P.K.C. Hospital, Vashi</t>
  </si>
  <si>
    <t>FR. AGNEL MULTIPURPOSE SCHOOL, VASHI, MAHARASHTRA</t>
  </si>
  <si>
    <t>FR. AGNEL MULTIPURPOSE SCHOOL AND JUNIOR COLLEGE, VASHI, MAHARASHTRA</t>
  </si>
  <si>
    <t>DATTA MEGHE COLLEGE OF ENGINEERING, AIROLI, MAHARASHTRA</t>
  </si>
  <si>
    <t>AutoCAD,MS Office,MS Project,Primavera,Revit,SketchUp</t>
  </si>
  <si>
    <t>RELIANCE INDUSTRIES LIMITED | GRADUATE ENGINEER TRAINEE - CIVIL | PATALGANGA | Aug 2024 | Jun 2025 | 0Y 10M | 5.5</t>
  </si>
  <si>
    <t>M.S. ENTERPRISES ENGINEERS AND CONTRACTORS | CIVIL ENGINEER TRAINEE | MUMBAI | Jun 2023 | Jul 2023 | 6.2857142857143 Weeks</t>
  </si>
  <si>
    <t>Excel Statistics Essential Training 2
Excel Statistics Essential Training 1
Project Management with ZOHO
Project Management with JIRA
Project Management: The Basics for Success
Introduction to Corporate Finance</t>
  </si>
  <si>
    <t>P25701148</t>
  </si>
  <si>
    <t>Abhishek Anand</t>
  </si>
  <si>
    <t>meabhi1908@gmail.com</t>
  </si>
  <si>
    <t>p25701148@student.nicmar.ac.in</t>
  </si>
  <si>
    <t>28-Feb-1999</t>
  </si>
  <si>
    <t>Reading Book,Listening Music,Traveling,Cooking,Planting</t>
  </si>
  <si>
    <t>7743 2996 3610</t>
  </si>
  <si>
    <t>TARKESHWAR PANDIT</t>
  </si>
  <si>
    <t>NICMAR UNIVERSITY HOSTEL SJB</t>
  </si>
  <si>
    <t>New Bishunpur Near Hanuman Mandir Road</t>
  </si>
  <si>
    <t>MAULANA ABUL KALAM AZAD UNIVERSITY OF TECHNOLOGY,WESTBENGAL</t>
  </si>
  <si>
    <t>BENGAL COLLEGE OF ENGINEERING&amp;TECHNOLOGY</t>
  </si>
  <si>
    <t>Tata Motor Commercial Vechile Dealer | Auto Electrical And Mechanical Componets | DHANBAD | Sep 2022 | Oct 2022 | 4.2857142857143 Weeks
BHARAT COOKING COAL LIMITED | ENGINE AND TRANSMISION MECHANICAL  | DHANBAD | Mar 2021 | Mar 2021 | 3.7142857142857 Weeks</t>
  </si>
  <si>
    <t>C PROGRAMMING
ADVANCE EXCEL
Advance Diploma in Computer Application</t>
  </si>
  <si>
    <t>P25701149</t>
  </si>
  <si>
    <t>MADDHURI</t>
  </si>
  <si>
    <t>USHA SRI</t>
  </si>
  <si>
    <t>Maddhuri Usha Sri</t>
  </si>
  <si>
    <t>sriusha2424@gmail.com</t>
  </si>
  <si>
    <t>p25701149@student.nicmar.ac.in</t>
  </si>
  <si>
    <t>24-Oct-2002</t>
  </si>
  <si>
    <t>TELUGU, ENGLISH, HINDI - Basic</t>
  </si>
  <si>
    <t>Sketching,Learning</t>
  </si>
  <si>
    <t>8671 8957 3420</t>
  </si>
  <si>
    <t>MADDHURI SURYA PRAKASH</t>
  </si>
  <si>
    <t>MADDHURI KALYANI</t>
  </si>
  <si>
    <t>1-188, Annaipeta, Draksharamam, Ramachandrapuram Mandala</t>
  </si>
  <si>
    <t>NALLAM RESIDENDIAL CONCEPT HIGH SCHOOL</t>
  </si>
  <si>
    <t>STATE BOARD,ANDHRA PRADESH</t>
  </si>
  <si>
    <t>RAGHU ENGINEERING COLLEGE</t>
  </si>
  <si>
    <t>POWER MECH PROJECTS LIMITED | PROJECT MANAGEMENT INTERN | Hyderabad | May 2026 | Jul 2026 | 8.7142857142857 Weeks | Campus Internship
SDVVL SURVEY AND CONSTRUCTION PRIVATE LIMITED | DESIGN &amp; SURVEY INTERN | KAKINADA | May 2023 | Jul 2023 | 6.4285714285714 Weeks</t>
  </si>
  <si>
    <t>Project Management : The Basics of Success
Master Diploma in Civil CAD</t>
  </si>
  <si>
    <t>P25701151</t>
  </si>
  <si>
    <t>VINDHYAVALLI DEVI</t>
  </si>
  <si>
    <t>V S V S</t>
  </si>
  <si>
    <t>Vindhyavalli Devi V S V S</t>
  </si>
  <si>
    <t>vindhya.vurakaranam@gmail.com</t>
  </si>
  <si>
    <t>p25701151@student.nicmar.ac.in</t>
  </si>
  <si>
    <t>TELUGU, HINDI, ENGLISH, MARATHI</t>
  </si>
  <si>
    <t>5034 3671 9255</t>
  </si>
  <si>
    <t>V S S PRASAD</t>
  </si>
  <si>
    <t>V V SRIDEVI</t>
  </si>
  <si>
    <t>A-304, Saisthaan CHS, Plot-4, Sector-29,  Opposite Cidco Office, Nerul East,</t>
  </si>
  <si>
    <t>DAYANAND ANGLO VEDIC PUBLIC SCHOOL, NERUL</t>
  </si>
  <si>
    <t>PILLAI COLLEGE OF ARCHITECTURE, PANVEL</t>
  </si>
  <si>
    <t>AutoCAD,MS Office,MS Project,Primavera,Photoshop,Sketchup,Lumion,Endscape,Revit,Candy,@Risk</t>
  </si>
  <si>
    <t>Design Works | Junior Architect | Sanpada, Navi Mumbai | Jan 2025 | Jun 2025 | 0Y 5M | 3</t>
  </si>
  <si>
    <t>Econstruct Design &amp; Build Pvt Ltd | Project Management Intern | Banglore | May 2026 | Jun 2026 | 8.1428571428571 Weeks | Campus Internship
DESIGN WORKS | Intern | SANPADA, NAVI MUMBAI | Nov 2022 | May 2023 | 27.857142857143 Weeks</t>
  </si>
  <si>
    <t>Best All Rounder in UG College
Anubhuti Head in PiCA Student Council
International Standard of Abacus Mental Arthamatic
Revit for Architectural Design
Introduction to Corporate Finance
Project Management Basics</t>
  </si>
  <si>
    <t>P25701152</t>
  </si>
  <si>
    <t>Siddharth Patel</t>
  </si>
  <si>
    <t>siddharth.okk@gmail.com</t>
  </si>
  <si>
    <t>p25701152@student.nicmar.ac.in</t>
  </si>
  <si>
    <t>8426 6363 2491</t>
  </si>
  <si>
    <t>CHHAGAN PATEL</t>
  </si>
  <si>
    <t>PUNJI PATEL</t>
  </si>
  <si>
    <t>492, Adarsh Colony, Titradi</t>
  </si>
  <si>
    <t>ALOK SEN. SEC. SCHOOL, SEC 11</t>
  </si>
  <si>
    <t>UDAIPUR/ RAJASTHAN</t>
  </si>
  <si>
    <t>VISHWAKARMA INSTITUTE OF INFORMATION AND TECHNOLOGY, PUNE/MAHARASHTRA</t>
  </si>
  <si>
    <t>AutoCAD,MS Office,MS Project,Primavera,@Risk</t>
  </si>
  <si>
    <t>BCC &amp; Co. | Jr. engineer | Udaipur, Rajasthan  | Jul 2024 | Jun 2025 | 0Y 11M | 1.7</t>
  </si>
  <si>
    <t>introduction to generative AI in human resource
Project management: the basics of success
Introduction to Corporate Finance</t>
  </si>
  <si>
    <t>P25701103</t>
  </si>
  <si>
    <t>VINIT</t>
  </si>
  <si>
    <t>RANJEET</t>
  </si>
  <si>
    <t>Vinit Ranjeet Kamble</t>
  </si>
  <si>
    <t>vinitk1902@gmail.com</t>
  </si>
  <si>
    <t>p25701103@student.nicmar.ac.in</t>
  </si>
  <si>
    <t>19-Dec-2002</t>
  </si>
  <si>
    <t>Football,Cricket</t>
  </si>
  <si>
    <t>5230 5078 4808</t>
  </si>
  <si>
    <t>RANJEET KAMBLE</t>
  </si>
  <si>
    <t>VAISHALI KAMBLE</t>
  </si>
  <si>
    <t>401, Laxmideep Complex, Veershaiv Nagar</t>
  </si>
  <si>
    <t>LATE V. M. MEHTA HIGH SCHOOL</t>
  </si>
  <si>
    <t>A. D. JOSHI JUNIOR COLLEGE</t>
  </si>
  <si>
    <t>SOLAPUR/MAHARASHTRA</t>
  </si>
  <si>
    <t>MS Office,MS Project,Catia,Solidworks</t>
  </si>
  <si>
    <t>ANAROCK Property Consultants  | Project Management &amp; Engineering  | Goa | May 2026 | Jul 2026 | 8.7142857142857 Weeks | Campus Internship
N. K. ORCHID COLLEGE OF ENGINEERING AND TECHNOLOGY | MARKET RESEARCH &amp; PRODUCT IMPROVEMENT ANALYST | SOLAPUR  | Jul 2021 | Jan 2022 | 26.857142857143 Weeks
K-TECH CENTRE OF EXCELLENCE IN AEROSPACE AND DEFENCE | TRAINEE ENGINEER | BANGALORE | Feb 2022 | Mar 2022 | 4.2857142857143 Weeks
N. K. Orchid College of Engineering and technology | Project Leader | Solapur  | Aug 2023 | Jan 2024 | 21.857142857143 Weeks</t>
  </si>
  <si>
    <t>Participation in MechaTHON 2024
Runner up in SAE convention 2021
Ready Engineer by TATA Technologies 2022-23
Participation in Aerocon 2022</t>
  </si>
  <si>
    <t>P25701104</t>
  </si>
  <si>
    <t>Ayush Patel</t>
  </si>
  <si>
    <t>ayush9090patel@gmail.com</t>
  </si>
  <si>
    <t>p25701104@student.nicmar.ac.in</t>
  </si>
  <si>
    <t>Reading business books &amp; current affairs,Football &amp; Cricket,Public speaking &amp; debate,Arts &amp; Craft,Traveling &amp; cultural exploration</t>
  </si>
  <si>
    <t>6314 7790 9018</t>
  </si>
  <si>
    <t>RAJESH KUMAR SINGH</t>
  </si>
  <si>
    <t>SURYABALA SINGH</t>
  </si>
  <si>
    <t>SWAPNIL VILLA, ADARSH VIHAR COLONY, AWALESHPUR, VARANASI</t>
  </si>
  <si>
    <t>House.no. 332, Kolana Paschimi, Beside Shri Ram Mandir, Kolana Darbar, Chunar, Mirzapur</t>
  </si>
  <si>
    <t>Mirzapur</t>
  </si>
  <si>
    <t>SUMBEAM SUNCITY BACHHAON RD KARSANA VARANASI UP</t>
  </si>
  <si>
    <t>CBSE, UTTAR PRADESH</t>
  </si>
  <si>
    <t>M M I C BACHCHHAON VARANASI</t>
  </si>
  <si>
    <t>UP BOARD, UTTAR PRADESH</t>
  </si>
  <si>
    <t>ACHARYA NARENDRA DEVA UNIVERSITY OF AGRICULTURE &amp; TECHNOLOGY, AYODHYA, UTTAR PRADESH</t>
  </si>
  <si>
    <t>COLLEGE OF AGRICULTURE, AYODHYA</t>
  </si>
  <si>
    <t>MS Office,MS Project,Primavera,IBM SPSS,Microsoft Power BI,Candy,@RISK</t>
  </si>
  <si>
    <t>Sri Vaarahi Real Assets | Marketing Analytics and Digital Strategies  | Hyderabad | May 2026 | Jul 2026 | 8.7142857142857 Weeks | Campus Internship
K. K. INDUSTRIES | MANAGEMENT TRAINEE INTERN (PROJECT &amp; SALES OPERATIONS) | INDUSTRIAL AREA, RAMNAGER, PHASE-1, CHANDUALI, UTTAR PRADESH | Mar 2025 | Apr 2025 | 6.8571428571429 Weeks</t>
  </si>
  <si>
    <t>Agriculture 4.0: The Future of Farming Technology &amp; Agripreneurship Development (2022)
The Intersection of Finance, Strategy, and Sustainability - SaÃ¯d Business School &amp; University of Oxford (via Coursera)
Data Analysis and Visualization with Power BI â€“ Microsoft (via Coursera)
Six Sigma Green Belt Specialization â€“ Kennesaw State University (via Coursera)</t>
  </si>
  <si>
    <t>P25704001</t>
  </si>
  <si>
    <t>RAMNATH</t>
  </si>
  <si>
    <t>Ramnath Mahesh Nayak</t>
  </si>
  <si>
    <t>rahilnyk.99@gmail.com</t>
  </si>
  <si>
    <t>p25704001@student.nicmar.ac.in</t>
  </si>
  <si>
    <t>10-Dec-1999</t>
  </si>
  <si>
    <t>5854 5441 9964</t>
  </si>
  <si>
    <t>GOVT. SERVICE</t>
  </si>
  <si>
    <t>A-6 Neelkamal Co-op Hsg Scty, Shantinagar, Ponda-Goa</t>
  </si>
  <si>
    <t>A.J.DE ALMEIDA HIGH SCHOOL</t>
  </si>
  <si>
    <t>S.S.SAMITI'S HSS OF SCIENCE</t>
  </si>
  <si>
    <t>AutoCAD,MS Office,Sketchup,Lumion</t>
  </si>
  <si>
    <t>PWD (DIV-XVIII) (Roads) | SURVEYOR 6 (Apprentice) | PWD, Ponda-Goa | Oct 2023 | Oct 2024 | 0Y 11M | 1.56
AXIODYN CONSULTANTS | JUNIOR ENGINEER/ DESIGNER | Comba, Margao-Goa | May 2023 | Oct 2023 | 0Y 4M | 1.5</t>
  </si>
  <si>
    <t>Town and Country Planning Department | Urban Planning Intern | Panaji-Goa | May 2026 | Jun 2026 | 7.5714285714286 Weeks | Campus Internship
R.B.S CANDIAPARCAR | Site Engineer | Farmagudi, Ponda-Goa | Mar 2023 | May 2023 | 8.7142857142857 Weeks</t>
  </si>
  <si>
    <t>Introduction to Urban Planning</t>
  </si>
  <si>
    <t>P25704004</t>
  </si>
  <si>
    <t>MALLIKARJUN</t>
  </si>
  <si>
    <t>BILGUNDI</t>
  </si>
  <si>
    <t>Ashish Mallikarjun Bilgundi</t>
  </si>
  <si>
    <t>aahishbilgundi@gmail.com</t>
  </si>
  <si>
    <t>p25704004@student.nicmar.ac.in</t>
  </si>
  <si>
    <t>English,Kannada,hindi</t>
  </si>
  <si>
    <t>8742 2404 1273</t>
  </si>
  <si>
    <t>RETIRED BANK OFFICER</t>
  </si>
  <si>
    <t>JAYAMALA</t>
  </si>
  <si>
    <t>PLOT NO 30 KOHINOOR BUILDING JEWARGI COLONY BIDDAPUR ROAD_x000D_
Biaadpur Road</t>
  </si>
  <si>
    <t>SHARANABASAVESWAR RES. HIGH SCHOOL</t>
  </si>
  <si>
    <t>KARNATAKA SECONDARY EDUCATION EXAMINATION BOARD , KALABURAGI</t>
  </si>
  <si>
    <t>S BASAVESWAR RESI PU COLLEGE</t>
  </si>
  <si>
    <t>GOVERNMENT OF KARNATAKA DEPARTMENT OF PRE-UNIVERSITY EDUCATION , KALABURAGI</t>
  </si>
  <si>
    <t>2018-Jan</t>
  </si>
  <si>
    <t>POOJYA DODDAPPA APPA COLLEGE OF ENGINEERING , KALABURAGI</t>
  </si>
  <si>
    <t>KMV PROJECTS LTD. | INTERN | KALABURAGI | Aug 2022 | Oct 2022 | 8.7142857142857 Weeks</t>
  </si>
  <si>
    <t>P25704005</t>
  </si>
  <si>
    <t>MADHAV</t>
  </si>
  <si>
    <t>SURYAWANSHI</t>
  </si>
  <si>
    <t>Nitin Madhav Suryawanshi</t>
  </si>
  <si>
    <t>nitinms1802@gmail.com</t>
  </si>
  <si>
    <t>p25704005@student.nicmar.ac.in</t>
  </si>
  <si>
    <t>18-Feb-2000</t>
  </si>
  <si>
    <t>7793 9379 7935</t>
  </si>
  <si>
    <t>AAU</t>
  </si>
  <si>
    <t>Plot No 37, P/5 N-8, Cidco, Sambhajinagar</t>
  </si>
  <si>
    <t>SHIVCHHATRAPATI COLLEGE AURANGABAD</t>
  </si>
  <si>
    <t>DR.BABASAHEB AMBEDKAR TECHNOLOGICAL UNIVERSITY</t>
  </si>
  <si>
    <t>CHHATRAPATI SAMBHAJINAGAR MUNICIPAL CORPORATION | TRAINEE | CHH. SAMBHAJINAGAR | Oct 2024 | Jun 2025 | 37.428571428571 Weeks
K P &amp; Associates | Trainee | Chh. Sambhajinagar | Sep 2023 | Sep 2024 | 52.285714285714 Weeks
Sara builders | Intern | Chh. Sambhajinagar | Mar 2022 | Jun 2022 | 15.571428571429 Weeks</t>
  </si>
  <si>
    <t>P25704006</t>
  </si>
  <si>
    <t>GARJE</t>
  </si>
  <si>
    <t>BHAGAWAN</t>
  </si>
  <si>
    <t>Garje Snehal Bhagawan</t>
  </si>
  <si>
    <t>snehalgarje322@gmail.com</t>
  </si>
  <si>
    <t>p25704006@student.nicmar.ac.in</t>
  </si>
  <si>
    <t>9159 5789 5794</t>
  </si>
  <si>
    <t>Sai Niwas, At.post Mohoj Devadhe, Tal.Pathardi, Dist. Ahilyanagar.</t>
  </si>
  <si>
    <t>R.K.M. SECONDARY AND HIGHER SECONDARY SCHOOL, KALWAN, NASHIK.</t>
  </si>
  <si>
    <t>SAVITRIBAI PHULE PUNE UNIVERSITY MAHARASHTRA</t>
  </si>
  <si>
    <t>SHRI PRAMOD PATIL SPPAC JUNIOR COLLEGE</t>
  </si>
  <si>
    <t>SAVITRIBAI PHULE PUNE UNIVERSITY, MAHARASHTRA</t>
  </si>
  <si>
    <t>SINHGAD COLLEGE OF ARCHITECTURE PUNE, MAHARASHTRA</t>
  </si>
  <si>
    <t>AutoCAD,MS Office,Sketchup,Lumion,Photoshop,Powerpoint,ArcGIS</t>
  </si>
  <si>
    <t>DESIGN CONSORTIUM | INTERN | THANE,MUMBAI. | Jun 2024 | Dec 2024 | 23.714285714286 Weeks</t>
  </si>
  <si>
    <t>P25704007</t>
  </si>
  <si>
    <t>TIWASKAR</t>
  </si>
  <si>
    <t>Siddhi Sham Tiwaskar</t>
  </si>
  <si>
    <t>siddhitiwaskar6128@gmail.com</t>
  </si>
  <si>
    <t>p25704007@student.nicmar.ac.in</t>
  </si>
  <si>
    <t>5810 6710 8431</t>
  </si>
  <si>
    <t>SHAM HARIBHAU TIWASKAR</t>
  </si>
  <si>
    <t>ANAGHA SHAM TIWASKAR</t>
  </si>
  <si>
    <t>129, Shubhamkaroti Apartment, Behind Siddha Ganesh Mandir Buty Plots Laxmi Nagar Nagpur</t>
  </si>
  <si>
    <t>SOMALWAR HIGH SCHOOL-NIKALAS BRANCH, NAGPUR</t>
  </si>
  <si>
    <t>SOMALWAR HIGH SCHOOL &amp; JUNIOR COLLEGE, NIKALAS BRANCH.</t>
  </si>
  <si>
    <t>AutoCAD,MS Office,SKETCHUP,PHOTOSHOP,REVIT,PROCREATE,ENSCAPE,LUMION,CANVA,ArcGIS</t>
  </si>
  <si>
    <t>Beyond Green - Landscape Architecture and Architecture, Pune | Intern  | Pune  | Jun 2024 | Oct 2024 | 17.428571428571 Weeks</t>
  </si>
  <si>
    <t>NPTL ONLINE CERTIFICATION-URBAN SERVICES PLANNING</t>
  </si>
  <si>
    <t>P25704008</t>
  </si>
  <si>
    <t>Suyash Singh Chauhan</t>
  </si>
  <si>
    <t>suryashchauhan@gmail.com</t>
  </si>
  <si>
    <t>p25704008@student.nicmar.ac.in</t>
  </si>
  <si>
    <t>10-Feb-2002</t>
  </si>
  <si>
    <t>english,hindi&amp;gujrati</t>
  </si>
  <si>
    <t>6612 4677 8241</t>
  </si>
  <si>
    <t>SANJAY SINGH CHAUHAN</t>
  </si>
  <si>
    <t>DR SHIKHA SINGH</t>
  </si>
  <si>
    <t>MIG-27 HOUSING BOARD COLONY BODA BAGH</t>
  </si>
  <si>
    <t>Rewa</t>
  </si>
  <si>
    <t>JYOTI SENIOR SECONDARY SCHOOL</t>
  </si>
  <si>
    <t>CENTRAL BOARD OF SECONDARY EDUCATION MADHYA PRADESH</t>
  </si>
  <si>
    <t>MARUTI HIGHER SECONDARY SCHOOL</t>
  </si>
  <si>
    <t>MADHYA PRADESH BOARD OF SECONDARY EDUCATION MADHYA PRADESH</t>
  </si>
  <si>
    <t>PARUL INSTITUTE OF ENGINEERING AND TECHNOLOGY</t>
  </si>
  <si>
    <t>P25704010</t>
  </si>
  <si>
    <t>Rutuja Rajaram Patil</t>
  </si>
  <si>
    <t>patilrutuja348@gmail.com</t>
  </si>
  <si>
    <t>p25704010@student.nicmar.ac.in</t>
  </si>
  <si>
    <t>21-Feb-2001</t>
  </si>
  <si>
    <t>Sketching,Photography,Traveling</t>
  </si>
  <si>
    <t>8387 9183 9381</t>
  </si>
  <si>
    <t>RAJARAM ATMARAM PATIL</t>
  </si>
  <si>
    <t>RAJMATI RAJARAM PATIL</t>
  </si>
  <si>
    <t>16 ,RUTURAJ SHAHID BHAGAT SINGH COLONY , SHASTRINAGAR , MALKAPUR ROAD ,KARD</t>
  </si>
  <si>
    <t>AT P. BAHE TAL.WALWA DIS. SANGLI</t>
  </si>
  <si>
    <t>VITHAMATA VIDYALAYA , KARAD</t>
  </si>
  <si>
    <t>LIGADE PATIL JR COLLEGE OF SCIENCE , KARAD</t>
  </si>
  <si>
    <t>BHARATI VIDYAPEETH COLLEGE OF ARCHITECTURE , PUNE</t>
  </si>
  <si>
    <t>AutoCAD,MS Office,SKETCHUP,LUMION,EDGE,ARCH GIS,PHOTOSHOP,CANVA</t>
  </si>
  <si>
    <t>Anup Oswal Architects | Intern | Pune | Jan 2024 | May 2024 | 20 Weeks</t>
  </si>
  <si>
    <t>P25704011</t>
  </si>
  <si>
    <t>Yash Avinash More</t>
  </si>
  <si>
    <t>p25704011@student.nicmar.ac.in</t>
  </si>
  <si>
    <t>CHESS,CRICKET</t>
  </si>
  <si>
    <t>3390 7048 3549</t>
  </si>
  <si>
    <t>AVINASH MORE</t>
  </si>
  <si>
    <t>AKSHATA MORE</t>
  </si>
  <si>
    <t>AT POST SHIRGAON, NEAR UMRAJ MEDICAL STORE, PALGHAR</t>
  </si>
  <si>
    <t>MAHARASHTRA STATE BOARD OF EDUCATION AND HIGHER SECONDARY EDUCATION, PUNE</t>
  </si>
  <si>
    <t>ST JOHN COLLEGE OF ENGINEERING AND MANAGEMENT,PALGHAR</t>
  </si>
  <si>
    <t>ST JOHN COLLEGE OF ENGINEERING AND MANAGEMENT, PALGHAR</t>
  </si>
  <si>
    <t>NEST INFRA | Supervising &amp; Designing | PALGHAR | Jan 2022 | Mar 2022 | 8.7142857142857 Weeks</t>
  </si>
  <si>
    <t>STATE LEVEL TECHNICAL PAPER PRESENTATION
INDIA CHAPTER OF AMERICAN INSTITUTE</t>
  </si>
  <si>
    <t>P25704012</t>
  </si>
  <si>
    <t>NAMITA</t>
  </si>
  <si>
    <t>Namita Kiran Pawar</t>
  </si>
  <si>
    <t>namitapawar1206@gmail.com</t>
  </si>
  <si>
    <t>p25704012@student.nicmar.ac.in</t>
  </si>
  <si>
    <t>English, Hindi, Marathi, French</t>
  </si>
  <si>
    <t>6212 9457 3359</t>
  </si>
  <si>
    <t>Arwana Tower, Flat No. 202, Opposite To Golden Petals, Warje Jakat Naka, Bhalekar Wasti, Karve Nagar</t>
  </si>
  <si>
    <t>MAHARASHTRA EDUCATION SOCIETY HIGHSCHOOL</t>
  </si>
  <si>
    <t>MAHARASHTRA EDUCATION SOCIETY HIGHSCHOOL BARAMATI</t>
  </si>
  <si>
    <t>TULJARAM CHATURCHAND COLLEGE</t>
  </si>
  <si>
    <t>BHANUBEN NANAVATI COLLEGE OF ARCHITECTURE PUNE</t>
  </si>
  <si>
    <t>AutoCAD,MS Office,MS Project,Primavera,Photoshop,Revit,Enscape,Lumion</t>
  </si>
  <si>
    <t>BEYOND GREEN | INTERN | PUNE | Jun 2024 | Oct 2024 | 18.142857142857 Weeks</t>
  </si>
  <si>
    <t>P25704014</t>
  </si>
  <si>
    <t>Mayuri Sandeep Yeole</t>
  </si>
  <si>
    <t>mayuriyeole24@gmail.com</t>
  </si>
  <si>
    <t>p25704014@student.nicmar.ac.in</t>
  </si>
  <si>
    <t>9488 3958 0592</t>
  </si>
  <si>
    <t>BHUMICA</t>
  </si>
  <si>
    <t>Yashodeep Plot No. 1103, N-6 Sai Nagar Cidco Chh. Sambhajinagar</t>
  </si>
  <si>
    <t>VIDYADHAM HIGHER SECONDARY SCHOOL</t>
  </si>
  <si>
    <t>JAWAHARLAL NEHRU ENGINEERING COLLEGE, CHH. SAMBHAJINAGAR</t>
  </si>
  <si>
    <t>AutoCAD,MS Office,Photoshop,Sketchup,Enscape,ArcGIS</t>
  </si>
  <si>
    <t>Kushaagra Innovations Foundation | Field internship in Urban Sustainability &amp; Waste Management | Pune | May 2026 | Jul 2026 | 8.7142857142857 Weeks | Campus Internship
IDEAS ARCHITECT | INTERN | JAIPUR | Jun 2024 | Oct 2024 | 18.857142857143 Weeks</t>
  </si>
  <si>
    <t>P25704015</t>
  </si>
  <si>
    <t>GHANSHAM</t>
  </si>
  <si>
    <t>JONDHALE</t>
  </si>
  <si>
    <t>Pavan Ghansham Jondhale</t>
  </si>
  <si>
    <t>pavanjondhale16@gmail.com</t>
  </si>
  <si>
    <t>p25704015@student.nicmar.ac.in</t>
  </si>
  <si>
    <t>3481 5850 5161</t>
  </si>
  <si>
    <t>Jondhale Bunglow, Shikshak Colony, College Road, Saikheda, Nashik, Maharashtra,422210</t>
  </si>
  <si>
    <t>HORIZON ACADEMY</t>
  </si>
  <si>
    <t>NASHIK PRESIDENCY SCHOOL &amp; JUNIOR COLLEGE</t>
  </si>
  <si>
    <t>K.K. WAGH INSTITUTE OF ENGINEERING EDUCATION &amp; RESEARCH, NASHIK</t>
  </si>
  <si>
    <t>AutoCAD,MS Office,ArcGIS,Revit</t>
  </si>
  <si>
    <t>Mauli builders &amp; developers | Intern  | College Road, Saikheda | Dec 2023 | Jan 2024 | 4.5714285714286 Weeks</t>
  </si>
  <si>
    <t>P25704016</t>
  </si>
  <si>
    <t>MANKAR</t>
  </si>
  <si>
    <t>Rutuja Suresh Mankar</t>
  </si>
  <si>
    <t>rutujamankar0908@gmail.com</t>
  </si>
  <si>
    <t>p25704016@student.nicmar.ac.in</t>
  </si>
  <si>
    <t>09-Aug-2000</t>
  </si>
  <si>
    <t>8254 8960 6677</t>
  </si>
  <si>
    <t>SURESH VITTHALRAO MANKAR</t>
  </si>
  <si>
    <t>SUREKHA SURESH MANKAR</t>
  </si>
  <si>
    <t>SUNRISE PG, LAXMAN NAGAR, BANER, PUNE</t>
  </si>
  <si>
    <t>Sharda Nagar, S.T Colony Near Yashodip Convent, Wardha</t>
  </si>
  <si>
    <t>BHARAT DNYAN MANDIRAM</t>
  </si>
  <si>
    <t>WARDHA, MAHARASHTRA</t>
  </si>
  <si>
    <t>NEW ENGLISH JUNIOR COLLEGE</t>
  </si>
  <si>
    <t>SINHGAD COLLEGE OF ARCHITECTURE, PUNE, MAHARASHTRA</t>
  </si>
  <si>
    <t>AutoCAD,MS Office,Sketchup,Twinmotion,Lumion,Photoshop,ArcGIS</t>
  </si>
  <si>
    <t>MKDM Studio Private Limited | Junior Architect | Pune | Aug 2023 | Aug 2024 | 1Y 0M | 1.92</t>
  </si>
  <si>
    <t>KUSHAAGRA INNOVATIONS FOUNDATION | URBAN PLANNING INTERN | Pune | May 2026 | Jul 2026 | 8.7142857142857 Weeks | Campus Internship
AMRTA TURNKEY PROFESSIONALS | ARCHITECTURAL TRAINEE | NAGPUR | May 2022 | Nov 2022 | 26.285714285714 Weeks</t>
  </si>
  <si>
    <t>The LAP Initiative - PERSONA FEST 2026 
Sustainable Regional Principles, Planning and Transportation
AI &amp; Disaster Management</t>
  </si>
  <si>
    <t>P25704017</t>
  </si>
  <si>
    <t>VENKATA VARUN</t>
  </si>
  <si>
    <t>MULUMUDI</t>
  </si>
  <si>
    <t>Vinayaka Venkata Varun Mulumudi</t>
  </si>
  <si>
    <t>venkatavarun131@gmail.com</t>
  </si>
  <si>
    <t>p25704017@student.nicmar.ac.in</t>
  </si>
  <si>
    <t>Telugu,Hindi,English,</t>
  </si>
  <si>
    <t>5719 4647 4575</t>
  </si>
  <si>
    <t>MULUMUDI NAGARAJU</t>
  </si>
  <si>
    <t>MULUMUDI LALITHAMMA</t>
  </si>
  <si>
    <t>HOUSW WIFE</t>
  </si>
  <si>
    <t>1/44 KOTHUR, NELLORE RURAL A.K NAGAR POST SPSR NELLORE DISTRICT ANDHRA PRADESH 524004</t>
  </si>
  <si>
    <t>KENDRIYA VIDYALAYA NELLORE</t>
  </si>
  <si>
    <t>SRI CHANDRASEKHARENDRA SARASWATHI VISWA MAHAVIDYALAYA (SCSVMV)</t>
  </si>
  <si>
    <t>SRI CHANDRASEKHARENDRA SARASWATHI VISWA MAHAVIDYALAYA (SCSVMV) KANCHIPURAM/TAMIL NADU</t>
  </si>
  <si>
    <t>AutoCAD,3d printing,arcgis,revit</t>
  </si>
  <si>
    <t>NATIONAL INSTITUTE OF URBAN AFFAIRS | PLANNING INTERN | PUNE | May 2026 | Jul 2026 | 8.7142857142857 Weeks | Campus Internship
OFFICE OF EXECUTIVE ENGINEER SSLC&amp; SB | GOVERNMENT | NELLORE | Jun 2024 | Jul 2024 | 4.2857142857143 Weeks</t>
  </si>
  <si>
    <t>workshop on ISRO Earth observation data hub- Bhoonidhi
Remote sensing and gis for rural development
3d printing certification course</t>
  </si>
  <si>
    <t>P25704018</t>
  </si>
  <si>
    <t>NIRANJANA</t>
  </si>
  <si>
    <t>SETHUKUMAR</t>
  </si>
  <si>
    <t>Niranjana Sethukumar Nair</t>
  </si>
  <si>
    <t>niranjanasangeeta@gmail.com</t>
  </si>
  <si>
    <t>p25704018@student.nicmar.ac.in</t>
  </si>
  <si>
    <t>6619 2406 0860</t>
  </si>
  <si>
    <t>STATE GOVERNMENTÂ EMPLOYEE</t>
  </si>
  <si>
    <t>HNo. 37, Neelima, Sivamangalam Lane, Pattom, ThiruvananthapuramÂ -Â 695004.</t>
  </si>
  <si>
    <t>ICSE, KERALA</t>
  </si>
  <si>
    <t>CHRIST NAGAR HIGHER SECONDARYÂ SCHOOL</t>
  </si>
  <si>
    <t>ICSE/ ISC KERALA</t>
  </si>
  <si>
    <t>GOVERNMENT ENGINEERING COLLEGE BARTON HILL</t>
  </si>
  <si>
    <t>ArcGIS Pro, MS Office, AutoCAD</t>
  </si>
  <si>
    <t>Regional Town and Country Planning Office, Kozhikode | Summer Intern | Kozhikode, Kerala | May 2026 | Jul 2026 | 9.5714285714286 Weeks | Campus Internship
JCJR PARTNERSHIP | CIVIL ENGINEERING INTERN | THIRUVANANTHAPURAM | May 2025 | Jun 2025 | 6.2857142857143 Weeks
SI PROPERTY (KERALA) PRIVATE LIMITED | INTERN | THIRUVANANTHAPURAM | Jun 2024 | Aug 2024 | 7.8571428571429 Weeks
KERALA WATER AUTHOURITY (KWA) | INTERN | THIRUVANANTHAPURAM | May 2023 | May 2023 | 0.85714285714286 Weeks</t>
  </si>
  <si>
    <t>P25704019</t>
  </si>
  <si>
    <t>DERE</t>
  </si>
  <si>
    <t>Parth Vijay Dere</t>
  </si>
  <si>
    <t>parthvdere@gmail.com</t>
  </si>
  <si>
    <t>p25704019@student.nicmar.ac.in</t>
  </si>
  <si>
    <t>8949 6450 7380</t>
  </si>
  <si>
    <t>DEEPA</t>
  </si>
  <si>
    <t>Atkare Cr., LMD Chowk, Bavdhan Kh., Pune</t>
  </si>
  <si>
    <t>BHARTIYA VIDYA BHAVAN PARANJAPE VIDYA MANDIR, PUNE</t>
  </si>
  <si>
    <t>MAHARASHTRA BOARD OF SECONDARY AND HIGHER SECONDARY EDUCATION, PUNE</t>
  </si>
  <si>
    <t>MAEER'S MIT JR. COLLEGE, PUNE</t>
  </si>
  <si>
    <t>STES SINHGAD COLLEGE OF ARCHITECTURE, PUNE, MAHARASHTRA</t>
  </si>
  <si>
    <t>AutoCAD,MS Office,MS Project,Sketchup,Lumion,Enscape,Arcgis</t>
  </si>
  <si>
    <t>MG ARCHITECTS | INTERN | ERANDWANE, PUNE | Jul 2024 | Dec 2024 | 24.571428571429 Weeks</t>
  </si>
  <si>
    <t>P25704020</t>
  </si>
  <si>
    <t>VIJAYKUMAR</t>
  </si>
  <si>
    <t>Shreyas Vijaykumar Gaikwad</t>
  </si>
  <si>
    <t>gshreyas3351@gmail.com</t>
  </si>
  <si>
    <t>p25704020@student.nicmar.ac.in</t>
  </si>
  <si>
    <t>5217 3060 6622</t>
  </si>
  <si>
    <t>VIJAYKUMAR GAURIHAR GAIKWAD</t>
  </si>
  <si>
    <t>PADMA VIJAYKUMAR GAIKWAD</t>
  </si>
  <si>
    <t>177, Suyrawanshi Lane Guruwar Peth Tasgaon, Dist. Sangli 416312</t>
  </si>
  <si>
    <t>SWAMI RAMANAND BHARTI VIDYAMANDIR AND JUNIOR COLLEGE TASGAON</t>
  </si>
  <si>
    <t>AutoCAD,MS Office,ArcGIS,Google earth engine, ArcGIS Urban</t>
  </si>
  <si>
    <t>Kushaagra innovations foundation | Intern | Pune, Maharashtra | May 2026 | Jul 2026 | 8.7142857142857 Weeks | Campus Internship</t>
  </si>
  <si>
    <t>Civil Engineering Job Simulation â€“ John Holland (Forage)
NPTL Online Certification - Introduction to Urban Planning</t>
  </si>
  <si>
    <t>P25704021</t>
  </si>
  <si>
    <t>BAPARDEKAR</t>
  </si>
  <si>
    <t>Chirag Prakash Bapardekar</t>
  </si>
  <si>
    <t>chiragbapardekar@gmail.com</t>
  </si>
  <si>
    <t>p25704021@student.nicmar.ac.in</t>
  </si>
  <si>
    <t>17-Jan-2003</t>
  </si>
  <si>
    <t>6583 5683 4190</t>
  </si>
  <si>
    <t>PRAKASH KESHAV BAPARDEKAR</t>
  </si>
  <si>
    <t>JYOTI PRAKASH BAPARDEKAR</t>
  </si>
  <si>
    <t>Shivsankalp Hsg. Soc. RH-134, Flat No.: 05, G Block , Near D.Y. Patil School, Shahunagar Chinchwad, Pune-411019.</t>
  </si>
  <si>
    <t>VIDYA NIKETAN ENG. MED. SCHOOL, PIMPRI, PUNE-411018</t>
  </si>
  <si>
    <t>ABHISHEK VIDYALAYAM'S SCIENCE JUNIOR COLLEGE, PUNE-411019</t>
  </si>
  <si>
    <t>SAVITRIBAI PHULE PUNE UNIVERSITY, GANESHKHIND, PUNE-411007</t>
  </si>
  <si>
    <t>MARATHWADA MITRA MANDAL'S COLLEGE OF ARCHITECTURE, PUNE-411004</t>
  </si>
  <si>
    <t>L.J. Purani &amp; Associates | Architectural design, structural engineering, project management, interior design, urban planning | Navrangapura, Ahmedabad - 380009, Gujarat. | Jun 2024 | Oct 2024 | 17.428571428571 Weeks</t>
  </si>
  <si>
    <t>Certificate in Vastu Shastra
Autodesk Revit &amp; Lumion</t>
  </si>
  <si>
    <t>P25704022</t>
  </si>
  <si>
    <t>SUBHAM</t>
  </si>
  <si>
    <t>NATH</t>
  </si>
  <si>
    <t>Subham Nath</t>
  </si>
  <si>
    <t>subhamnath890@gmail.com</t>
  </si>
  <si>
    <t>p25704022@student.nicmar.ac.in</t>
  </si>
  <si>
    <t>20-Jun-1997</t>
  </si>
  <si>
    <t>3198 0463 4116</t>
  </si>
  <si>
    <t>NARAYAN NATH</t>
  </si>
  <si>
    <t>MANJU LATA NATH</t>
  </si>
  <si>
    <t>QR NO: RD D2, HATISALPADA</t>
  </si>
  <si>
    <t>House No: 90, Gobardhanpur</t>
  </si>
  <si>
    <t>Balasore</t>
  </si>
  <si>
    <t>SARASWATI VIDYA MANDIR, SECTOR-6</t>
  </si>
  <si>
    <t>CHAITANYA COLLEGE OF EDUCATION</t>
  </si>
  <si>
    <t>COUNSIL OF HIGHER SECONDARY EDUCATION, ODISHA</t>
  </si>
  <si>
    <t>BIJU PATTANAYAK UNIVERSITY</t>
  </si>
  <si>
    <t>ORISSA ENGINEERING COLLEGE, BHUBANESWAR</t>
  </si>
  <si>
    <t>Gayatri Projects Limited | Junior Engineer Executive | Sambalpur, Odisha | Oct 2018 | Jun 2019 | 0Y 8M | 2.4
B.K CONSTRUCTION CO. | SITE ENGINEER | Balangir, Odisha | Jul 2019 | Feb 2025 | 5Y 7M | 4.8</t>
  </si>
  <si>
    <t>6 Years 3 Months</t>
  </si>
  <si>
    <t>P25704023</t>
  </si>
  <si>
    <t>SONAL</t>
  </si>
  <si>
    <t>SARSANDE</t>
  </si>
  <si>
    <t>Sonal Ajay Sarsande</t>
  </si>
  <si>
    <t>sonalsarsande1184@gmail.com</t>
  </si>
  <si>
    <t>p25704023@student.nicmar.ac.in</t>
  </si>
  <si>
    <t>8525 1428 3768</t>
  </si>
  <si>
    <t>AJAY MAGAN SARSANDE</t>
  </si>
  <si>
    <t>PHOTOGRAPHER</t>
  </si>
  <si>
    <t>MANDA AJAY SARSANDE</t>
  </si>
  <si>
    <t>FLAT NO. 201, PAN CARD CLUB RD, BANER HILLS, BANER, PUNE, MAHARASHTRA</t>
  </si>
  <si>
    <t>Garkheda Parisar Road_x000D_
Plot No 5</t>
  </si>
  <si>
    <t>ST FRANCES DE SALES HIGH SCHOOL</t>
  </si>
  <si>
    <t>JIJAMATA ARTS &amp; SCIENCE JR.COLLEGE</t>
  </si>
  <si>
    <t>AURANGABAD</t>
  </si>
  <si>
    <t>D. BATU UNIVERSITY</t>
  </si>
  <si>
    <t>JAWAHARLAL NEHRU ENGINEERING COLLEGE</t>
  </si>
  <si>
    <t>AutoCAD,MS Office,MS Project,Sketch Up,Lumion,ArcGIS,Photoshop,Rivet,3DS Max,Vray</t>
  </si>
  <si>
    <t>Reflex Architects | Jr. Architect | Baner, Pune | Jan 2025 | Jul 2025 | 0Y 6M | 1.5</t>
  </si>
  <si>
    <t>Tanishqa architects and planning | Architect | Baner, Pune | Jan 2023 | May 2023 | 19.285714285714 Weeks</t>
  </si>
  <si>
    <t>3DS Max
Holi Polloi Workshop</t>
  </si>
  <si>
    <t>P25704024</t>
  </si>
  <si>
    <t>Riya Mukesh Jain</t>
  </si>
  <si>
    <t>riiyajain000@gmail.com</t>
  </si>
  <si>
    <t>p25704024@student.nicmar.ac.in</t>
  </si>
  <si>
    <t>HINDI</t>
  </si>
  <si>
    <t>6558 2567 0073</t>
  </si>
  <si>
    <t>H.n. 833, Mahsurkar Marg, Behind Anup Steel And Beside Kumar Transport, Queta Colony, Nagpur - 440008</t>
  </si>
  <si>
    <t>CENTRAL INDIA PUBLIC SCHOOL, NAGPUR</t>
  </si>
  <si>
    <t>LATE. NIRDHAN PATIL WAGHAYE ART'S &amp; SCIENCE JR. COLLEGE, LAKHNI</t>
  </si>
  <si>
    <t>INSTITUTE OF DESIGN EDUCTAION AND ARCHITECTURAL STUDIES, NAGPUR, MAHARASHTRA</t>
  </si>
  <si>
    <t>AutoCAD,sketchup,power point,photoshop,enscape,ArcGIS,Lumion,Excel,Canva,D5,Revit,AutoCAD,Procreate</t>
  </si>
  <si>
    <t>Akruti Concept Studio | Architectural Intern | Pune | Jan 2024 | May 2024 | 19.571428571429 Weeks</t>
  </si>
  <si>
    <t>P25704025</t>
  </si>
  <si>
    <t>MEHARE</t>
  </si>
  <si>
    <t>Shivani Deepak Mehare</t>
  </si>
  <si>
    <t>shivanimehare102@gmail.com</t>
  </si>
  <si>
    <t>p25704025@student.nicmar.ac.in</t>
  </si>
  <si>
    <t>24-Jan-2002</t>
  </si>
  <si>
    <t>5295 6022 0180</t>
  </si>
  <si>
    <t>DEEPAK MEHARE</t>
  </si>
  <si>
    <t>USHA DEEPAK MEHARE</t>
  </si>
  <si>
    <t>RAVI NAGAR, RING ROAD, KAULKHED, AKOLA.</t>
  </si>
  <si>
    <t>THE NOEL ENGLISH SCHOOL, AKOLA</t>
  </si>
  <si>
    <t>AMRAVATI DIVISIONAL BOARD</t>
  </si>
  <si>
    <t>SUDHARKARRAO NAIK ARTS, SCIENCE &amp; UMASHANKAR KHETAN COMMERCE JR. COLLEGE AKOLA</t>
  </si>
  <si>
    <t>AutoCAD,MS Office,Sketchup,photoshop,Revit</t>
  </si>
  <si>
    <t>ANDSPACES CONSULTANTS PVT. LTD. | ARCHITECTURAL INTERN | PUNE | Jun 2024 | Nov 2024 | 24 Weeks</t>
  </si>
  <si>
    <t>P25704026</t>
  </si>
  <si>
    <t>VASUDHA</t>
  </si>
  <si>
    <t>Vasudha Gajanan Thakur</t>
  </si>
  <si>
    <t>vasudhathakur03@gmail.com</t>
  </si>
  <si>
    <t>p25704026@student.nicmar.ac.in</t>
  </si>
  <si>
    <t>30-Nov-2001</t>
  </si>
  <si>
    <t>6744 6536 7254</t>
  </si>
  <si>
    <t>GAJANAN JANARDAN THAKUR</t>
  </si>
  <si>
    <t>SUNITA GAJANAN THAKUR</t>
  </si>
  <si>
    <t>H.No.936, Kegaon - Aweda, PO.- Uran, Dist.-Raigad, Maharashtra, 400702</t>
  </si>
  <si>
    <t>URAN EDUCATION SOCIETY'S ENGLISH MEDIUM SCHOOL</t>
  </si>
  <si>
    <t>URAN EDUCATION SOCIETY'S ENGLISH MEDIUM SCHOOL AND JR. COLLEGE</t>
  </si>
  <si>
    <t>AutoCAD,MS Office,GIS,SketchUp,VRay,Photoshop,Enscape,Lumion</t>
  </si>
  <si>
    <t>ASC ARCHITECTS AND INTERIOR DESIGNERS | INTERN | NAVI MUMBAI | Nov 2022 | Mar 2023 | 18.571428571429 Weeks</t>
  </si>
  <si>
    <t>P25704027</t>
  </si>
  <si>
    <t>KUMAWAT</t>
  </si>
  <si>
    <t>Pranjal Vishnu Kumawat</t>
  </si>
  <si>
    <t>pranjalvkumawat2003@gmail.com</t>
  </si>
  <si>
    <t>p25704027@student.nicmar.ac.in</t>
  </si>
  <si>
    <t>9404 1240 3958</t>
  </si>
  <si>
    <t>VISHNU SHANTARAM KUMAWAT</t>
  </si>
  <si>
    <t>NIRMALA VISHNU KUMAWAT</t>
  </si>
  <si>
    <t>Plot No 47 , Agarkar Mala , Arban Bank Colony , Station Road , Ahmednagar , Maharashtra</t>
  </si>
  <si>
    <t>BHAUSAHEB FIRODIYA HIGH SCHOOL AHMEDNAGAR</t>
  </si>
  <si>
    <t>BHAUSAHEB FIRODIYA JUNIOR COLLEGE , AHMEDNAGAR</t>
  </si>
  <si>
    <t>SAVITRIBAI PHULE UNIVERSITY , PUNE</t>
  </si>
  <si>
    <t>DR. BHANUBEN NANAVATI COLLEGE OF ARCHITECTURE FOR WOMEN , PUNE</t>
  </si>
  <si>
    <t>PTV Visum,PTV Vissim,ArcGIS Pro,AutoCAD,MS Office,Revit,Sketchup,Photoshop</t>
  </si>
  <si>
    <t>Pune Municipal Corporation | Intern | Pune | May 2026 | Jul 2026 | 9 Weeks | Campus Internship
AR AND ASSOCIATES | ARCHITECTURAL INTERN | PANJIM,GOA | Jun 2024 | Nov 2024 | 24 Weeks</t>
  </si>
  <si>
    <t>P25704028</t>
  </si>
  <si>
    <t>DIVESH</t>
  </si>
  <si>
    <t>BHONDAVE</t>
  </si>
  <si>
    <t>Divesh Prakash Bhondave</t>
  </si>
  <si>
    <t>diveshbhondave06@gmail.com</t>
  </si>
  <si>
    <t>p25704028@student.nicmar.ac.in</t>
  </si>
  <si>
    <t>9023 7029 9223</t>
  </si>
  <si>
    <t>PRADNYA BHONDAVE</t>
  </si>
  <si>
    <t>At Post- Abitghar,Tal-Wada,Dist-Palghar</t>
  </si>
  <si>
    <t>A. L. C. JUNIOR COLLEGE</t>
  </si>
  <si>
    <t>SECONDARY AND HIGHER SECONDARY EDUCATION,PUNE,MAHARASHTRA</t>
  </si>
  <si>
    <t>DATTA MEGHE COLLEGE OF ENGINEERING, MUMBAI, MAHARASHTRA</t>
  </si>
  <si>
    <t>Richa Building Material Supplier &amp; Developer | Intern | WADA | Jun 2024 | Jul 2024 | 4.2857142857143 Weeks</t>
  </si>
  <si>
    <t>P25704029</t>
  </si>
  <si>
    <t>Sahil Vilas Ingale</t>
  </si>
  <si>
    <t>ingalesahi007@gmail.com</t>
  </si>
  <si>
    <t>p25704029@student.nicmar.ac.in</t>
  </si>
  <si>
    <t>6147 4616 9132</t>
  </si>
  <si>
    <t>FLAT NO 404,G-BUILDING,WHISPERING WINDS PHASE 2,BANER PASHAN LINK ROAD,PASHAN 411021</t>
  </si>
  <si>
    <t>A/P RAJURI, KRUSHNKUNJ HOUSE NEAR RAJLAKSHMI BAZAR,KURAVALIPATI CHOWK RAJURI ,PUNE-PANDHARPUR ROAD,TAL-PHALTAN DIS-SATARA</t>
  </si>
  <si>
    <t>SHANTINIKETAN SEC. AND HIGH SEC. VIDYMANDIR SANGLI</t>
  </si>
  <si>
    <t>DR.CHANDRABHANU SONAVANE JUNIOR COLLEGE,UKKADGOAN,SOLAPUR</t>
  </si>
  <si>
    <t>SINHGAD COLLEGE OF ARCHITECTURE,VADGOAN</t>
  </si>
  <si>
    <t>AutoCAD,MS Office,MS Project,REVIT,SKETCHUP,LUMION,ENSCAPE,ArcGIS,CANVA</t>
  </si>
  <si>
    <t>BHANSALI &amp; ASSOCIATES | JUNIOR ARCHITECT | PUNE | Aug 2024 | Aug 2025 | 1Y 0M | 2.16</t>
  </si>
  <si>
    <t>P25704030</t>
  </si>
  <si>
    <t>DETHE</t>
  </si>
  <si>
    <t>Nupur Rahul Dethe</t>
  </si>
  <si>
    <t>nupurdethe@gmail.com</t>
  </si>
  <si>
    <t>p25704030@student.nicmar.ac.in</t>
  </si>
  <si>
    <t>7447 7000 2048</t>
  </si>
  <si>
    <t>RAHUL ATMARAM DETHE</t>
  </si>
  <si>
    <t>EMPLOYEEAT WESTERN COAL MINES</t>
  </si>
  <si>
    <t>VAISHALI RAHUL DETHE</t>
  </si>
  <si>
    <t>Choriya Layout Behind Kalpana Marbles_x000D_
Rahul Dethe House</t>
  </si>
  <si>
    <t>MACAROON STUDENTS ACADEMY WADAGAON YAVATMAL</t>
  </si>
  <si>
    <t>SINHGAD COLLEGE OF ARCHITECTURE VADGAON PUNE</t>
  </si>
  <si>
    <t>National Institute of Urban Affairs  | Urban Planning Intern | Delhi | May 2026 | Jul 2026 | 8.7142857142857 Weeks | Campus Internship
Group Consultants | Intern Architect | Pune | Jul 2024 | Oct 2024 | 17.428571428571 Weeks</t>
  </si>
  <si>
    <t>P25704032</t>
  </si>
  <si>
    <t>APURV</t>
  </si>
  <si>
    <t>Apurv Rajesh Thakur</t>
  </si>
  <si>
    <t>apurv1603@gmail.com</t>
  </si>
  <si>
    <t>p25704032@student.nicmar.ac.in</t>
  </si>
  <si>
    <t>6599 0336 1008</t>
  </si>
  <si>
    <t>HOUSE NO.358, NEAR GANRAJ APPT, MAHATAVLI,NAGAON RD URAN, NEAR ONGC MAIN GATE, URAN, NAVI MUMBAI, 400702</t>
  </si>
  <si>
    <t>Near Vitthal Mandir, Bhendkhal At Post JNPT Uran Navi Mumbai</t>
  </si>
  <si>
    <t>URAN EDUCATION SOCIETY ENGLISH MEDIUM SCHOOL,URAN</t>
  </si>
  <si>
    <t>MAHARASHTRA STATE BOARD OF SECONDARY AND HIGHER SECONDARY EDUCATION MAHARASHTRA</t>
  </si>
  <si>
    <t>URAN EDUCATION SOCIETY ENGLISH MEDIUM SCHOOL &amp; JR. COLLEGE URAN</t>
  </si>
  <si>
    <t>ANJUMAN-I-ISLAM KALSEKAR TECHNICAL CAMPUS PANVEL, MAHARASHTRA</t>
  </si>
  <si>
    <t>AutoCAD,MS Office,GIS,Sktech up,Enscape,Photoshop</t>
  </si>
  <si>
    <t>CITY AND INDUSTRIAL DEVELOPMENT CORPORATION (CIDCO) | ARCHITECTURAL INTERN | BELAPUR- NAVI MUMBAI | Dec 2022 | Apr 2023 | 18.571428571429 Weeks</t>
  </si>
  <si>
    <t>P25704033</t>
  </si>
  <si>
    <t>WANKHADE</t>
  </si>
  <si>
    <t>Disha Atul Wankhade</t>
  </si>
  <si>
    <t>dishaawankhade3@gmail.com</t>
  </si>
  <si>
    <t>p25704033@student.nicmar.ac.in</t>
  </si>
  <si>
    <t>4347 1724 0559</t>
  </si>
  <si>
    <t>Niwara Construction, Vardhaman Nagar, Drawha- 445202, Dist.- Yavatmal</t>
  </si>
  <si>
    <t>JIJAMATA GIRLS HIGHSCHOOL, DARWHA- 445202, DIST.- YAVATMAL</t>
  </si>
  <si>
    <t>AMRAVATI BOARD, MAHARASHTRA</t>
  </si>
  <si>
    <t>SHRI. SHIVAJI JUNIOR COLLEGE, DARWHA- 445202, DIST.- YAVATMAL</t>
  </si>
  <si>
    <t>SINHGAD COLLEGE OF ARCHITECTURE, PUNE</t>
  </si>
  <si>
    <t>AutoCAD,MS Office,ArcGIS,Photoshop,Indesign</t>
  </si>
  <si>
    <t>Ignitus Architectural Studio | Architectural Intern | Ahmedabad | Jul 2024 | Nov 2024 | 21.714285714286 Weeks</t>
  </si>
  <si>
    <t>P25704034</t>
  </si>
  <si>
    <t>AAYUSHI</t>
  </si>
  <si>
    <t>ANANTA</t>
  </si>
  <si>
    <t>NANDANWAR</t>
  </si>
  <si>
    <t>Aayushi Ananta Nandanwar</t>
  </si>
  <si>
    <t>aayu262001@gmail.com</t>
  </si>
  <si>
    <t>p25704034@student.nicmar.ac.in</t>
  </si>
  <si>
    <t>26-Oct-2001</t>
  </si>
  <si>
    <t>4898 2527 3992</t>
  </si>
  <si>
    <t>ANANTA NANDANWAR</t>
  </si>
  <si>
    <t>RETIRED CLERK</t>
  </si>
  <si>
    <t>ANITA NANDANWAR</t>
  </si>
  <si>
    <t>Plot No.01, Mahavir Colony, Tirora Road, Kudwa, Gondia-441614</t>
  </si>
  <si>
    <t>GUJARATI NATIONAL HIGH SCHOOL, GONDIA</t>
  </si>
  <si>
    <t>S.M. PATEL JUNIOR COLLEGE, GONDIA</t>
  </si>
  <si>
    <t>DR. D.Y. PATIL COLLEGE OF ARCHITECTURE, AKURDI, PUNE</t>
  </si>
  <si>
    <t>AutoCAD,MS Office,MS Project,SketchUp,Lumion,Procreate,Photoshop,Enscape,Revit,ArcGIS</t>
  </si>
  <si>
    <t>ORIGIN ASSOCIATES | Architecture Firm | BALEWADI, PUNE | Jun 2024 | Nov 2024 | 21.857142857143 Weeks</t>
  </si>
  <si>
    <t>Software Courses
UX/UI Design Course</t>
  </si>
  <si>
    <t>P25704035</t>
  </si>
  <si>
    <t>BURUNGALE</t>
  </si>
  <si>
    <t>Rushikesh Vinod Burungale</t>
  </si>
  <si>
    <t>rushikeshburungale9913@gmail.com</t>
  </si>
  <si>
    <t>p25704035@student.nicmar.ac.in</t>
  </si>
  <si>
    <t>2028 6131 7665</t>
  </si>
  <si>
    <t>VINOD BURUNGALE</t>
  </si>
  <si>
    <t>RATNAPRABHA BURUNGALE</t>
  </si>
  <si>
    <t>Shivnagar, Malegaon Bk, Baramati, Pune</t>
  </si>
  <si>
    <t>SHARDABAI PAWAR VIDYALAYA, SHIV NAGAR, MALEGAON BK, BARAMATI, PUNE</t>
  </si>
  <si>
    <t>MAHARASHTRA STATE BOARD FOR SECONDARY AND HIGHER SECONDARY EDUCATION, PUNE</t>
  </si>
  <si>
    <t>VIDYA PRATISHTHAN'S ART, SCIENCE, COMMERCE COLLEGE, BARAMATI</t>
  </si>
  <si>
    <t>AutoCAD,MS Office,MS Project,Sketchup,Lumion,Photoshop,Revit,VRay,Enscape,ArcGIS</t>
  </si>
  <si>
    <t>Mahesh Jarad Associates | Junior Draftsman | Baramati | Jul 2018 | Jun 2019 | 0Y 11M | 1.2
Awishkar Architects | Assistant Architect | Baramati | Jun 2024 | Jun 2025 | 1Y 0M | 3</t>
  </si>
  <si>
    <t>AJ Architects and Interior Designers Private Limited | Architectural Firm | Erandawane, Pune | Jun 2023 | Oct 2023 | 19 Weeks</t>
  </si>
  <si>
    <t>NPTEL- Introduction to Urban Planning
Software Courses
Computer-aided Design Course</t>
  </si>
  <si>
    <t>P25704036</t>
  </si>
  <si>
    <t>MAHENDRAKUMAR</t>
  </si>
  <si>
    <t>AYYER</t>
  </si>
  <si>
    <t>Divya Mahendrakumar Ayyer</t>
  </si>
  <si>
    <t>ayyerdivi15@gmail.com</t>
  </si>
  <si>
    <t>p25704036@student.nicmar.ac.in</t>
  </si>
  <si>
    <t>28-May-2002</t>
  </si>
  <si>
    <t>2093 5777 8103</t>
  </si>
  <si>
    <t>MAHENDRA KUMAR AYYER</t>
  </si>
  <si>
    <t>JYOTI M. AYYER</t>
  </si>
  <si>
    <t>C/o Grishma Yadav, Hingna Road ,opp. Balode Layout, Akola</t>
  </si>
  <si>
    <t>CENTRAL BOARD OF SECONDARY EDUCATION , AKOLA, MAHARASTRA</t>
  </si>
  <si>
    <t>MOUNT CARMEL HIGHER SECONDARY SCHOOL</t>
  </si>
  <si>
    <t>BHANUBEN NANAVATI COLLEGE COLLEGE OF ARCHITECTURE</t>
  </si>
  <si>
    <t>AutoCAD,MS Office,Sketchup,photoshop,revit</t>
  </si>
  <si>
    <t xml:space="preserve"> Designshala Colaborative | Urban Planning Intern  | Pune | May 2026 | Jun 2026 | 0Y 1M</t>
  </si>
  <si>
    <t>0 Years 1 Month</t>
  </si>
  <si>
    <t>N H ARCHITECTS | ARCHITECTURAL INTERN | AHMEDABAD | Jun 2024 | Dec 2024 | 28 Weeks</t>
  </si>
  <si>
    <t>P25704038</t>
  </si>
  <si>
    <t>Abhishek Arun Patil</t>
  </si>
  <si>
    <t>patilabhishekarun@gmail.com</t>
  </si>
  <si>
    <t>p25704038@student.nicmar.ac.in</t>
  </si>
  <si>
    <t>5228 7523 2164</t>
  </si>
  <si>
    <t>ARUN SHANKAR PATIL</t>
  </si>
  <si>
    <t>MEGHA ARUN PATIL</t>
  </si>
  <si>
    <t>Kegaon Bazarpur Uran 400702</t>
  </si>
  <si>
    <t>URAN EDUCATION SOCIETY ENGLISH MEDIUM SCHOOL</t>
  </si>
  <si>
    <t>URAN EDUCATION SOCIETY ENGLISH MEDIUM SCHOOL &amp; JUNIOR COLLEGE</t>
  </si>
  <si>
    <t>VISHWANIKETAN COLLEGE OF ARCHITECTURE</t>
  </si>
  <si>
    <t>AutoCAD,MS Office,SKETCHUP,REVIT,GIS,ENSCAPE,VRAY,LUMION</t>
  </si>
  <si>
    <t>CITY  AND INSUSTRIAL DEVELOPMENT CORPORATION (CIDCO) | ARCHITECTURAL INTERN  | BELAPUR  | Nov 2023 | Feb 2024 | 15.714285714286 Weeks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</si>
</sst>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0" numFmtId="0" fillId="0" borderId="1" applyFont="0" applyNumberFormat="0" applyFill="0" applyBorder="1" applyAlignment="1">
      <alignment vertical="top"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nconnect.nicmar.ac.in/storage/profile/6a186e8559d6d.png" TargetMode="External"/><Relationship Id="rId_hyperlink_2" Type="http://schemas.openxmlformats.org/officeDocument/2006/relationships/hyperlink" Target="https://nconnect.nicmar.ac.in/storage/profile/6a196fd27d491.png" TargetMode="External"/><Relationship Id="rId_hyperlink_3" Type="http://schemas.openxmlformats.org/officeDocument/2006/relationships/hyperlink" Target="https://nconnect.nicmar.ac.in/storage/profile/6a1ad19432c21.png" TargetMode="External"/><Relationship Id="rId_hyperlink_4" Type="http://schemas.openxmlformats.org/officeDocument/2006/relationships/hyperlink" Target="https://nconnect.nicmar.ac.in/storage/profile/6a1d16cec8cd8.png" TargetMode="External"/><Relationship Id="rId_hyperlink_5" Type="http://schemas.openxmlformats.org/officeDocument/2006/relationships/hyperlink" Target="https://nconnect.nicmar.ac.in/storage/profile/6a1d1c679672f.png" TargetMode="External"/><Relationship Id="rId_hyperlink_6" Type="http://schemas.openxmlformats.org/officeDocument/2006/relationships/hyperlink" Target="https://nconnect.nicmar.ac.in/storage/profile/6a1b1b9e21425.png" TargetMode="External"/><Relationship Id="rId_hyperlink_7" Type="http://schemas.openxmlformats.org/officeDocument/2006/relationships/hyperlink" Target="https://nconnect.nicmar.ac.in/storage/profile/6a1bc2191055c.png" TargetMode="External"/><Relationship Id="rId_hyperlink_8" Type="http://schemas.openxmlformats.org/officeDocument/2006/relationships/hyperlink" Target="https://nconnect.nicmar.ac.in/storage/profile/6a1bc683727f9.png" TargetMode="External"/><Relationship Id="rId_hyperlink_9" Type="http://schemas.openxmlformats.org/officeDocument/2006/relationships/hyperlink" Target="https://nconnect.nicmar.ac.in/storage/profile/6a1c1d386b69b.png" TargetMode="External"/><Relationship Id="rId_hyperlink_10" Type="http://schemas.openxmlformats.org/officeDocument/2006/relationships/hyperlink" Target="https://nconnect.nicmar.ac.in/storage/profile/6a1c40dde72e1.png" TargetMode="External"/><Relationship Id="rId_hyperlink_11" Type="http://schemas.openxmlformats.org/officeDocument/2006/relationships/hyperlink" Target="https://nconnect.nicmar.ac.in/storage/profile/6a1c46dc90bab.png" TargetMode="External"/><Relationship Id="rId_hyperlink_12" Type="http://schemas.openxmlformats.org/officeDocument/2006/relationships/hyperlink" Target="https://nconnect.nicmar.ac.in/storage/profile/6a1c4c4fce923.png" TargetMode="External"/><Relationship Id="rId_hyperlink_13" Type="http://schemas.openxmlformats.org/officeDocument/2006/relationships/hyperlink" Target="https://nconnect.nicmar.ac.in/storage/profile/6a1c4ef70c260.png" TargetMode="External"/><Relationship Id="rId_hyperlink_14" Type="http://schemas.openxmlformats.org/officeDocument/2006/relationships/hyperlink" Target="https://nconnect.nicmar.ac.in/storage/profile/6a1eab79188f8.png" TargetMode="External"/><Relationship Id="rId_hyperlink_15" Type="http://schemas.openxmlformats.org/officeDocument/2006/relationships/hyperlink" Target="https://nconnect.nicmar.ac.in/storage/profile/6a1eba10eb6f1.png" TargetMode="External"/><Relationship Id="rId_hyperlink_16" Type="http://schemas.openxmlformats.org/officeDocument/2006/relationships/hyperlink" Target="https://nconnect.nicmar.ac.in/storage/profile/6a1fa4f8604ae.png" TargetMode="External"/><Relationship Id="rId_hyperlink_17" Type="http://schemas.openxmlformats.org/officeDocument/2006/relationships/hyperlink" Target="https://nconnect.nicmar.ac.in/storage/profile/6a1fadfe61e9d.png" TargetMode="External"/><Relationship Id="rId_hyperlink_18" Type="http://schemas.openxmlformats.org/officeDocument/2006/relationships/hyperlink" Target="https://nconnect.nicmar.ac.in/storage/profile/6a1fc411369af.png" TargetMode="External"/><Relationship Id="rId_hyperlink_19" Type="http://schemas.openxmlformats.org/officeDocument/2006/relationships/hyperlink" Target="https://nconnect.nicmar.ac.in/storage/profile/6a1ff84bd9c64.png" TargetMode="External"/><Relationship Id="rId_hyperlink_20" Type="http://schemas.openxmlformats.org/officeDocument/2006/relationships/hyperlink" Target="https://nconnect.nicmar.ac.in/storage/profile/6a20f9c0b49b0.png" TargetMode="External"/><Relationship Id="rId_hyperlink_21" Type="http://schemas.openxmlformats.org/officeDocument/2006/relationships/hyperlink" Target="https://nconnect.nicmar.ac.in/storage/profile/6a2103f0b6786.png" TargetMode="External"/><Relationship Id="rId_hyperlink_22" Type="http://schemas.openxmlformats.org/officeDocument/2006/relationships/hyperlink" Target="https://nconnect.nicmar.ac.in/storage/profile/6a210ba0cac18.png" TargetMode="External"/><Relationship Id="rId_hyperlink_23" Type="http://schemas.openxmlformats.org/officeDocument/2006/relationships/hyperlink" Target="https://nconnect.nicmar.ac.in/storage/profile/6a21173ac4788.png" TargetMode="External"/><Relationship Id="rId_hyperlink_24" Type="http://schemas.openxmlformats.org/officeDocument/2006/relationships/hyperlink" Target="https://nconnect.nicmar.ac.in/storage/profile/6a211eb83dc01.png" TargetMode="External"/><Relationship Id="rId_hyperlink_25" Type="http://schemas.openxmlformats.org/officeDocument/2006/relationships/hyperlink" Target="https://nconnect.nicmar.ac.in/storage/profile/6a21248d96303.png" TargetMode="External"/><Relationship Id="rId_hyperlink_26" Type="http://schemas.openxmlformats.org/officeDocument/2006/relationships/hyperlink" Target="https://nconnect.nicmar.ac.in/storage/profile/6a213e6b214b4.png" TargetMode="External"/><Relationship Id="rId_hyperlink_27" Type="http://schemas.openxmlformats.org/officeDocument/2006/relationships/hyperlink" Target="https://nconnect.nicmar.ac.in/storage/profile/6a2144da8acc0.png" TargetMode="External"/><Relationship Id="rId_hyperlink_28" Type="http://schemas.openxmlformats.org/officeDocument/2006/relationships/hyperlink" Target="https://nconnect.nicmar.ac.in/storage/profile/6a215333ef911.png" TargetMode="External"/><Relationship Id="rId_hyperlink_29" Type="http://schemas.openxmlformats.org/officeDocument/2006/relationships/hyperlink" Target="https://nconnect.nicmar.ac.in/storage/profile/6a215af3bfa89.png" TargetMode="External"/><Relationship Id="rId_hyperlink_30" Type="http://schemas.openxmlformats.org/officeDocument/2006/relationships/hyperlink" Target="https://nconnect.nicmar.ac.in/storage/profile/6a2151e4b96fb.png" TargetMode="External"/><Relationship Id="rId_hyperlink_31" Type="http://schemas.openxmlformats.org/officeDocument/2006/relationships/hyperlink" Target="https://nconnect.nicmar.ac.in/storage/profile/6a213db498d95.png" TargetMode="External"/><Relationship Id="rId_hyperlink_32" Type="http://schemas.openxmlformats.org/officeDocument/2006/relationships/hyperlink" Target="https://nconnect.nicmar.ac.in/storage/profile/6a2122372a8fe.png" TargetMode="External"/><Relationship Id="rId_hyperlink_33" Type="http://schemas.openxmlformats.org/officeDocument/2006/relationships/hyperlink" Target="https://nconnect.nicmar.ac.in/storage/profile/6a2117038be45.png" TargetMode="External"/><Relationship Id="rId_hyperlink_34" Type="http://schemas.openxmlformats.org/officeDocument/2006/relationships/hyperlink" Target="https://nconnect.nicmar.ac.in/storage/profile/6a210dbd65393.png" TargetMode="External"/><Relationship Id="rId_hyperlink_35" Type="http://schemas.openxmlformats.org/officeDocument/2006/relationships/hyperlink" Target="https://nconnect.nicmar.ac.in/storage/profile/6a20fb7964b78.png" TargetMode="External"/><Relationship Id="rId_hyperlink_36" Type="http://schemas.openxmlformats.org/officeDocument/2006/relationships/hyperlink" Target="https://nconnect.nicmar.ac.in/storage/profile/6a2011a6456bc.png" TargetMode="External"/><Relationship Id="rId_hyperlink_37" Type="http://schemas.openxmlformats.org/officeDocument/2006/relationships/hyperlink" Target="https://nconnect.nicmar.ac.in/storage/profile/6a20041f0beae.png" TargetMode="External"/><Relationship Id="rId_hyperlink_38" Type="http://schemas.openxmlformats.org/officeDocument/2006/relationships/hyperlink" Target="https://nconnect.nicmar.ac.in/storage/profile/6a26636e35111.png" TargetMode="External"/><Relationship Id="rId_hyperlink_39" Type="http://schemas.openxmlformats.org/officeDocument/2006/relationships/hyperlink" Target="https://nconnect.nicmar.ac.in/storage/profile/6a266895a2273.png" TargetMode="External"/><Relationship Id="rId_hyperlink_40" Type="http://schemas.openxmlformats.org/officeDocument/2006/relationships/hyperlink" Target="https://nconnect.nicmar.ac.in/storage/profile/6a2678a2bf61d.png" TargetMode="External"/><Relationship Id="rId_hyperlink_41" Type="http://schemas.openxmlformats.org/officeDocument/2006/relationships/hyperlink" Target="https://nconnect.nicmar.ac.in/storage/profile/6a2685caa33b5.png" TargetMode="External"/><Relationship Id="rId_hyperlink_42" Type="http://schemas.openxmlformats.org/officeDocument/2006/relationships/hyperlink" Target="https://nconnect.nicmar.ac.in/storage/profile/6a267e16ddcdb.png" TargetMode="External"/><Relationship Id="rId_hyperlink_43" Type="http://schemas.openxmlformats.org/officeDocument/2006/relationships/hyperlink" Target="https://nconnect.nicmar.ac.in/storage/profile/6a265cafc1c98.png" TargetMode="External"/><Relationship Id="rId_hyperlink_44" Type="http://schemas.openxmlformats.org/officeDocument/2006/relationships/hyperlink" Target="https://nconnect.nicmar.ac.in/storage/profile/6a26521b8c899.png" TargetMode="External"/><Relationship Id="rId_hyperlink_45" Type="http://schemas.openxmlformats.org/officeDocument/2006/relationships/hyperlink" Target="https://nconnect.nicmar.ac.in/storage/profile/6a228f22b5594.png" TargetMode="External"/><Relationship Id="rId_hyperlink_46" Type="http://schemas.openxmlformats.org/officeDocument/2006/relationships/hyperlink" Target="https://nconnect.nicmar.ac.in/storage/profile/6a229f37c4f6e.png" TargetMode="External"/><Relationship Id="rId_hyperlink_47" Type="http://schemas.openxmlformats.org/officeDocument/2006/relationships/hyperlink" Target="https://nconnect.nicmar.ac.in/storage/profile/6a22a37637792.png" TargetMode="External"/><Relationship Id="rId_hyperlink_48" Type="http://schemas.openxmlformats.org/officeDocument/2006/relationships/hyperlink" Target="https://nconnect.nicmar.ac.in/storage/profile/6a22aa8c81c79.png" TargetMode="External"/><Relationship Id="rId_hyperlink_49" Type="http://schemas.openxmlformats.org/officeDocument/2006/relationships/hyperlink" Target="https://nconnect.nicmar.ac.in/storage/profile/6a22b01e23288.png" TargetMode="External"/><Relationship Id="rId_hyperlink_50" Type="http://schemas.openxmlformats.org/officeDocument/2006/relationships/hyperlink" Target="https://nconnect.nicmar.ac.in/storage/profile/6a263d01e588c.png" TargetMode="External"/><Relationship Id="rId_hyperlink_51" Type="http://schemas.openxmlformats.org/officeDocument/2006/relationships/hyperlink" Target="https://nconnect.nicmar.ac.in/storage/profile/6a2643dfcb805.png" TargetMode="External"/><Relationship Id="rId_hyperlink_52" Type="http://schemas.openxmlformats.org/officeDocument/2006/relationships/hyperlink" Target="https://nconnect.nicmar.ac.in/storage/profile/ProfilePhoto_P25700031_379814.jpg" TargetMode="External"/><Relationship Id="rId_hyperlink_53" Type="http://schemas.openxmlformats.org/officeDocument/2006/relationships/hyperlink" Target="https://nconnect.nicmar.ac.in/storage/profile/ProfilePhoto_P25700556_563978.jpg" TargetMode="External"/><Relationship Id="rId_hyperlink_54" Type="http://schemas.openxmlformats.org/officeDocument/2006/relationships/hyperlink" Target="https://nconnect.nicmar.ac.in/storage/profile/ProfilePhoto_P25700173_738295.jpg" TargetMode="External"/><Relationship Id="rId_hyperlink_55" Type="http://schemas.openxmlformats.org/officeDocument/2006/relationships/hyperlink" Target="https://nconnect.nicmar.ac.in/storage/profile/ProfilePhoto_P25700279_169785.jpg" TargetMode="External"/><Relationship Id="rId_hyperlink_56" Type="http://schemas.openxmlformats.org/officeDocument/2006/relationships/hyperlink" Target="https://nconnect.nicmar.ac.in/storage/profile/ProfilePhoto_P25700226_217845.jpg" TargetMode="External"/><Relationship Id="rId_hyperlink_57" Type="http://schemas.openxmlformats.org/officeDocument/2006/relationships/hyperlink" Target="https://nconnect.nicmar.ac.in/storage/profile/ProfilePhoto_P25700221_715863.jpg" TargetMode="External"/><Relationship Id="rId_hyperlink_58" Type="http://schemas.openxmlformats.org/officeDocument/2006/relationships/hyperlink" Target="https://nconnect.nicmar.ac.in/storage/profile/ProfilePhoto_P25700199_537268.jpg" TargetMode="External"/><Relationship Id="rId_hyperlink_59" Type="http://schemas.openxmlformats.org/officeDocument/2006/relationships/hyperlink" Target="https://nconnect.nicmar.ac.in/storage/profile/ProfilePhoto_P25700377_893524.jpg" TargetMode="External"/><Relationship Id="rId_hyperlink_60" Type="http://schemas.openxmlformats.org/officeDocument/2006/relationships/hyperlink" Target="https://nconnect.nicmar.ac.in/storage/profile/6a65d4fbd315c.png" TargetMode="External"/><Relationship Id="rId_hyperlink_61" Type="http://schemas.openxmlformats.org/officeDocument/2006/relationships/hyperlink" Target="https://nconnect.nicmar.ac.in/storage/profile/ProfilePhoto_P25700003_859234.jpg" TargetMode="External"/><Relationship Id="rId_hyperlink_62" Type="http://schemas.openxmlformats.org/officeDocument/2006/relationships/hyperlink" Target="https://nconnect.nicmar.ac.in/storage/profile/ProfilePhoto_P25700112_517384.jpg" TargetMode="External"/><Relationship Id="rId_hyperlink_63" Type="http://schemas.openxmlformats.org/officeDocument/2006/relationships/hyperlink" Target="https://nconnect.nicmar.ac.in/storage/profile/ProfilePhoto_P25700315_842651.jpg" TargetMode="External"/><Relationship Id="rId_hyperlink_64" Type="http://schemas.openxmlformats.org/officeDocument/2006/relationships/hyperlink" Target="https://nconnect.nicmar.ac.in/storage/profile/ProfilePhoto_P25700584_287936.jpg" TargetMode="External"/><Relationship Id="rId_hyperlink_65" Type="http://schemas.openxmlformats.org/officeDocument/2006/relationships/hyperlink" Target="https://nconnect.nicmar.ac.in/storage/profile/ProfilePhoto_P25701019_941678.jpg" TargetMode="External"/><Relationship Id="rId_hyperlink_66" Type="http://schemas.openxmlformats.org/officeDocument/2006/relationships/hyperlink" Target="https://nconnect.nicmar.ac.in/storage/profile/ProfilePhoto_P25701079_578231.jpg" TargetMode="External"/><Relationship Id="rId_hyperlink_67" Type="http://schemas.openxmlformats.org/officeDocument/2006/relationships/hyperlink" Target="https://nconnect.nicmar.ac.in/storage/profile/ProfilePhoto_P25701096_463592.jpg" TargetMode="External"/><Relationship Id="rId_hyperlink_68" Type="http://schemas.openxmlformats.org/officeDocument/2006/relationships/hyperlink" Target="https://nconnect.nicmar.ac.in/storage/profile/ProfilePhoto_P25701146_485671.jpg" TargetMode="External"/><Relationship Id="rId_hyperlink_69" Type="http://schemas.openxmlformats.org/officeDocument/2006/relationships/hyperlink" Target="https://nconnect.nicmar.ac.in/storage/profile/6a658926a6983.png" TargetMode="External"/><Relationship Id="rId_hyperlink_70" Type="http://schemas.openxmlformats.org/officeDocument/2006/relationships/hyperlink" Target="https://nconnect.nicmar.ac.in/storage/profile/ProfilePhoto_P25700001_756293.jpg" TargetMode="External"/><Relationship Id="rId_hyperlink_71" Type="http://schemas.openxmlformats.org/officeDocument/2006/relationships/hyperlink" Target="https://nconnect.nicmar.ac.in/storage/profile/ProfilePhoto_P25700002_549178.jpg" TargetMode="External"/><Relationship Id="rId_hyperlink_72" Type="http://schemas.openxmlformats.org/officeDocument/2006/relationships/hyperlink" Target="https://nconnect.nicmar.ac.in/storage/profile/ProfilePhoto_P25700004_129356.jpg" TargetMode="External"/><Relationship Id="rId_hyperlink_73" Type="http://schemas.openxmlformats.org/officeDocument/2006/relationships/hyperlink" Target="https://nconnect.nicmar.ac.in/storage/profile/ProfilePhoto_P25700005_154637.jpg" TargetMode="External"/><Relationship Id="rId_hyperlink_74" Type="http://schemas.openxmlformats.org/officeDocument/2006/relationships/hyperlink" Target="https://nconnect.nicmar.ac.in/storage/profile/ProfilePhoto_P25700006_264513.jpg" TargetMode="External"/><Relationship Id="rId_hyperlink_75" Type="http://schemas.openxmlformats.org/officeDocument/2006/relationships/hyperlink" Target="https://nconnect.nicmar.ac.in/storage/profile/ProfilePhoto_P25700007_897142.jpg" TargetMode="External"/><Relationship Id="rId_hyperlink_76" Type="http://schemas.openxmlformats.org/officeDocument/2006/relationships/hyperlink" Target="https://nconnect.nicmar.ac.in/storage/profile/ProfilePhoto_P25700008_976184.jpg" TargetMode="External"/><Relationship Id="rId_hyperlink_77" Type="http://schemas.openxmlformats.org/officeDocument/2006/relationships/hyperlink" Target="https://nconnect.nicmar.ac.in/storage/profile/ProfilePhoto_P25700009_213976.jpg" TargetMode="External"/><Relationship Id="rId_hyperlink_78" Type="http://schemas.openxmlformats.org/officeDocument/2006/relationships/hyperlink" Target="https://nconnect.nicmar.ac.in/storage/profile/ProfilePhoto_P25700010_176259.jpg" TargetMode="External"/><Relationship Id="rId_hyperlink_79" Type="http://schemas.openxmlformats.org/officeDocument/2006/relationships/hyperlink" Target="https://nconnect.nicmar.ac.in/storage/profile/ProfilePhoto_P25700011_739251.jpg" TargetMode="External"/><Relationship Id="rId_hyperlink_80" Type="http://schemas.openxmlformats.org/officeDocument/2006/relationships/hyperlink" Target="https://nconnect.nicmar.ac.in/storage/profile/ProfilePhoto_P25700012_849315.jpg" TargetMode="External"/><Relationship Id="rId_hyperlink_81" Type="http://schemas.openxmlformats.org/officeDocument/2006/relationships/hyperlink" Target="https://nconnect.nicmar.ac.in/storage/profile/ProfilePhoto_P25700013_135872.jpg" TargetMode="External"/><Relationship Id="rId_hyperlink_82" Type="http://schemas.openxmlformats.org/officeDocument/2006/relationships/hyperlink" Target="https://nconnect.nicmar.ac.in/storage/profile/ProfilePhoto_P25700014_935186.jpg" TargetMode="External"/><Relationship Id="rId_hyperlink_83" Type="http://schemas.openxmlformats.org/officeDocument/2006/relationships/hyperlink" Target="https://nconnect.nicmar.ac.in/storage/profile/ProfilePhoto_P25700015_562978.jpg" TargetMode="External"/><Relationship Id="rId_hyperlink_84" Type="http://schemas.openxmlformats.org/officeDocument/2006/relationships/hyperlink" Target="https://nconnect.nicmar.ac.in/storage/profile/ProfilePhoto_P25700016_175486.jpg" TargetMode="External"/><Relationship Id="rId_hyperlink_85" Type="http://schemas.openxmlformats.org/officeDocument/2006/relationships/hyperlink" Target="https://nconnect.nicmar.ac.in/storage/profile/ProfilePhoto_P25700017_325687.jpg" TargetMode="External"/><Relationship Id="rId_hyperlink_86" Type="http://schemas.openxmlformats.org/officeDocument/2006/relationships/hyperlink" Target="https://nconnect.nicmar.ac.in/storage/profile/ProfilePhoto_P25700018_349268.jpg" TargetMode="External"/><Relationship Id="rId_hyperlink_87" Type="http://schemas.openxmlformats.org/officeDocument/2006/relationships/hyperlink" Target="https://nconnect.nicmar.ac.in/storage/profile/ProfilePhoto_P25700019_693821.jpg" TargetMode="External"/><Relationship Id="rId_hyperlink_88" Type="http://schemas.openxmlformats.org/officeDocument/2006/relationships/hyperlink" Target="https://nconnect.nicmar.ac.in/storage/profile/ProfilePhoto_P25700020_954273.jpg" TargetMode="External"/><Relationship Id="rId_hyperlink_89" Type="http://schemas.openxmlformats.org/officeDocument/2006/relationships/hyperlink" Target="https://nconnect.nicmar.ac.in/storage/profile/ProfilePhoto_P25700021_349526.jpg" TargetMode="External"/><Relationship Id="rId_hyperlink_90" Type="http://schemas.openxmlformats.org/officeDocument/2006/relationships/hyperlink" Target="https://nconnect.nicmar.ac.in/storage/profile/ProfilePhoto_P25700022_164257.jpg" TargetMode="External"/><Relationship Id="rId_hyperlink_91" Type="http://schemas.openxmlformats.org/officeDocument/2006/relationships/hyperlink" Target="https://nconnect.nicmar.ac.in/storage/profile/ProfilePhoto_P25700023_836724.jpg" TargetMode="External"/><Relationship Id="rId_hyperlink_92" Type="http://schemas.openxmlformats.org/officeDocument/2006/relationships/hyperlink" Target="https://nconnect.nicmar.ac.in/storage/profile/ProfilePhoto_P25700024_183579.jpg" TargetMode="External"/><Relationship Id="rId_hyperlink_93" Type="http://schemas.openxmlformats.org/officeDocument/2006/relationships/hyperlink" Target="https://nconnect.nicmar.ac.in/storage/profile/ProfilePhoto_P25700026_164829.jpg" TargetMode="External"/><Relationship Id="rId_hyperlink_94" Type="http://schemas.openxmlformats.org/officeDocument/2006/relationships/hyperlink" Target="https://nconnect.nicmar.ac.in/storage/profile/ProfilePhoto_P25700027_837251.jpg" TargetMode="External"/><Relationship Id="rId_hyperlink_95" Type="http://schemas.openxmlformats.org/officeDocument/2006/relationships/hyperlink" Target="https://nconnect.nicmar.ac.in/storage/profile/ProfilePhoto_P25700029_659732.jpg" TargetMode="External"/><Relationship Id="rId_hyperlink_96" Type="http://schemas.openxmlformats.org/officeDocument/2006/relationships/hyperlink" Target="https://nconnect.nicmar.ac.in/storage/profile/ProfilePhoto_P25700030_527831.jpg" TargetMode="External"/><Relationship Id="rId_hyperlink_97" Type="http://schemas.openxmlformats.org/officeDocument/2006/relationships/hyperlink" Target="https://nconnect.nicmar.ac.in/storage/profile/ProfilePhoto_P25700032_169785.jpg" TargetMode="External"/><Relationship Id="rId_hyperlink_98" Type="http://schemas.openxmlformats.org/officeDocument/2006/relationships/hyperlink" Target="https://nconnect.nicmar.ac.in/storage/profile/ProfilePhoto_P25700033_798215.jpg" TargetMode="External"/><Relationship Id="rId_hyperlink_99" Type="http://schemas.openxmlformats.org/officeDocument/2006/relationships/hyperlink" Target="https://nconnect.nicmar.ac.in/storage/profile/ProfilePhoto_P25700034_597426.jpg" TargetMode="External"/><Relationship Id="rId_hyperlink_100" Type="http://schemas.openxmlformats.org/officeDocument/2006/relationships/hyperlink" Target="https://nconnect.nicmar.ac.in/storage/profile/ProfilePhoto_P25700035_724139.jpg" TargetMode="External"/><Relationship Id="rId_hyperlink_101" Type="http://schemas.openxmlformats.org/officeDocument/2006/relationships/hyperlink" Target="https://nconnect.nicmar.ac.in/storage/profile/ProfilePhoto_P25700036_987541.jpg" TargetMode="External"/><Relationship Id="rId_hyperlink_102" Type="http://schemas.openxmlformats.org/officeDocument/2006/relationships/hyperlink" Target="https://nconnect.nicmar.ac.in/storage/profile/ProfilePhoto_P25700037_381245.jpg" TargetMode="External"/><Relationship Id="rId_hyperlink_103" Type="http://schemas.openxmlformats.org/officeDocument/2006/relationships/hyperlink" Target="https://nconnect.nicmar.ac.in/storage/profile/ProfilePhoto_P25700038_471395.jpg" TargetMode="External"/><Relationship Id="rId_hyperlink_104" Type="http://schemas.openxmlformats.org/officeDocument/2006/relationships/hyperlink" Target="https://nconnect.nicmar.ac.in/storage/profile/ProfilePhoto_P25700039_852764.jpg" TargetMode="External"/><Relationship Id="rId_hyperlink_105" Type="http://schemas.openxmlformats.org/officeDocument/2006/relationships/hyperlink" Target="https://nconnect.nicmar.ac.in/storage/profile/ProfilePhoto_P25700041_954768.jpg" TargetMode="External"/><Relationship Id="rId_hyperlink_106" Type="http://schemas.openxmlformats.org/officeDocument/2006/relationships/hyperlink" Target="https://nconnect.nicmar.ac.in/storage/profile/ProfilePhoto_P25700042_851493.jpg" TargetMode="External"/><Relationship Id="rId_hyperlink_107" Type="http://schemas.openxmlformats.org/officeDocument/2006/relationships/hyperlink" Target="https://nconnect.nicmar.ac.in/storage/profile/ProfilePhoto_P25700043_197362.jpg" TargetMode="External"/><Relationship Id="rId_hyperlink_108" Type="http://schemas.openxmlformats.org/officeDocument/2006/relationships/hyperlink" Target="https://nconnect.nicmar.ac.in/storage/profile/ProfilePhoto_P25700044_489275.jpg" TargetMode="External"/><Relationship Id="rId_hyperlink_109" Type="http://schemas.openxmlformats.org/officeDocument/2006/relationships/hyperlink" Target="https://nconnect.nicmar.ac.in/storage/profile/ProfilePhoto_P25700045_159487.jpg" TargetMode="External"/><Relationship Id="rId_hyperlink_110" Type="http://schemas.openxmlformats.org/officeDocument/2006/relationships/hyperlink" Target="https://nconnect.nicmar.ac.in/storage/profile/ProfilePhoto_P25700046_792813.jpg" TargetMode="External"/><Relationship Id="rId_hyperlink_111" Type="http://schemas.openxmlformats.org/officeDocument/2006/relationships/hyperlink" Target="https://nconnect.nicmar.ac.in/storage/profile/6a64976dc8482.png" TargetMode="External"/><Relationship Id="rId_hyperlink_112" Type="http://schemas.openxmlformats.org/officeDocument/2006/relationships/hyperlink" Target="https://nconnect.nicmar.ac.in/storage/profile/ProfilePhoto_P25700049_267981.jpg" TargetMode="External"/><Relationship Id="rId_hyperlink_113" Type="http://schemas.openxmlformats.org/officeDocument/2006/relationships/hyperlink" Target="https://nconnect.nicmar.ac.in/storage/profile/ProfilePhoto_P25700050_627491.jpg" TargetMode="External"/><Relationship Id="rId_hyperlink_114" Type="http://schemas.openxmlformats.org/officeDocument/2006/relationships/hyperlink" Target="https://nconnect.nicmar.ac.in/storage/profile/ProfilePhoto_P25700051_624359.jpg" TargetMode="External"/><Relationship Id="rId_hyperlink_115" Type="http://schemas.openxmlformats.org/officeDocument/2006/relationships/hyperlink" Target="https://nconnect.nicmar.ac.in/storage/profile/ProfilePhoto_P25700052_698342.jpg" TargetMode="External"/><Relationship Id="rId_hyperlink_116" Type="http://schemas.openxmlformats.org/officeDocument/2006/relationships/hyperlink" Target="https://nconnect.nicmar.ac.in/storage/profile/ProfilePhoto_P25700054_125897.jpg" TargetMode="External"/><Relationship Id="rId_hyperlink_117" Type="http://schemas.openxmlformats.org/officeDocument/2006/relationships/hyperlink" Target="https://nconnect.nicmar.ac.in/storage/profile/ProfilePhoto_P25700055_381546.jpg" TargetMode="External"/><Relationship Id="rId_hyperlink_118" Type="http://schemas.openxmlformats.org/officeDocument/2006/relationships/hyperlink" Target="https://nconnect.nicmar.ac.in/storage/profile/ProfilePhoto_P25700056_462197.jpg" TargetMode="External"/><Relationship Id="rId_hyperlink_119" Type="http://schemas.openxmlformats.org/officeDocument/2006/relationships/hyperlink" Target="https://nconnect.nicmar.ac.in/storage/profile/ProfilePhoto_P25700057_983714.jpg" TargetMode="External"/><Relationship Id="rId_hyperlink_120" Type="http://schemas.openxmlformats.org/officeDocument/2006/relationships/hyperlink" Target="https://nconnect.nicmar.ac.in/storage/profile/ProfilePhoto_P25700058_548397.jpg" TargetMode="External"/><Relationship Id="rId_hyperlink_121" Type="http://schemas.openxmlformats.org/officeDocument/2006/relationships/hyperlink" Target="https://nconnect.nicmar.ac.in/storage/profile/ProfilePhoto_P25700059_679482.jpg" TargetMode="External"/><Relationship Id="rId_hyperlink_122" Type="http://schemas.openxmlformats.org/officeDocument/2006/relationships/hyperlink" Target="https://nconnect.nicmar.ac.in/storage/profile/ProfilePhoto_P25700060_469738.jpg" TargetMode="External"/><Relationship Id="rId_hyperlink_123" Type="http://schemas.openxmlformats.org/officeDocument/2006/relationships/hyperlink" Target="https://nconnect.nicmar.ac.in/storage/profile/ProfilePhoto_P25700061_348925.jpg" TargetMode="External"/><Relationship Id="rId_hyperlink_124" Type="http://schemas.openxmlformats.org/officeDocument/2006/relationships/hyperlink" Target="https://nconnect.nicmar.ac.in/storage/profile/ProfilePhoto_P25700063_819562.jpg" TargetMode="External"/><Relationship Id="rId_hyperlink_125" Type="http://schemas.openxmlformats.org/officeDocument/2006/relationships/hyperlink" Target="https://nconnect.nicmar.ac.in/storage/profile/ProfilePhoto_P25700064_658724.jpg" TargetMode="External"/><Relationship Id="rId_hyperlink_126" Type="http://schemas.openxmlformats.org/officeDocument/2006/relationships/hyperlink" Target="https://nconnect.nicmar.ac.in/storage/profile/ProfilePhoto_P25700065_754213.jpg" TargetMode="External"/><Relationship Id="rId_hyperlink_127" Type="http://schemas.openxmlformats.org/officeDocument/2006/relationships/hyperlink" Target="https://nconnect.nicmar.ac.in/storage/profile/ProfilePhoto_P25700066_218945.jpg" TargetMode="External"/><Relationship Id="rId_hyperlink_128" Type="http://schemas.openxmlformats.org/officeDocument/2006/relationships/hyperlink" Target="https://nconnect.nicmar.ac.in/storage/profile/ProfilePhoto_P25700067_296354.jpg" TargetMode="External"/><Relationship Id="rId_hyperlink_129" Type="http://schemas.openxmlformats.org/officeDocument/2006/relationships/hyperlink" Target="https://nconnect.nicmar.ac.in/storage/profile/ProfilePhoto_P25700068_416927.jpg" TargetMode="External"/><Relationship Id="rId_hyperlink_130" Type="http://schemas.openxmlformats.org/officeDocument/2006/relationships/hyperlink" Target="https://nconnect.nicmar.ac.in/storage/profile/ProfilePhoto_P25700069_452369.jpg" TargetMode="External"/><Relationship Id="rId_hyperlink_131" Type="http://schemas.openxmlformats.org/officeDocument/2006/relationships/hyperlink" Target="https://nconnect.nicmar.ac.in/storage/profile/ProfilePhoto_P25700070_589147.jpg" TargetMode="External"/><Relationship Id="rId_hyperlink_132" Type="http://schemas.openxmlformats.org/officeDocument/2006/relationships/hyperlink" Target="https://nconnect.nicmar.ac.in/storage/profile/ProfilePhoto_P25700071_679325.jpg" TargetMode="External"/><Relationship Id="rId_hyperlink_133" Type="http://schemas.openxmlformats.org/officeDocument/2006/relationships/hyperlink" Target="https://nconnect.nicmar.ac.in/storage/profile/ProfilePhoto_P25700072_317845.jpg" TargetMode="External"/><Relationship Id="rId_hyperlink_134" Type="http://schemas.openxmlformats.org/officeDocument/2006/relationships/hyperlink" Target="https://nconnect.nicmar.ac.in/storage/profile/ProfilePhoto_P25700073_752198.jpg" TargetMode="External"/><Relationship Id="rId_hyperlink_135" Type="http://schemas.openxmlformats.org/officeDocument/2006/relationships/hyperlink" Target="https://nconnect.nicmar.ac.in/storage/profile/ProfilePhoto_P25700074_653724.jpg" TargetMode="External"/><Relationship Id="rId_hyperlink_136" Type="http://schemas.openxmlformats.org/officeDocument/2006/relationships/hyperlink" Target="https://nconnect.nicmar.ac.in/storage/profile/ProfilePhoto_P25700075_647825.jpg" TargetMode="External"/><Relationship Id="rId_hyperlink_137" Type="http://schemas.openxmlformats.org/officeDocument/2006/relationships/hyperlink" Target="https://nconnect.nicmar.ac.in/storage/profile/ProfilePhoto_P25700076_896241.jpg" TargetMode="External"/><Relationship Id="rId_hyperlink_138" Type="http://schemas.openxmlformats.org/officeDocument/2006/relationships/hyperlink" Target="https://nconnect.nicmar.ac.in/storage/profile/ProfilePhoto_P25700077_256193.jpg" TargetMode="External"/><Relationship Id="rId_hyperlink_139" Type="http://schemas.openxmlformats.org/officeDocument/2006/relationships/hyperlink" Target="https://nconnect.nicmar.ac.in/storage/profile/ProfilePhoto_P25700078_578396.jpg" TargetMode="External"/><Relationship Id="rId_hyperlink_140" Type="http://schemas.openxmlformats.org/officeDocument/2006/relationships/hyperlink" Target="https://nconnect.nicmar.ac.in/storage/profile/ProfilePhoto_P25700079_752381.jpg" TargetMode="External"/><Relationship Id="rId_hyperlink_141" Type="http://schemas.openxmlformats.org/officeDocument/2006/relationships/hyperlink" Target="https://nconnect.nicmar.ac.in/storage/profile/ProfilePhoto_P25700080_357284.jpg" TargetMode="External"/><Relationship Id="rId_hyperlink_142" Type="http://schemas.openxmlformats.org/officeDocument/2006/relationships/hyperlink" Target="https://nconnect.nicmar.ac.in/storage/profile/ProfilePhoto_P25700081_978456.jpg" TargetMode="External"/><Relationship Id="rId_hyperlink_143" Type="http://schemas.openxmlformats.org/officeDocument/2006/relationships/hyperlink" Target="https://nconnect.nicmar.ac.in/storage/profile/ProfilePhoto_P25700082_853691.jpg" TargetMode="External"/><Relationship Id="rId_hyperlink_144" Type="http://schemas.openxmlformats.org/officeDocument/2006/relationships/hyperlink" Target="https://nconnect.nicmar.ac.in/storage/profile/ProfilePhoto_P25700083_543168.jpg" TargetMode="External"/><Relationship Id="rId_hyperlink_145" Type="http://schemas.openxmlformats.org/officeDocument/2006/relationships/hyperlink" Target="https://nconnect.nicmar.ac.in/storage/profile/ProfilePhoto_P25700084_671924.jpg" TargetMode="External"/><Relationship Id="rId_hyperlink_146" Type="http://schemas.openxmlformats.org/officeDocument/2006/relationships/hyperlink" Target="https://nconnect.nicmar.ac.in/storage/profile/ProfilePhoto_P25700085_527189.jpg" TargetMode="External"/><Relationship Id="rId_hyperlink_147" Type="http://schemas.openxmlformats.org/officeDocument/2006/relationships/hyperlink" Target="https://nconnect.nicmar.ac.in/storage/profile/ProfilePhoto_P25700086_943578.jpg" TargetMode="External"/><Relationship Id="rId_hyperlink_148" Type="http://schemas.openxmlformats.org/officeDocument/2006/relationships/hyperlink" Target="https://nconnect.nicmar.ac.in/storage/profile/ProfilePhoto_P25700087_527389.jpg" TargetMode="External"/><Relationship Id="rId_hyperlink_149" Type="http://schemas.openxmlformats.org/officeDocument/2006/relationships/hyperlink" Target="https://nconnect.nicmar.ac.in/storage/profile/ProfilePhoto_P25700088_736859.jpg" TargetMode="External"/><Relationship Id="rId_hyperlink_150" Type="http://schemas.openxmlformats.org/officeDocument/2006/relationships/hyperlink" Target="https://nconnect.nicmar.ac.in/storage/profile/ProfilePhoto_P25700089_931658.jpg" TargetMode="External"/><Relationship Id="rId_hyperlink_151" Type="http://schemas.openxmlformats.org/officeDocument/2006/relationships/hyperlink" Target="https://nconnect.nicmar.ac.in/storage/profile/ProfilePhoto_P25700090_678295.jpg" TargetMode="External"/><Relationship Id="rId_hyperlink_152" Type="http://schemas.openxmlformats.org/officeDocument/2006/relationships/hyperlink" Target="https://nconnect.nicmar.ac.in/storage/profile/ProfilePhoto_P25700091_861592.jpg" TargetMode="External"/><Relationship Id="rId_hyperlink_153" Type="http://schemas.openxmlformats.org/officeDocument/2006/relationships/hyperlink" Target="https://nconnect.nicmar.ac.in/storage/profile/ProfilePhoto_P25700092_346187.jpg" TargetMode="External"/><Relationship Id="rId_hyperlink_154" Type="http://schemas.openxmlformats.org/officeDocument/2006/relationships/hyperlink" Target="https://nconnect.nicmar.ac.in/storage/profile/ProfilePhoto_P25700093_764528.jpg" TargetMode="External"/><Relationship Id="rId_hyperlink_155" Type="http://schemas.openxmlformats.org/officeDocument/2006/relationships/hyperlink" Target="https://nconnect.nicmar.ac.in/storage/profile/ProfilePhoto_P25700094_172359.jpg" TargetMode="External"/><Relationship Id="rId_hyperlink_156" Type="http://schemas.openxmlformats.org/officeDocument/2006/relationships/hyperlink" Target="https://nconnect.nicmar.ac.in/storage/profile/ProfilePhoto_P25700095_258476.jpg" TargetMode="External"/><Relationship Id="rId_hyperlink_157" Type="http://schemas.openxmlformats.org/officeDocument/2006/relationships/hyperlink" Target="https://nconnect.nicmar.ac.in/storage/profile/ProfilePhoto_P25700096_597461.jpg" TargetMode="External"/><Relationship Id="rId_hyperlink_158" Type="http://schemas.openxmlformats.org/officeDocument/2006/relationships/hyperlink" Target="https://nconnect.nicmar.ac.in/storage/profile/ProfilePhoto_P25700097_654192.jpg" TargetMode="External"/><Relationship Id="rId_hyperlink_159" Type="http://schemas.openxmlformats.org/officeDocument/2006/relationships/hyperlink" Target="https://nconnect.nicmar.ac.in/storage/profile/ProfilePhoto_P25700098_621459.jpg" TargetMode="External"/><Relationship Id="rId_hyperlink_160" Type="http://schemas.openxmlformats.org/officeDocument/2006/relationships/hyperlink" Target="https://nconnect.nicmar.ac.in/storage/profile/ProfilePhoto_P25700099_561739.jpg" TargetMode="External"/><Relationship Id="rId_hyperlink_161" Type="http://schemas.openxmlformats.org/officeDocument/2006/relationships/hyperlink" Target="https://nconnect.nicmar.ac.in/storage/profile/ProfilePhoto_P25700100_631259.jpg" TargetMode="External"/><Relationship Id="rId_hyperlink_162" Type="http://schemas.openxmlformats.org/officeDocument/2006/relationships/hyperlink" Target="https://nconnect.nicmar.ac.in/storage/profile/ProfilePhoto_P25700101_136785.jpg" TargetMode="External"/><Relationship Id="rId_hyperlink_163" Type="http://schemas.openxmlformats.org/officeDocument/2006/relationships/hyperlink" Target="https://nconnect.nicmar.ac.in/storage/profile/ProfilePhoto_P25700103_548732.jpg" TargetMode="External"/><Relationship Id="rId_hyperlink_164" Type="http://schemas.openxmlformats.org/officeDocument/2006/relationships/hyperlink" Target="https://nconnect.nicmar.ac.in/storage/profile/ProfilePhoto_P25700104_637154.jpg" TargetMode="External"/><Relationship Id="rId_hyperlink_165" Type="http://schemas.openxmlformats.org/officeDocument/2006/relationships/hyperlink" Target="https://nconnect.nicmar.ac.in/storage/profile/ProfilePhoto_P25700105_329654.jpg" TargetMode="External"/><Relationship Id="rId_hyperlink_166" Type="http://schemas.openxmlformats.org/officeDocument/2006/relationships/hyperlink" Target="https://nconnect.nicmar.ac.in/storage/profile/ProfilePhoto_P25700106_635142.jpg" TargetMode="External"/><Relationship Id="rId_hyperlink_167" Type="http://schemas.openxmlformats.org/officeDocument/2006/relationships/hyperlink" Target="https://nconnect.nicmar.ac.in/storage/profile/ProfilePhoto_P25700107_215674.jpg" TargetMode="External"/><Relationship Id="rId_hyperlink_168" Type="http://schemas.openxmlformats.org/officeDocument/2006/relationships/hyperlink" Target="https://nconnect.nicmar.ac.in/storage/profile/ProfilePhoto_P25700108_352764.jpg" TargetMode="External"/><Relationship Id="rId_hyperlink_169" Type="http://schemas.openxmlformats.org/officeDocument/2006/relationships/hyperlink" Target="https://nconnect.nicmar.ac.in/storage/profile/ProfilePhoto_P25700109_129586.jpg" TargetMode="External"/><Relationship Id="rId_hyperlink_170" Type="http://schemas.openxmlformats.org/officeDocument/2006/relationships/hyperlink" Target="https://nconnect.nicmar.ac.in/storage/profile/ProfilePhoto_P25700110_587169.jpg" TargetMode="External"/><Relationship Id="rId_hyperlink_171" Type="http://schemas.openxmlformats.org/officeDocument/2006/relationships/hyperlink" Target="https://nconnect.nicmar.ac.in/storage/profile/ProfilePhoto_P25700111_718243.jpg" TargetMode="External"/><Relationship Id="rId_hyperlink_172" Type="http://schemas.openxmlformats.org/officeDocument/2006/relationships/hyperlink" Target="https://nconnect.nicmar.ac.in/storage/profile/ProfilePhoto_P25700113_721496.jpg" TargetMode="External"/><Relationship Id="rId_hyperlink_173" Type="http://schemas.openxmlformats.org/officeDocument/2006/relationships/hyperlink" Target="https://nconnect.nicmar.ac.in/storage/profile/ProfilePhoto_P25700114_648312.jpg" TargetMode="External"/><Relationship Id="rId_hyperlink_174" Type="http://schemas.openxmlformats.org/officeDocument/2006/relationships/hyperlink" Target="https://nconnect.nicmar.ac.in/storage/profile/ProfilePhoto_P25700115_875296.jpg" TargetMode="External"/><Relationship Id="rId_hyperlink_175" Type="http://schemas.openxmlformats.org/officeDocument/2006/relationships/hyperlink" Target="https://nconnect.nicmar.ac.in/storage/profile/ProfilePhoto_P25700116_731254.jpg" TargetMode="External"/><Relationship Id="rId_hyperlink_176" Type="http://schemas.openxmlformats.org/officeDocument/2006/relationships/hyperlink" Target="https://nconnect.nicmar.ac.in/storage/profile/ProfilePhoto_P25700117_189624.jpg" TargetMode="External"/><Relationship Id="rId_hyperlink_177" Type="http://schemas.openxmlformats.org/officeDocument/2006/relationships/hyperlink" Target="https://nconnect.nicmar.ac.in/storage/profile/ProfilePhoto_P25700118_148736.jpg" TargetMode="External"/><Relationship Id="rId_hyperlink_178" Type="http://schemas.openxmlformats.org/officeDocument/2006/relationships/hyperlink" Target="https://nconnect.nicmar.ac.in/storage/profile/ProfilePhoto_P25700119_915374.jpg" TargetMode="External"/><Relationship Id="rId_hyperlink_179" Type="http://schemas.openxmlformats.org/officeDocument/2006/relationships/hyperlink" Target="https://nconnect.nicmar.ac.in/storage/profile/ProfilePhoto_P25700121_694527.jpg" TargetMode="External"/><Relationship Id="rId_hyperlink_180" Type="http://schemas.openxmlformats.org/officeDocument/2006/relationships/hyperlink" Target="https://nconnect.nicmar.ac.in/storage/profile/ProfilePhoto_P25700122_231978.jpg" TargetMode="External"/><Relationship Id="rId_hyperlink_181" Type="http://schemas.openxmlformats.org/officeDocument/2006/relationships/hyperlink" Target="https://nconnect.nicmar.ac.in/storage/profile/ProfilePhoto_P25700123_419637.jpg" TargetMode="External"/><Relationship Id="rId_hyperlink_182" Type="http://schemas.openxmlformats.org/officeDocument/2006/relationships/hyperlink" Target="https://nconnect.nicmar.ac.in/storage/profile/ProfilePhoto_P25700124_567432.jpg" TargetMode="External"/><Relationship Id="rId_hyperlink_183" Type="http://schemas.openxmlformats.org/officeDocument/2006/relationships/hyperlink" Target="https://nconnect.nicmar.ac.in/storage/profile/ProfilePhoto_P25700125_234987.jpg" TargetMode="External"/><Relationship Id="rId_hyperlink_184" Type="http://schemas.openxmlformats.org/officeDocument/2006/relationships/hyperlink" Target="https://nconnect.nicmar.ac.in/storage/profile/ProfilePhoto_P25700126_934175.jpg" TargetMode="External"/><Relationship Id="rId_hyperlink_185" Type="http://schemas.openxmlformats.org/officeDocument/2006/relationships/hyperlink" Target="https://nconnect.nicmar.ac.in/storage/profile/ProfilePhoto_P25700127_184296.jpg" TargetMode="External"/><Relationship Id="rId_hyperlink_186" Type="http://schemas.openxmlformats.org/officeDocument/2006/relationships/hyperlink" Target="https://nconnect.nicmar.ac.in/storage/profile/ProfilePhoto_P25700128_169427.jpg" TargetMode="External"/><Relationship Id="rId_hyperlink_187" Type="http://schemas.openxmlformats.org/officeDocument/2006/relationships/hyperlink" Target="https://nconnect.nicmar.ac.in/storage/profile/ProfilePhoto_P25700129_792154.jpg" TargetMode="External"/><Relationship Id="rId_hyperlink_188" Type="http://schemas.openxmlformats.org/officeDocument/2006/relationships/hyperlink" Target="https://nconnect.nicmar.ac.in/storage/profile/ProfilePhoto_P25700130_468259.jpg" TargetMode="External"/><Relationship Id="rId_hyperlink_189" Type="http://schemas.openxmlformats.org/officeDocument/2006/relationships/hyperlink" Target="https://nconnect.nicmar.ac.in/storage/profile/ProfilePhoto_P25700131_136529.jpg" TargetMode="External"/><Relationship Id="rId_hyperlink_190" Type="http://schemas.openxmlformats.org/officeDocument/2006/relationships/hyperlink" Target="https://nconnect.nicmar.ac.in/storage/profile/ProfilePhoto_P25700132_591768.jpg" TargetMode="External"/><Relationship Id="rId_hyperlink_191" Type="http://schemas.openxmlformats.org/officeDocument/2006/relationships/hyperlink" Target="https://nconnect.nicmar.ac.in/storage/profile/ProfilePhoto_P25700133_325479.jpg" TargetMode="External"/><Relationship Id="rId_hyperlink_192" Type="http://schemas.openxmlformats.org/officeDocument/2006/relationships/hyperlink" Target="https://nconnect.nicmar.ac.in/storage/profile/ProfilePhoto_P25700134_358914.jpg" TargetMode="External"/><Relationship Id="rId_hyperlink_193" Type="http://schemas.openxmlformats.org/officeDocument/2006/relationships/hyperlink" Target="https://nconnect.nicmar.ac.in/storage/profile/ProfilePhoto_P25700135_792418.jpg" TargetMode="External"/><Relationship Id="rId_hyperlink_194" Type="http://schemas.openxmlformats.org/officeDocument/2006/relationships/hyperlink" Target="https://nconnect.nicmar.ac.in/storage/profile/ProfilePhoto_P25700136_196742.jpg" TargetMode="External"/><Relationship Id="rId_hyperlink_195" Type="http://schemas.openxmlformats.org/officeDocument/2006/relationships/hyperlink" Target="https://nconnect.nicmar.ac.in/storage/profile/ProfilePhoto_P25700137_823974.jpg" TargetMode="External"/><Relationship Id="rId_hyperlink_196" Type="http://schemas.openxmlformats.org/officeDocument/2006/relationships/hyperlink" Target="https://nconnect.nicmar.ac.in/storage/profile/ProfilePhoto_P25700138_159438.jpg" TargetMode="External"/><Relationship Id="rId_hyperlink_197" Type="http://schemas.openxmlformats.org/officeDocument/2006/relationships/hyperlink" Target="https://nconnect.nicmar.ac.in/storage/profile/ProfilePhoto_P25700139_421357.jpg" TargetMode="External"/><Relationship Id="rId_hyperlink_198" Type="http://schemas.openxmlformats.org/officeDocument/2006/relationships/hyperlink" Target="https://nconnect.nicmar.ac.in/storage/profile/ProfilePhoto_P25700140_347569.jpg" TargetMode="External"/><Relationship Id="rId_hyperlink_199" Type="http://schemas.openxmlformats.org/officeDocument/2006/relationships/hyperlink" Target="https://nconnect.nicmar.ac.in/storage/profile/ProfilePhoto_P25700141_362759.jpg" TargetMode="External"/><Relationship Id="rId_hyperlink_200" Type="http://schemas.openxmlformats.org/officeDocument/2006/relationships/hyperlink" Target="https://nconnect.nicmar.ac.in/storage/profile/ProfilePhoto_P25700142_683421.jpg" TargetMode="External"/><Relationship Id="rId_hyperlink_201" Type="http://schemas.openxmlformats.org/officeDocument/2006/relationships/hyperlink" Target="https://nconnect.nicmar.ac.in/storage/profile/ProfilePhoto_P25700143_172536.jpg" TargetMode="External"/><Relationship Id="rId_hyperlink_202" Type="http://schemas.openxmlformats.org/officeDocument/2006/relationships/hyperlink" Target="https://nconnect.nicmar.ac.in/storage/profile/ProfilePhoto_P25700144_267184.jpg" TargetMode="External"/><Relationship Id="rId_hyperlink_203" Type="http://schemas.openxmlformats.org/officeDocument/2006/relationships/hyperlink" Target="https://nconnect.nicmar.ac.in/storage/profile/ProfilePhoto_P25700145_843721.jpg" TargetMode="External"/><Relationship Id="rId_hyperlink_204" Type="http://schemas.openxmlformats.org/officeDocument/2006/relationships/hyperlink" Target="https://nconnect.nicmar.ac.in/storage/profile/ProfilePhoto_P25700146_681345.jpg" TargetMode="External"/><Relationship Id="rId_hyperlink_205" Type="http://schemas.openxmlformats.org/officeDocument/2006/relationships/hyperlink" Target="https://nconnect.nicmar.ac.in/storage/profile/ProfilePhoto_P25700147_396871.jpg" TargetMode="External"/><Relationship Id="rId_hyperlink_206" Type="http://schemas.openxmlformats.org/officeDocument/2006/relationships/hyperlink" Target="https://nconnect.nicmar.ac.in/storage/profile/ProfilePhoto_P25700148_324976.jpg" TargetMode="External"/><Relationship Id="rId_hyperlink_207" Type="http://schemas.openxmlformats.org/officeDocument/2006/relationships/hyperlink" Target="https://nconnect.nicmar.ac.in/storage/profile/ProfilePhoto_P25700150_725196.jpg" TargetMode="External"/><Relationship Id="rId_hyperlink_208" Type="http://schemas.openxmlformats.org/officeDocument/2006/relationships/hyperlink" Target="https://nconnect.nicmar.ac.in/storage/profile/ProfilePhoto_P25700151_798532.jpg" TargetMode="External"/><Relationship Id="rId_hyperlink_209" Type="http://schemas.openxmlformats.org/officeDocument/2006/relationships/hyperlink" Target="https://nconnect.nicmar.ac.in/storage/profile/ProfilePhoto_P25700152_346972.jpg" TargetMode="External"/><Relationship Id="rId_hyperlink_210" Type="http://schemas.openxmlformats.org/officeDocument/2006/relationships/hyperlink" Target="https://nconnect.nicmar.ac.in/storage/profile/ProfilePhoto_P25700153_315628.jpg" TargetMode="External"/><Relationship Id="rId_hyperlink_211" Type="http://schemas.openxmlformats.org/officeDocument/2006/relationships/hyperlink" Target="https://nconnect.nicmar.ac.in/storage/profile/ProfilePhoto_P25700154_792485.jpg" TargetMode="External"/><Relationship Id="rId_hyperlink_212" Type="http://schemas.openxmlformats.org/officeDocument/2006/relationships/hyperlink" Target="https://nconnect.nicmar.ac.in/storage/profile/ProfilePhoto_P25700155_624518.jpg" TargetMode="External"/><Relationship Id="rId_hyperlink_213" Type="http://schemas.openxmlformats.org/officeDocument/2006/relationships/hyperlink" Target="https://nconnect.nicmar.ac.in/storage/profile/ProfilePhoto_P25700156_149783.jpg" TargetMode="External"/><Relationship Id="rId_hyperlink_214" Type="http://schemas.openxmlformats.org/officeDocument/2006/relationships/hyperlink" Target="https://nconnect.nicmar.ac.in/storage/profile/ProfilePhoto_P25700157_196428.jpg" TargetMode="External"/><Relationship Id="rId_hyperlink_215" Type="http://schemas.openxmlformats.org/officeDocument/2006/relationships/hyperlink" Target="https://nconnect.nicmar.ac.in/storage/profile/ProfilePhoto_P25700158_196843.jpg" TargetMode="External"/><Relationship Id="rId_hyperlink_216" Type="http://schemas.openxmlformats.org/officeDocument/2006/relationships/hyperlink" Target="https://nconnect.nicmar.ac.in/storage/profile/ProfilePhoto_P25700159_791628.jpg" TargetMode="External"/><Relationship Id="rId_hyperlink_217" Type="http://schemas.openxmlformats.org/officeDocument/2006/relationships/hyperlink" Target="https://nconnect.nicmar.ac.in/storage/profile/ProfilePhoto_P25700160_274951.jpg" TargetMode="External"/><Relationship Id="rId_hyperlink_218" Type="http://schemas.openxmlformats.org/officeDocument/2006/relationships/hyperlink" Target="https://nconnect.nicmar.ac.in/storage/profile/ProfilePhoto_P25700161_896127.jpg" TargetMode="External"/><Relationship Id="rId_hyperlink_219" Type="http://schemas.openxmlformats.org/officeDocument/2006/relationships/hyperlink" Target="https://nconnect.nicmar.ac.in/storage/profile/ProfilePhoto_P25700162_326594.jpg" TargetMode="External"/><Relationship Id="rId_hyperlink_220" Type="http://schemas.openxmlformats.org/officeDocument/2006/relationships/hyperlink" Target="https://nconnect.nicmar.ac.in/storage/profile/ProfilePhoto_P25700163_913852.jpg" TargetMode="External"/><Relationship Id="rId_hyperlink_221" Type="http://schemas.openxmlformats.org/officeDocument/2006/relationships/hyperlink" Target="https://nconnect.nicmar.ac.in/storage/profile/ProfilePhoto_P25700164_746531.jpg" TargetMode="External"/><Relationship Id="rId_hyperlink_222" Type="http://schemas.openxmlformats.org/officeDocument/2006/relationships/hyperlink" Target="https://nconnect.nicmar.ac.in/storage/profile/ProfilePhoto_P25700165_376415.jpg" TargetMode="External"/><Relationship Id="rId_hyperlink_223" Type="http://schemas.openxmlformats.org/officeDocument/2006/relationships/hyperlink" Target="https://nconnect.nicmar.ac.in/storage/profile/ProfilePhoto_P25700166_763589.jpg" TargetMode="External"/><Relationship Id="rId_hyperlink_224" Type="http://schemas.openxmlformats.org/officeDocument/2006/relationships/hyperlink" Target="https://nconnect.nicmar.ac.in/storage/profile/ProfilePhoto_P25700167_351762.jpg" TargetMode="External"/><Relationship Id="rId_hyperlink_225" Type="http://schemas.openxmlformats.org/officeDocument/2006/relationships/hyperlink" Target="https://nconnect.nicmar.ac.in/storage/profile/ProfilePhoto_P25700168_965724.jpg" TargetMode="External"/><Relationship Id="rId_hyperlink_226" Type="http://schemas.openxmlformats.org/officeDocument/2006/relationships/hyperlink" Target="https://nconnect.nicmar.ac.in/storage/profile/ProfilePhoto_P25700169_478621.jpg" TargetMode="External"/><Relationship Id="rId_hyperlink_227" Type="http://schemas.openxmlformats.org/officeDocument/2006/relationships/hyperlink" Target="https://nconnect.nicmar.ac.in/storage/profile/ProfilePhoto_P25700170_489362.jpg" TargetMode="External"/><Relationship Id="rId_hyperlink_228" Type="http://schemas.openxmlformats.org/officeDocument/2006/relationships/hyperlink" Target="https://nconnect.nicmar.ac.in/storage/profile/ProfilePhoto_P25700171_586279.jpg" TargetMode="External"/><Relationship Id="rId_hyperlink_229" Type="http://schemas.openxmlformats.org/officeDocument/2006/relationships/hyperlink" Target="https://nconnect.nicmar.ac.in/storage/profile/ProfilePhoto_P25700172_489631.jpg" TargetMode="External"/><Relationship Id="rId_hyperlink_230" Type="http://schemas.openxmlformats.org/officeDocument/2006/relationships/hyperlink" Target="https://nconnect.nicmar.ac.in/storage/profile/ProfilePhoto_P25700174_784592.jpg" TargetMode="External"/><Relationship Id="rId_hyperlink_231" Type="http://schemas.openxmlformats.org/officeDocument/2006/relationships/hyperlink" Target="https://nconnect.nicmar.ac.in/storage/profile/ProfilePhoto_P25700175_314862.jpg" TargetMode="External"/><Relationship Id="rId_hyperlink_232" Type="http://schemas.openxmlformats.org/officeDocument/2006/relationships/hyperlink" Target="https://nconnect.nicmar.ac.in/storage/profile/ProfilePhoto_P25700176_125376.jpg" TargetMode="External"/><Relationship Id="rId_hyperlink_233" Type="http://schemas.openxmlformats.org/officeDocument/2006/relationships/hyperlink" Target="https://nconnect.nicmar.ac.in/storage/profile/ProfilePhoto_P25700177_264735.jpg" TargetMode="External"/><Relationship Id="rId_hyperlink_234" Type="http://schemas.openxmlformats.org/officeDocument/2006/relationships/hyperlink" Target="https://nconnect.nicmar.ac.in/storage/profile/ProfilePhoto_P25700178_586319.jpg" TargetMode="External"/><Relationship Id="rId_hyperlink_235" Type="http://schemas.openxmlformats.org/officeDocument/2006/relationships/hyperlink" Target="https://nconnect.nicmar.ac.in/storage/profile/ProfilePhoto_P25700179_795823.jpg" TargetMode="External"/><Relationship Id="rId_hyperlink_236" Type="http://schemas.openxmlformats.org/officeDocument/2006/relationships/hyperlink" Target="https://nconnect.nicmar.ac.in/storage/profile/ProfilePhoto_P25700180_516437.jpg" TargetMode="External"/><Relationship Id="rId_hyperlink_237" Type="http://schemas.openxmlformats.org/officeDocument/2006/relationships/hyperlink" Target="https://nconnect.nicmar.ac.in/storage/profile/ProfilePhoto_P25700181_536927.jpg" TargetMode="External"/><Relationship Id="rId_hyperlink_238" Type="http://schemas.openxmlformats.org/officeDocument/2006/relationships/hyperlink" Target="https://nconnect.nicmar.ac.in/storage/profile/ProfilePhoto_P25700182_253687.jpg" TargetMode="External"/><Relationship Id="rId_hyperlink_239" Type="http://schemas.openxmlformats.org/officeDocument/2006/relationships/hyperlink" Target="https://nconnect.nicmar.ac.in/storage/profile/ProfilePhoto_P25700183_831792.jpg" TargetMode="External"/><Relationship Id="rId_hyperlink_240" Type="http://schemas.openxmlformats.org/officeDocument/2006/relationships/hyperlink" Target="https://nconnect.nicmar.ac.in/storage/profile/ProfilePhoto_P25700184_536872.jpg" TargetMode="External"/><Relationship Id="rId_hyperlink_241" Type="http://schemas.openxmlformats.org/officeDocument/2006/relationships/hyperlink" Target="https://nconnect.nicmar.ac.in/storage/profile/ProfilePhoto_P25700185_527946.jpg" TargetMode="External"/><Relationship Id="rId_hyperlink_242" Type="http://schemas.openxmlformats.org/officeDocument/2006/relationships/hyperlink" Target="https://nconnect.nicmar.ac.in/storage/profile/ProfilePhoto_P25700186_952671.jpg" TargetMode="External"/><Relationship Id="rId_hyperlink_243" Type="http://schemas.openxmlformats.org/officeDocument/2006/relationships/hyperlink" Target="https://nconnect.nicmar.ac.in/storage/profile/ProfilePhoto_P25700187_358146.jpg" TargetMode="External"/><Relationship Id="rId_hyperlink_244" Type="http://schemas.openxmlformats.org/officeDocument/2006/relationships/hyperlink" Target="https://nconnect.nicmar.ac.in/storage/profile/ProfilePhoto_P25700188_342579.jpg" TargetMode="External"/><Relationship Id="rId_hyperlink_245" Type="http://schemas.openxmlformats.org/officeDocument/2006/relationships/hyperlink" Target="https://nconnect.nicmar.ac.in/storage/profile/ProfilePhoto_P25700189_658327.jpg" TargetMode="External"/><Relationship Id="rId_hyperlink_246" Type="http://schemas.openxmlformats.org/officeDocument/2006/relationships/hyperlink" Target="https://nconnect.nicmar.ac.in/storage/profile/ProfilePhoto_P25700190_285367.jpg" TargetMode="External"/><Relationship Id="rId_hyperlink_247" Type="http://schemas.openxmlformats.org/officeDocument/2006/relationships/hyperlink" Target="https://nconnect.nicmar.ac.in/storage/profile/ProfilePhoto_P25700191_975138.jpg" TargetMode="External"/><Relationship Id="rId_hyperlink_248" Type="http://schemas.openxmlformats.org/officeDocument/2006/relationships/hyperlink" Target="https://nconnect.nicmar.ac.in/storage/profile/ProfilePhoto_P25700192_921356.jpg" TargetMode="External"/><Relationship Id="rId_hyperlink_249" Type="http://schemas.openxmlformats.org/officeDocument/2006/relationships/hyperlink" Target="https://nconnect.nicmar.ac.in/storage/profile/ProfilePhoto_P25700193_714259.jpg" TargetMode="External"/><Relationship Id="rId_hyperlink_250" Type="http://schemas.openxmlformats.org/officeDocument/2006/relationships/hyperlink" Target="https://nconnect.nicmar.ac.in/storage/profile/ProfilePhoto_P25700194_912563.jpg" TargetMode="External"/><Relationship Id="rId_hyperlink_251" Type="http://schemas.openxmlformats.org/officeDocument/2006/relationships/hyperlink" Target="https://nconnect.nicmar.ac.in/storage/profile/ProfilePhoto_P25700195_426391.jpg" TargetMode="External"/><Relationship Id="rId_hyperlink_252" Type="http://schemas.openxmlformats.org/officeDocument/2006/relationships/hyperlink" Target="https://nconnect.nicmar.ac.in/storage/profile/ProfilePhoto_P25700196_149528.jpg" TargetMode="External"/><Relationship Id="rId_hyperlink_253" Type="http://schemas.openxmlformats.org/officeDocument/2006/relationships/hyperlink" Target="https://nconnect.nicmar.ac.in/storage/profile/ProfilePhoto_P25700197_524673.jpg" TargetMode="External"/><Relationship Id="rId_hyperlink_254" Type="http://schemas.openxmlformats.org/officeDocument/2006/relationships/hyperlink" Target="https://nconnect.nicmar.ac.in/storage/profile/ProfilePhoto_P25700198_974621.jpg" TargetMode="External"/><Relationship Id="rId_hyperlink_255" Type="http://schemas.openxmlformats.org/officeDocument/2006/relationships/hyperlink" Target="https://nconnect.nicmar.ac.in/storage/profile/ProfilePhoto_P25700200_862795.jpg" TargetMode="External"/><Relationship Id="rId_hyperlink_256" Type="http://schemas.openxmlformats.org/officeDocument/2006/relationships/hyperlink" Target="https://nconnect.nicmar.ac.in/storage/profile/ProfilePhoto_P25700201_524138.jpg" TargetMode="External"/><Relationship Id="rId_hyperlink_257" Type="http://schemas.openxmlformats.org/officeDocument/2006/relationships/hyperlink" Target="https://nconnect.nicmar.ac.in/storage/profile/ProfilePhoto_P25700202_916537.jpg" TargetMode="External"/><Relationship Id="rId_hyperlink_258" Type="http://schemas.openxmlformats.org/officeDocument/2006/relationships/hyperlink" Target="https://nconnect.nicmar.ac.in/storage/profile/ProfilePhoto_P25700203_758261.jpg" TargetMode="External"/><Relationship Id="rId_hyperlink_259" Type="http://schemas.openxmlformats.org/officeDocument/2006/relationships/hyperlink" Target="https://nconnect.nicmar.ac.in/storage/profile/ProfilePhoto_P25700204_948512.jpg" TargetMode="External"/><Relationship Id="rId_hyperlink_260" Type="http://schemas.openxmlformats.org/officeDocument/2006/relationships/hyperlink" Target="https://nconnect.nicmar.ac.in/storage/profile/ProfilePhoto_P25700205_853246.jpg" TargetMode="External"/><Relationship Id="rId_hyperlink_261" Type="http://schemas.openxmlformats.org/officeDocument/2006/relationships/hyperlink" Target="https://nconnect.nicmar.ac.in/storage/profile/ProfilePhoto_P25700206_719562.jpg" TargetMode="External"/><Relationship Id="rId_hyperlink_262" Type="http://schemas.openxmlformats.org/officeDocument/2006/relationships/hyperlink" Target="https://nconnect.nicmar.ac.in/storage/profile/ProfilePhoto_P25700207_975832.jpg" TargetMode="External"/><Relationship Id="rId_hyperlink_263" Type="http://schemas.openxmlformats.org/officeDocument/2006/relationships/hyperlink" Target="https://nconnect.nicmar.ac.in/storage/profile/ProfilePhoto_P25700208_794836.jpg" TargetMode="External"/><Relationship Id="rId_hyperlink_264" Type="http://schemas.openxmlformats.org/officeDocument/2006/relationships/hyperlink" Target="https://nconnect.nicmar.ac.in/storage/profile/ProfilePhoto_P25700209_172634.jpg" TargetMode="External"/><Relationship Id="rId_hyperlink_265" Type="http://schemas.openxmlformats.org/officeDocument/2006/relationships/hyperlink" Target="https://nconnect.nicmar.ac.in/storage/profile/ProfilePhoto_P25700210_974213.jpg" TargetMode="External"/><Relationship Id="rId_hyperlink_266" Type="http://schemas.openxmlformats.org/officeDocument/2006/relationships/hyperlink" Target="https://nconnect.nicmar.ac.in/storage/profile/ProfilePhoto_P25700211_374165.jpg" TargetMode="External"/><Relationship Id="rId_hyperlink_267" Type="http://schemas.openxmlformats.org/officeDocument/2006/relationships/hyperlink" Target="https://nconnect.nicmar.ac.in/storage/profile/ProfilePhoto_P25700212_349562.jpg" TargetMode="External"/><Relationship Id="rId_hyperlink_268" Type="http://schemas.openxmlformats.org/officeDocument/2006/relationships/hyperlink" Target="https://nconnect.nicmar.ac.in/storage/profile/ProfilePhoto_P25700213_341679.jpg" TargetMode="External"/><Relationship Id="rId_hyperlink_269" Type="http://schemas.openxmlformats.org/officeDocument/2006/relationships/hyperlink" Target="https://nconnect.nicmar.ac.in/storage/profile/ProfilePhoto_P25700214_983516.jpg" TargetMode="External"/><Relationship Id="rId_hyperlink_270" Type="http://schemas.openxmlformats.org/officeDocument/2006/relationships/hyperlink" Target="https://nconnect.nicmar.ac.in/storage/profile/ProfilePhoto_P25700215_176495.jpg" TargetMode="External"/><Relationship Id="rId_hyperlink_271" Type="http://schemas.openxmlformats.org/officeDocument/2006/relationships/hyperlink" Target="https://nconnect.nicmar.ac.in/storage/profile/ProfilePhoto_P25700216_187954.jpg" TargetMode="External"/><Relationship Id="rId_hyperlink_272" Type="http://schemas.openxmlformats.org/officeDocument/2006/relationships/hyperlink" Target="https://nconnect.nicmar.ac.in/storage/profile/ProfilePhoto_P25700217_691537.jpg" TargetMode="External"/><Relationship Id="rId_hyperlink_273" Type="http://schemas.openxmlformats.org/officeDocument/2006/relationships/hyperlink" Target="https://nconnect.nicmar.ac.in/storage/profile/ProfilePhoto_P25700218_745321.jpg" TargetMode="External"/><Relationship Id="rId_hyperlink_274" Type="http://schemas.openxmlformats.org/officeDocument/2006/relationships/hyperlink" Target="https://nconnect.nicmar.ac.in/storage/profile/ProfilePhoto_P25700219_247813.jpg" TargetMode="External"/><Relationship Id="rId_hyperlink_275" Type="http://schemas.openxmlformats.org/officeDocument/2006/relationships/hyperlink" Target="https://nconnect.nicmar.ac.in/storage/profile/ProfilePhoto_P25700220_175482.jpg" TargetMode="External"/><Relationship Id="rId_hyperlink_276" Type="http://schemas.openxmlformats.org/officeDocument/2006/relationships/hyperlink" Target="https://nconnect.nicmar.ac.in/storage/profile/ProfilePhoto_P25700222_137948.jpg" TargetMode="External"/><Relationship Id="rId_hyperlink_277" Type="http://schemas.openxmlformats.org/officeDocument/2006/relationships/hyperlink" Target="https://nconnect.nicmar.ac.in/storage/profile/ProfilePhoto_P25700223_327691.jpg" TargetMode="External"/><Relationship Id="rId_hyperlink_278" Type="http://schemas.openxmlformats.org/officeDocument/2006/relationships/hyperlink" Target="https://nconnect.nicmar.ac.in/storage/profile/ProfilePhoto_P25700224_261739.jpg" TargetMode="External"/><Relationship Id="rId_hyperlink_279" Type="http://schemas.openxmlformats.org/officeDocument/2006/relationships/hyperlink" Target="https://nconnect.nicmar.ac.in/storage/profile/ProfilePhoto_P25700225_983512.jpg" TargetMode="External"/><Relationship Id="rId_hyperlink_280" Type="http://schemas.openxmlformats.org/officeDocument/2006/relationships/hyperlink" Target="https://nconnect.nicmar.ac.in/storage/profile/ProfilePhoto_P25700227_241753.jpg" TargetMode="External"/><Relationship Id="rId_hyperlink_281" Type="http://schemas.openxmlformats.org/officeDocument/2006/relationships/hyperlink" Target="https://nconnect.nicmar.ac.in/storage/profile/ProfilePhoto_P25700228_279168.jpg" TargetMode="External"/><Relationship Id="rId_hyperlink_282" Type="http://schemas.openxmlformats.org/officeDocument/2006/relationships/hyperlink" Target="https://nconnect.nicmar.ac.in/storage/profile/ProfilePhoto_P25700229_187625.jpg" TargetMode="External"/><Relationship Id="rId_hyperlink_283" Type="http://schemas.openxmlformats.org/officeDocument/2006/relationships/hyperlink" Target="https://nconnect.nicmar.ac.in/storage/profile/ProfilePhoto_P25700230_398462.jpg" TargetMode="External"/><Relationship Id="rId_hyperlink_284" Type="http://schemas.openxmlformats.org/officeDocument/2006/relationships/hyperlink" Target="https://nconnect.nicmar.ac.in/storage/profile/ProfilePhoto_P25700231_485793.jpg" TargetMode="External"/><Relationship Id="rId_hyperlink_285" Type="http://schemas.openxmlformats.org/officeDocument/2006/relationships/hyperlink" Target="https://nconnect.nicmar.ac.in/storage/profile/ProfilePhoto_P25700232_974861.jpg" TargetMode="External"/><Relationship Id="rId_hyperlink_286" Type="http://schemas.openxmlformats.org/officeDocument/2006/relationships/hyperlink" Target="https://nconnect.nicmar.ac.in/storage/profile/ProfilePhoto_P25700233_537914.jpg" TargetMode="External"/><Relationship Id="rId_hyperlink_287" Type="http://schemas.openxmlformats.org/officeDocument/2006/relationships/hyperlink" Target="https://nconnect.nicmar.ac.in/storage/profile/ProfilePhoto_P25700234_527634.jpg" TargetMode="External"/><Relationship Id="rId_hyperlink_288" Type="http://schemas.openxmlformats.org/officeDocument/2006/relationships/hyperlink" Target="https://nconnect.nicmar.ac.in/storage/profile/ProfilePhoto_P25700235_962375.jpg" TargetMode="External"/><Relationship Id="rId_hyperlink_289" Type="http://schemas.openxmlformats.org/officeDocument/2006/relationships/hyperlink" Target="https://nconnect.nicmar.ac.in/storage/profile/ProfilePhoto_P25700236_483619.jpg" TargetMode="External"/><Relationship Id="rId_hyperlink_290" Type="http://schemas.openxmlformats.org/officeDocument/2006/relationships/hyperlink" Target="https://nconnect.nicmar.ac.in/storage/profile/ProfilePhoto_P25700237_972643.jpg" TargetMode="External"/><Relationship Id="rId_hyperlink_291" Type="http://schemas.openxmlformats.org/officeDocument/2006/relationships/hyperlink" Target="https://nconnect.nicmar.ac.in/storage/profile/ProfilePhoto_P25700238_975162.jpg" TargetMode="External"/><Relationship Id="rId_hyperlink_292" Type="http://schemas.openxmlformats.org/officeDocument/2006/relationships/hyperlink" Target="https://nconnect.nicmar.ac.in/storage/profile/ProfilePhoto_P25700239_319765.jpg" TargetMode="External"/><Relationship Id="rId_hyperlink_293" Type="http://schemas.openxmlformats.org/officeDocument/2006/relationships/hyperlink" Target="https://nconnect.nicmar.ac.in/storage/profile/ProfilePhoto_P25700240_513948.jpg" TargetMode="External"/><Relationship Id="rId_hyperlink_294" Type="http://schemas.openxmlformats.org/officeDocument/2006/relationships/hyperlink" Target="https://nconnect.nicmar.ac.in/storage/profile/ProfilePhoto_P25700241_162534.jpg" TargetMode="External"/><Relationship Id="rId_hyperlink_295" Type="http://schemas.openxmlformats.org/officeDocument/2006/relationships/hyperlink" Target="https://nconnect.nicmar.ac.in/storage/profile/ProfilePhoto_P25700242_529817.jpg" TargetMode="External"/><Relationship Id="rId_hyperlink_296" Type="http://schemas.openxmlformats.org/officeDocument/2006/relationships/hyperlink" Target="https://nconnect.nicmar.ac.in/storage/profile/ProfilePhoto_P25700243_752468.jpg" TargetMode="External"/><Relationship Id="rId_hyperlink_297" Type="http://schemas.openxmlformats.org/officeDocument/2006/relationships/hyperlink" Target="https://nconnect.nicmar.ac.in/storage/profile/ProfilePhoto_P25700244_691843.jpg" TargetMode="External"/><Relationship Id="rId_hyperlink_298" Type="http://schemas.openxmlformats.org/officeDocument/2006/relationships/hyperlink" Target="https://nconnect.nicmar.ac.in/storage/profile/ProfilePhoto_P25700245_918463.jpg" TargetMode="External"/><Relationship Id="rId_hyperlink_299" Type="http://schemas.openxmlformats.org/officeDocument/2006/relationships/hyperlink" Target="https://nconnect.nicmar.ac.in/storage/profile/ProfilePhoto_P25700246_546739.jpg" TargetMode="External"/><Relationship Id="rId_hyperlink_300" Type="http://schemas.openxmlformats.org/officeDocument/2006/relationships/hyperlink" Target="https://nconnect.nicmar.ac.in/storage/profile/ProfilePhoto_P25700247_237156.jpg" TargetMode="External"/><Relationship Id="rId_hyperlink_301" Type="http://schemas.openxmlformats.org/officeDocument/2006/relationships/hyperlink" Target="https://nconnect.nicmar.ac.in/storage/profile/ProfilePhoto_P25700248_864927.jpg" TargetMode="External"/><Relationship Id="rId_hyperlink_302" Type="http://schemas.openxmlformats.org/officeDocument/2006/relationships/hyperlink" Target="https://nconnect.nicmar.ac.in/storage/profile/ProfilePhoto_P25700249_159378.jpg" TargetMode="External"/><Relationship Id="rId_hyperlink_303" Type="http://schemas.openxmlformats.org/officeDocument/2006/relationships/hyperlink" Target="https://nconnect.nicmar.ac.in/storage/profile/ProfilePhoto_P25700250_825963.jpg" TargetMode="External"/><Relationship Id="rId_hyperlink_304" Type="http://schemas.openxmlformats.org/officeDocument/2006/relationships/hyperlink" Target="https://nconnect.nicmar.ac.in/storage/profile/ProfilePhoto_P25700251_793658.jpg" TargetMode="External"/><Relationship Id="rId_hyperlink_305" Type="http://schemas.openxmlformats.org/officeDocument/2006/relationships/hyperlink" Target="https://nconnect.nicmar.ac.in/storage/profile/ProfilePhoto_P25700252_286139.jpg" TargetMode="External"/><Relationship Id="rId_hyperlink_306" Type="http://schemas.openxmlformats.org/officeDocument/2006/relationships/hyperlink" Target="https://nconnect.nicmar.ac.in/storage/profile/ProfilePhoto_P25700253_341298.jpg" TargetMode="External"/><Relationship Id="rId_hyperlink_307" Type="http://schemas.openxmlformats.org/officeDocument/2006/relationships/hyperlink" Target="https://nconnect.nicmar.ac.in/storage/profile/ProfilePhoto_P25700255_621347.jpg" TargetMode="External"/><Relationship Id="rId_hyperlink_308" Type="http://schemas.openxmlformats.org/officeDocument/2006/relationships/hyperlink" Target="https://nconnect.nicmar.ac.in/storage/profile/ProfilePhoto_P25700256_314276.jpg" TargetMode="External"/><Relationship Id="rId_hyperlink_309" Type="http://schemas.openxmlformats.org/officeDocument/2006/relationships/hyperlink" Target="https://nconnect.nicmar.ac.in/storage/profile/ProfilePhoto_P25700257_416537.jpg" TargetMode="External"/><Relationship Id="rId_hyperlink_310" Type="http://schemas.openxmlformats.org/officeDocument/2006/relationships/hyperlink" Target="https://nconnect.nicmar.ac.in/storage/profile/ProfilePhoto_P25700258_493578.jpg" TargetMode="External"/><Relationship Id="rId_hyperlink_311" Type="http://schemas.openxmlformats.org/officeDocument/2006/relationships/hyperlink" Target="https://nconnect.nicmar.ac.in/storage/profile/ProfilePhoto_P25700259_153496.jpg" TargetMode="External"/><Relationship Id="rId_hyperlink_312" Type="http://schemas.openxmlformats.org/officeDocument/2006/relationships/hyperlink" Target="https://nconnect.nicmar.ac.in/storage/profile/ProfilePhoto_P25700260_867251.jpg" TargetMode="External"/><Relationship Id="rId_hyperlink_313" Type="http://schemas.openxmlformats.org/officeDocument/2006/relationships/hyperlink" Target="https://nconnect.nicmar.ac.in/storage/profile/ProfilePhoto_P25700261_127954.jpg" TargetMode="External"/><Relationship Id="rId_hyperlink_314" Type="http://schemas.openxmlformats.org/officeDocument/2006/relationships/hyperlink" Target="https://nconnect.nicmar.ac.in/storage/profile/ProfilePhoto_P25700262_867913.jpg" TargetMode="External"/><Relationship Id="rId_hyperlink_315" Type="http://schemas.openxmlformats.org/officeDocument/2006/relationships/hyperlink" Target="https://nconnect.nicmar.ac.in/storage/profile/ProfilePhoto_P25700263_426175.jpg" TargetMode="External"/><Relationship Id="rId_hyperlink_316" Type="http://schemas.openxmlformats.org/officeDocument/2006/relationships/hyperlink" Target="https://nconnect.nicmar.ac.in/storage/profile/ProfilePhoto_P25700264_328496.jpg" TargetMode="External"/><Relationship Id="rId_hyperlink_317" Type="http://schemas.openxmlformats.org/officeDocument/2006/relationships/hyperlink" Target="https://nconnect.nicmar.ac.in/storage/profile/ProfilePhoto_P25700265_158934.jpg" TargetMode="External"/><Relationship Id="rId_hyperlink_318" Type="http://schemas.openxmlformats.org/officeDocument/2006/relationships/hyperlink" Target="https://nconnect.nicmar.ac.in/storage/profile/ProfilePhoto_P25700266_297863.jpg" TargetMode="External"/><Relationship Id="rId_hyperlink_319" Type="http://schemas.openxmlformats.org/officeDocument/2006/relationships/hyperlink" Target="https://nconnect.nicmar.ac.in/storage/profile/ProfilePhoto_P25700267_286547.jpg" TargetMode="External"/><Relationship Id="rId_hyperlink_320" Type="http://schemas.openxmlformats.org/officeDocument/2006/relationships/hyperlink" Target="https://nconnect.nicmar.ac.in/storage/profile/ProfilePhoto_P25700268_169742.jpg" TargetMode="External"/><Relationship Id="rId_hyperlink_321" Type="http://schemas.openxmlformats.org/officeDocument/2006/relationships/hyperlink" Target="https://nconnect.nicmar.ac.in/storage/profile/ProfilePhoto_P25700269_861432.jpg" TargetMode="External"/><Relationship Id="rId_hyperlink_322" Type="http://schemas.openxmlformats.org/officeDocument/2006/relationships/hyperlink" Target="https://nconnect.nicmar.ac.in/storage/profile/ProfilePhoto_P25700270_194253.jpg" TargetMode="External"/><Relationship Id="rId_hyperlink_323" Type="http://schemas.openxmlformats.org/officeDocument/2006/relationships/hyperlink" Target="https://nconnect.nicmar.ac.in/storage/profile/ProfilePhoto_P25700271_135978.jpg" TargetMode="External"/><Relationship Id="rId_hyperlink_324" Type="http://schemas.openxmlformats.org/officeDocument/2006/relationships/hyperlink" Target="https://nconnect.nicmar.ac.in/storage/profile/ProfilePhoto_P25700272_839471.jpg" TargetMode="External"/><Relationship Id="rId_hyperlink_325" Type="http://schemas.openxmlformats.org/officeDocument/2006/relationships/hyperlink" Target="https://nconnect.nicmar.ac.in/storage/profile/ProfilePhoto_P25700273_243176.jpg" TargetMode="External"/><Relationship Id="rId_hyperlink_326" Type="http://schemas.openxmlformats.org/officeDocument/2006/relationships/hyperlink" Target="https://nconnect.nicmar.ac.in/storage/profile/ProfilePhoto_P25700274_326758.jpg" TargetMode="External"/><Relationship Id="rId_hyperlink_327" Type="http://schemas.openxmlformats.org/officeDocument/2006/relationships/hyperlink" Target="https://nconnect.nicmar.ac.in/storage/profile/ProfilePhoto_P25700275_563178.jpg" TargetMode="External"/><Relationship Id="rId_hyperlink_328" Type="http://schemas.openxmlformats.org/officeDocument/2006/relationships/hyperlink" Target="https://nconnect.nicmar.ac.in/storage/profile/ProfilePhoto_P25700277_438956.jpg" TargetMode="External"/><Relationship Id="rId_hyperlink_329" Type="http://schemas.openxmlformats.org/officeDocument/2006/relationships/hyperlink" Target="https://nconnect.nicmar.ac.in/storage/profile/ProfilePhoto_P25700278_937126.jpg" TargetMode="External"/><Relationship Id="rId_hyperlink_330" Type="http://schemas.openxmlformats.org/officeDocument/2006/relationships/hyperlink" Target="https://nconnect.nicmar.ac.in/storage/profile/ProfilePhoto_P25700280_693247.jpg" TargetMode="External"/><Relationship Id="rId_hyperlink_331" Type="http://schemas.openxmlformats.org/officeDocument/2006/relationships/hyperlink" Target="https://nconnect.nicmar.ac.in/storage/profile/ProfilePhoto_P25700282_942538.jpg" TargetMode="External"/><Relationship Id="rId_hyperlink_332" Type="http://schemas.openxmlformats.org/officeDocument/2006/relationships/hyperlink" Target="https://nconnect.nicmar.ac.in/storage/profile/ProfilePhoto_P25700283_529847.jpg" TargetMode="External"/><Relationship Id="rId_hyperlink_333" Type="http://schemas.openxmlformats.org/officeDocument/2006/relationships/hyperlink" Target="https://nconnect.nicmar.ac.in/storage/profile/ProfilePhoto_P25700284_724851.jpg" TargetMode="External"/><Relationship Id="rId_hyperlink_334" Type="http://schemas.openxmlformats.org/officeDocument/2006/relationships/hyperlink" Target="https://nconnect.nicmar.ac.in/storage/profile/ProfilePhoto_P25700285_743596.jpg" TargetMode="External"/><Relationship Id="rId_hyperlink_335" Type="http://schemas.openxmlformats.org/officeDocument/2006/relationships/hyperlink" Target="https://nconnect.nicmar.ac.in/storage/profile/ProfilePhoto_P25700286_398214.jpg" TargetMode="External"/><Relationship Id="rId_hyperlink_336" Type="http://schemas.openxmlformats.org/officeDocument/2006/relationships/hyperlink" Target="https://nconnect.nicmar.ac.in/storage/profile/ProfilePhoto_P25700287_896372.jpg" TargetMode="External"/><Relationship Id="rId_hyperlink_337" Type="http://schemas.openxmlformats.org/officeDocument/2006/relationships/hyperlink" Target="https://nconnect.nicmar.ac.in/storage/profile/ProfilePhoto_P25700288_156498.jpg" TargetMode="External"/><Relationship Id="rId_hyperlink_338" Type="http://schemas.openxmlformats.org/officeDocument/2006/relationships/hyperlink" Target="https://nconnect.nicmar.ac.in/storage/profile/ProfilePhoto_P25700289_126498.jpg" TargetMode="External"/><Relationship Id="rId_hyperlink_339" Type="http://schemas.openxmlformats.org/officeDocument/2006/relationships/hyperlink" Target="https://nconnect.nicmar.ac.in/storage/profile/ProfilePhoto_P25700290_567841.jpg" TargetMode="External"/><Relationship Id="rId_hyperlink_340" Type="http://schemas.openxmlformats.org/officeDocument/2006/relationships/hyperlink" Target="https://nconnect.nicmar.ac.in/storage/profile/ProfilePhoto_P25700291_245196.jpg" TargetMode="External"/><Relationship Id="rId_hyperlink_341" Type="http://schemas.openxmlformats.org/officeDocument/2006/relationships/hyperlink" Target="https://nconnect.nicmar.ac.in/storage/profile/ProfilePhoto_P25700292_526814.jpg" TargetMode="External"/><Relationship Id="rId_hyperlink_342" Type="http://schemas.openxmlformats.org/officeDocument/2006/relationships/hyperlink" Target="https://nconnect.nicmar.ac.in/storage/profile/ProfilePhoto_P25700293_417563.jpg" TargetMode="External"/><Relationship Id="rId_hyperlink_343" Type="http://schemas.openxmlformats.org/officeDocument/2006/relationships/hyperlink" Target="https://nconnect.nicmar.ac.in/storage/profile/ProfilePhoto_P25700294_947681.jpg" TargetMode="External"/><Relationship Id="rId_hyperlink_344" Type="http://schemas.openxmlformats.org/officeDocument/2006/relationships/hyperlink" Target="https://nconnect.nicmar.ac.in/storage/profile/ProfilePhoto_P25700295_417832.jpg" TargetMode="External"/><Relationship Id="rId_hyperlink_345" Type="http://schemas.openxmlformats.org/officeDocument/2006/relationships/hyperlink" Target="https://nconnect.nicmar.ac.in/storage/profile/ProfilePhoto_P25700296_392684.jpg" TargetMode="External"/><Relationship Id="rId_hyperlink_346" Type="http://schemas.openxmlformats.org/officeDocument/2006/relationships/hyperlink" Target="https://nconnect.nicmar.ac.in/storage/profile/ProfilePhoto_P25700297_213596.jpg" TargetMode="External"/><Relationship Id="rId_hyperlink_347" Type="http://schemas.openxmlformats.org/officeDocument/2006/relationships/hyperlink" Target="https://nconnect.nicmar.ac.in/storage/profile/ProfilePhoto_P25700298_589421.jpg" TargetMode="External"/><Relationship Id="rId_hyperlink_348" Type="http://schemas.openxmlformats.org/officeDocument/2006/relationships/hyperlink" Target="https://nconnect.nicmar.ac.in/storage/profile/ProfilePhoto_P25700299_148926.jpg" TargetMode="External"/><Relationship Id="rId_hyperlink_349" Type="http://schemas.openxmlformats.org/officeDocument/2006/relationships/hyperlink" Target="https://nconnect.nicmar.ac.in/storage/profile/ProfilePhoto_P25700300_153649.jpg" TargetMode="External"/><Relationship Id="rId_hyperlink_350" Type="http://schemas.openxmlformats.org/officeDocument/2006/relationships/hyperlink" Target="https://nconnect.nicmar.ac.in/storage/profile/ProfilePhoto_P25700301_346981.jpg" TargetMode="External"/><Relationship Id="rId_hyperlink_351" Type="http://schemas.openxmlformats.org/officeDocument/2006/relationships/hyperlink" Target="https://nconnect.nicmar.ac.in/storage/profile/ProfilePhoto_P25700302_214356.jpg" TargetMode="External"/><Relationship Id="rId_hyperlink_352" Type="http://schemas.openxmlformats.org/officeDocument/2006/relationships/hyperlink" Target="https://nconnect.nicmar.ac.in/storage/profile/ProfilePhoto_P25700303_641892.jpg" TargetMode="External"/><Relationship Id="rId_hyperlink_353" Type="http://schemas.openxmlformats.org/officeDocument/2006/relationships/hyperlink" Target="https://nconnect.nicmar.ac.in/storage/profile/ProfilePhoto_P25700304_328576.jpg" TargetMode="External"/><Relationship Id="rId_hyperlink_354" Type="http://schemas.openxmlformats.org/officeDocument/2006/relationships/hyperlink" Target="https://nconnect.nicmar.ac.in/storage/profile/ProfilePhoto_P25700305_358149.jpg" TargetMode="External"/><Relationship Id="rId_hyperlink_355" Type="http://schemas.openxmlformats.org/officeDocument/2006/relationships/hyperlink" Target="https://nconnect.nicmar.ac.in/storage/profile/ProfilePhoto_P25700306_128963.jpg" TargetMode="External"/><Relationship Id="rId_hyperlink_356" Type="http://schemas.openxmlformats.org/officeDocument/2006/relationships/hyperlink" Target="https://nconnect.nicmar.ac.in/storage/profile/ProfilePhoto_P25700307_873512.jpg" TargetMode="External"/><Relationship Id="rId_hyperlink_357" Type="http://schemas.openxmlformats.org/officeDocument/2006/relationships/hyperlink" Target="https://nconnect.nicmar.ac.in/storage/profile/ProfilePhoto_P25700308_942517.jpg" TargetMode="External"/><Relationship Id="rId_hyperlink_358" Type="http://schemas.openxmlformats.org/officeDocument/2006/relationships/hyperlink" Target="https://nconnect.nicmar.ac.in/storage/profile/ProfilePhoto_P25700309_361294.jpg" TargetMode="External"/><Relationship Id="rId_hyperlink_359" Type="http://schemas.openxmlformats.org/officeDocument/2006/relationships/hyperlink" Target="https://nconnect.nicmar.ac.in/storage/profile/6a6247b201416.png" TargetMode="External"/><Relationship Id="rId_hyperlink_360" Type="http://schemas.openxmlformats.org/officeDocument/2006/relationships/hyperlink" Target="https://nconnect.nicmar.ac.in/storage/profile/ProfilePhoto_P25700311_175346.jpg" TargetMode="External"/><Relationship Id="rId_hyperlink_361" Type="http://schemas.openxmlformats.org/officeDocument/2006/relationships/hyperlink" Target="https://nconnect.nicmar.ac.in/storage/profile/ProfilePhoto_P25700312_491872.jpg" TargetMode="External"/><Relationship Id="rId_hyperlink_362" Type="http://schemas.openxmlformats.org/officeDocument/2006/relationships/hyperlink" Target="https://nconnect.nicmar.ac.in/storage/profile/ProfilePhoto_P25700313_351694.jpg" TargetMode="External"/><Relationship Id="rId_hyperlink_363" Type="http://schemas.openxmlformats.org/officeDocument/2006/relationships/hyperlink" Target="https://nconnect.nicmar.ac.in/storage/profile/ProfilePhoto_P25700314_541362.jpg" TargetMode="External"/><Relationship Id="rId_hyperlink_364" Type="http://schemas.openxmlformats.org/officeDocument/2006/relationships/hyperlink" Target="https://nconnect.nicmar.ac.in/storage/profile/ProfilePhoto_P25700316_645173.jpg" TargetMode="External"/><Relationship Id="rId_hyperlink_365" Type="http://schemas.openxmlformats.org/officeDocument/2006/relationships/hyperlink" Target="https://nconnect.nicmar.ac.in/storage/profile/ProfilePhoto_P25700317_381597.jpg" TargetMode="External"/><Relationship Id="rId_hyperlink_366" Type="http://schemas.openxmlformats.org/officeDocument/2006/relationships/hyperlink" Target="https://nconnect.nicmar.ac.in/storage/profile/ProfilePhoto_P25700318_763418.jpg" TargetMode="External"/><Relationship Id="rId_hyperlink_367" Type="http://schemas.openxmlformats.org/officeDocument/2006/relationships/hyperlink" Target="https://nconnect.nicmar.ac.in/storage/profile/ProfilePhoto_P25700320_432967.jpg" TargetMode="External"/><Relationship Id="rId_hyperlink_368" Type="http://schemas.openxmlformats.org/officeDocument/2006/relationships/hyperlink" Target="https://nconnect.nicmar.ac.in/storage/profile/ProfilePhoto_P25700321_248693.jpg" TargetMode="External"/><Relationship Id="rId_hyperlink_369" Type="http://schemas.openxmlformats.org/officeDocument/2006/relationships/hyperlink" Target="https://nconnect.nicmar.ac.in/storage/profile/ProfilePhoto_P25700322_174659.jpg" TargetMode="External"/><Relationship Id="rId_hyperlink_370" Type="http://schemas.openxmlformats.org/officeDocument/2006/relationships/hyperlink" Target="https://nconnect.nicmar.ac.in/storage/profile/ProfilePhoto_P25700323_852916.jpg" TargetMode="External"/><Relationship Id="rId_hyperlink_371" Type="http://schemas.openxmlformats.org/officeDocument/2006/relationships/hyperlink" Target="https://nconnect.nicmar.ac.in/storage/profile/ProfilePhoto_P25700324_649581.jpg" TargetMode="External"/><Relationship Id="rId_hyperlink_372" Type="http://schemas.openxmlformats.org/officeDocument/2006/relationships/hyperlink" Target="https://nconnect.nicmar.ac.in/storage/profile/6a6247e7c603e.png" TargetMode="External"/><Relationship Id="rId_hyperlink_373" Type="http://schemas.openxmlformats.org/officeDocument/2006/relationships/hyperlink" Target="https://nconnect.nicmar.ac.in/storage/profile/ProfilePhoto_P25700327_437895.jpg" TargetMode="External"/><Relationship Id="rId_hyperlink_374" Type="http://schemas.openxmlformats.org/officeDocument/2006/relationships/hyperlink" Target="https://nconnect.nicmar.ac.in/storage/profile/ProfilePhoto_P25700328_694123.jpg" TargetMode="External"/><Relationship Id="rId_hyperlink_375" Type="http://schemas.openxmlformats.org/officeDocument/2006/relationships/hyperlink" Target="https://nconnect.nicmar.ac.in/storage/profile/ProfilePhoto_P25700329_934817.jpg" TargetMode="External"/><Relationship Id="rId_hyperlink_376" Type="http://schemas.openxmlformats.org/officeDocument/2006/relationships/hyperlink" Target="https://nconnect.nicmar.ac.in/storage/profile/ProfilePhoto_P25700330_839724.jpg" TargetMode="External"/><Relationship Id="rId_hyperlink_377" Type="http://schemas.openxmlformats.org/officeDocument/2006/relationships/hyperlink" Target="https://nconnect.nicmar.ac.in/storage/profile/ProfilePhoto_P25700331_498125.jpg" TargetMode="External"/><Relationship Id="rId_hyperlink_378" Type="http://schemas.openxmlformats.org/officeDocument/2006/relationships/hyperlink" Target="https://nconnect.nicmar.ac.in/storage/profile/ProfilePhoto_P25700332_582631.jpg" TargetMode="External"/><Relationship Id="rId_hyperlink_379" Type="http://schemas.openxmlformats.org/officeDocument/2006/relationships/hyperlink" Target="https://nconnect.nicmar.ac.in/storage/profile/ProfilePhoto_P25700333_561738.jpg" TargetMode="External"/><Relationship Id="rId_hyperlink_380" Type="http://schemas.openxmlformats.org/officeDocument/2006/relationships/hyperlink" Target="https://nconnect.nicmar.ac.in/storage/profile/ProfilePhoto_P25700334_897625.jpg" TargetMode="External"/><Relationship Id="rId_hyperlink_381" Type="http://schemas.openxmlformats.org/officeDocument/2006/relationships/hyperlink" Target="https://nconnect.nicmar.ac.in/storage/profile/ProfilePhoto_P25700335_235948.jpg" TargetMode="External"/><Relationship Id="rId_hyperlink_382" Type="http://schemas.openxmlformats.org/officeDocument/2006/relationships/hyperlink" Target="https://nconnect.nicmar.ac.in/storage/profile/ProfilePhoto_P25700336_569138.jpg" TargetMode="External"/><Relationship Id="rId_hyperlink_383" Type="http://schemas.openxmlformats.org/officeDocument/2006/relationships/hyperlink" Target="https://nconnect.nicmar.ac.in/storage/profile/ProfilePhoto_P25700337_749123.jpg" TargetMode="External"/><Relationship Id="rId_hyperlink_384" Type="http://schemas.openxmlformats.org/officeDocument/2006/relationships/hyperlink" Target="https://nconnect.nicmar.ac.in/storage/profile/ProfilePhoto_P25700338_458312.jpg" TargetMode="External"/><Relationship Id="rId_hyperlink_385" Type="http://schemas.openxmlformats.org/officeDocument/2006/relationships/hyperlink" Target="https://nconnect.nicmar.ac.in/storage/profile/ProfilePhoto_P25700339_893165.jpg" TargetMode="External"/><Relationship Id="rId_hyperlink_386" Type="http://schemas.openxmlformats.org/officeDocument/2006/relationships/hyperlink" Target="https://nconnect.nicmar.ac.in/storage/profile/ProfilePhoto_P25700340_491823.jpg" TargetMode="External"/><Relationship Id="rId_hyperlink_387" Type="http://schemas.openxmlformats.org/officeDocument/2006/relationships/hyperlink" Target="https://nconnect.nicmar.ac.in/storage/profile/ProfilePhoto_P25700341_527638.jpg" TargetMode="External"/><Relationship Id="rId_hyperlink_388" Type="http://schemas.openxmlformats.org/officeDocument/2006/relationships/hyperlink" Target="https://nconnect.nicmar.ac.in/storage/profile/ProfilePhoto_P25700342_917356.jpg" TargetMode="External"/><Relationship Id="rId_hyperlink_389" Type="http://schemas.openxmlformats.org/officeDocument/2006/relationships/hyperlink" Target="https://nconnect.nicmar.ac.in/storage/profile/ProfilePhoto_P25700343_519836.jpg" TargetMode="External"/><Relationship Id="rId_hyperlink_390" Type="http://schemas.openxmlformats.org/officeDocument/2006/relationships/hyperlink" Target="https://nconnect.nicmar.ac.in/storage/profile/ProfilePhoto_P25700344_278134.jpg" TargetMode="External"/><Relationship Id="rId_hyperlink_391" Type="http://schemas.openxmlformats.org/officeDocument/2006/relationships/hyperlink" Target="https://nconnect.nicmar.ac.in/storage/profile/ProfilePhoto_P25700345_856793.jpg" TargetMode="External"/><Relationship Id="rId_hyperlink_392" Type="http://schemas.openxmlformats.org/officeDocument/2006/relationships/hyperlink" Target="https://nconnect.nicmar.ac.in/storage/profile/ProfilePhoto_P25700346_549627.jpg" TargetMode="External"/><Relationship Id="rId_hyperlink_393" Type="http://schemas.openxmlformats.org/officeDocument/2006/relationships/hyperlink" Target="https://nconnect.nicmar.ac.in/storage/profile/ProfilePhoto_P25700347_834162.jpg" TargetMode="External"/><Relationship Id="rId_hyperlink_394" Type="http://schemas.openxmlformats.org/officeDocument/2006/relationships/hyperlink" Target="https://nconnect.nicmar.ac.in/storage/profile/ProfilePhoto_P25700348_398162.jpg" TargetMode="External"/><Relationship Id="rId_hyperlink_395" Type="http://schemas.openxmlformats.org/officeDocument/2006/relationships/hyperlink" Target="https://nconnect.nicmar.ac.in/storage/profile/ProfilePhoto_P25700349_261783.jpg" TargetMode="External"/><Relationship Id="rId_hyperlink_396" Type="http://schemas.openxmlformats.org/officeDocument/2006/relationships/hyperlink" Target="https://nconnect.nicmar.ac.in/storage/profile/ProfilePhoto_P25700350_594367.jpg" TargetMode="External"/><Relationship Id="rId_hyperlink_397" Type="http://schemas.openxmlformats.org/officeDocument/2006/relationships/hyperlink" Target="https://nconnect.nicmar.ac.in/storage/profile/ProfilePhoto_P25700351_712865.jpg" TargetMode="External"/><Relationship Id="rId_hyperlink_398" Type="http://schemas.openxmlformats.org/officeDocument/2006/relationships/hyperlink" Target="https://nconnect.nicmar.ac.in/storage/profile/ProfilePhoto_P25700352_437125.jpg" TargetMode="External"/><Relationship Id="rId_hyperlink_399" Type="http://schemas.openxmlformats.org/officeDocument/2006/relationships/hyperlink" Target="https://nconnect.nicmar.ac.in/storage/profile/ProfilePhoto_P25700353_496532.jpg" TargetMode="External"/><Relationship Id="rId_hyperlink_400" Type="http://schemas.openxmlformats.org/officeDocument/2006/relationships/hyperlink" Target="https://nconnect.nicmar.ac.in/storage/profile/ProfilePhoto_P25700354_283475.jpg" TargetMode="External"/><Relationship Id="rId_hyperlink_401" Type="http://schemas.openxmlformats.org/officeDocument/2006/relationships/hyperlink" Target="https://nconnect.nicmar.ac.in/storage/profile/ProfilePhoto_P25700355_452968.jpg" TargetMode="External"/><Relationship Id="rId_hyperlink_402" Type="http://schemas.openxmlformats.org/officeDocument/2006/relationships/hyperlink" Target="https://nconnect.nicmar.ac.in/storage/profile/ProfilePhoto_P25700356_431675.jpg" TargetMode="External"/><Relationship Id="rId_hyperlink_403" Type="http://schemas.openxmlformats.org/officeDocument/2006/relationships/hyperlink" Target="https://nconnect.nicmar.ac.in/storage/profile/ProfilePhoto_P25700357_834596.jpg" TargetMode="External"/><Relationship Id="rId_hyperlink_404" Type="http://schemas.openxmlformats.org/officeDocument/2006/relationships/hyperlink" Target="https://nconnect.nicmar.ac.in/storage/profile/ProfilePhoto_P25700358_381456.jpg" TargetMode="External"/><Relationship Id="rId_hyperlink_405" Type="http://schemas.openxmlformats.org/officeDocument/2006/relationships/hyperlink" Target="https://nconnect.nicmar.ac.in/storage/profile/ProfilePhoto_P25700359_948167.jpg" TargetMode="External"/><Relationship Id="rId_hyperlink_406" Type="http://schemas.openxmlformats.org/officeDocument/2006/relationships/hyperlink" Target="https://nconnect.nicmar.ac.in/storage/profile/ProfilePhoto_P25700360_657192.jpg" TargetMode="External"/><Relationship Id="rId_hyperlink_407" Type="http://schemas.openxmlformats.org/officeDocument/2006/relationships/hyperlink" Target="https://nconnect.nicmar.ac.in/storage/profile/ProfilePhoto_P25700361_138974.jpg" TargetMode="External"/><Relationship Id="rId_hyperlink_408" Type="http://schemas.openxmlformats.org/officeDocument/2006/relationships/hyperlink" Target="https://nconnect.nicmar.ac.in/storage/profile/ProfilePhoto_P25700362_519874.jpg" TargetMode="External"/><Relationship Id="rId_hyperlink_409" Type="http://schemas.openxmlformats.org/officeDocument/2006/relationships/hyperlink" Target="https://nconnect.nicmar.ac.in/storage/profile/ProfilePhoto_P25700363_761958.jpg" TargetMode="External"/><Relationship Id="rId_hyperlink_410" Type="http://schemas.openxmlformats.org/officeDocument/2006/relationships/hyperlink" Target="https://nconnect.nicmar.ac.in/storage/profile/ProfilePhoto_P25700364_541382.jpg" TargetMode="External"/><Relationship Id="rId_hyperlink_411" Type="http://schemas.openxmlformats.org/officeDocument/2006/relationships/hyperlink" Target="https://nconnect.nicmar.ac.in/storage/profile/ProfilePhoto_P25700366_956721.jpg" TargetMode="External"/><Relationship Id="rId_hyperlink_412" Type="http://schemas.openxmlformats.org/officeDocument/2006/relationships/hyperlink" Target="https://nconnect.nicmar.ac.in/storage/profile/ProfilePhoto_P25700368_157439.jpg" TargetMode="External"/><Relationship Id="rId_hyperlink_413" Type="http://schemas.openxmlformats.org/officeDocument/2006/relationships/hyperlink" Target="https://nconnect.nicmar.ac.in/storage/profile/ProfilePhoto_P25700369_745329.jpg" TargetMode="External"/><Relationship Id="rId_hyperlink_414" Type="http://schemas.openxmlformats.org/officeDocument/2006/relationships/hyperlink" Target="https://nconnect.nicmar.ac.in/storage/profile/ProfilePhoto_P25700370_895437.jpg" TargetMode="External"/><Relationship Id="rId_hyperlink_415" Type="http://schemas.openxmlformats.org/officeDocument/2006/relationships/hyperlink" Target="https://nconnect.nicmar.ac.in/storage/profile/ProfilePhoto_P25700371_572389.jpg" TargetMode="External"/><Relationship Id="rId_hyperlink_416" Type="http://schemas.openxmlformats.org/officeDocument/2006/relationships/hyperlink" Target="https://nconnect.nicmar.ac.in/storage/profile/ProfilePhoto_P25700372_298156.jpg" TargetMode="External"/><Relationship Id="rId_hyperlink_417" Type="http://schemas.openxmlformats.org/officeDocument/2006/relationships/hyperlink" Target="https://nconnect.nicmar.ac.in/storage/profile/ProfilePhoto_P25700373_975146.jpg" TargetMode="External"/><Relationship Id="rId_hyperlink_418" Type="http://schemas.openxmlformats.org/officeDocument/2006/relationships/hyperlink" Target="https://nconnect.nicmar.ac.in/storage/profile/ProfilePhoto_P25700374_374629.jpg" TargetMode="External"/><Relationship Id="rId_hyperlink_419" Type="http://schemas.openxmlformats.org/officeDocument/2006/relationships/hyperlink" Target="https://nconnect.nicmar.ac.in/storage/profile/ProfilePhoto_P25700375_963157.jpg" TargetMode="External"/><Relationship Id="rId_hyperlink_420" Type="http://schemas.openxmlformats.org/officeDocument/2006/relationships/hyperlink" Target="https://nconnect.nicmar.ac.in/storage/profile/ProfilePhoto_P25700376_736185.jpg" TargetMode="External"/><Relationship Id="rId_hyperlink_421" Type="http://schemas.openxmlformats.org/officeDocument/2006/relationships/hyperlink" Target="https://nconnect.nicmar.ac.in/storage/profile/ProfilePhoto_P25700378_896243.jpg" TargetMode="External"/><Relationship Id="rId_hyperlink_422" Type="http://schemas.openxmlformats.org/officeDocument/2006/relationships/hyperlink" Target="https://nconnect.nicmar.ac.in/storage/profile/ProfilePhoto_P25700379_143659.jpg" TargetMode="External"/><Relationship Id="rId_hyperlink_423" Type="http://schemas.openxmlformats.org/officeDocument/2006/relationships/hyperlink" Target="https://nconnect.nicmar.ac.in/storage/profile/ProfilePhoto_P25700380_857362.jpg" TargetMode="External"/><Relationship Id="rId_hyperlink_424" Type="http://schemas.openxmlformats.org/officeDocument/2006/relationships/hyperlink" Target="https://nconnect.nicmar.ac.in/storage/profile/ProfilePhoto_P25700381_413569.jpg" TargetMode="External"/><Relationship Id="rId_hyperlink_425" Type="http://schemas.openxmlformats.org/officeDocument/2006/relationships/hyperlink" Target="https://nconnect.nicmar.ac.in/storage/profile/ProfilePhoto_P25700382_413295.jpg" TargetMode="External"/><Relationship Id="rId_hyperlink_426" Type="http://schemas.openxmlformats.org/officeDocument/2006/relationships/hyperlink" Target="https://nconnect.nicmar.ac.in/storage/profile/ProfilePhoto_P25700383_831254.jpg" TargetMode="External"/><Relationship Id="rId_hyperlink_427" Type="http://schemas.openxmlformats.org/officeDocument/2006/relationships/hyperlink" Target="https://nconnect.nicmar.ac.in/storage/profile/ProfilePhoto_P25700384_318246.jpg" TargetMode="External"/><Relationship Id="rId_hyperlink_428" Type="http://schemas.openxmlformats.org/officeDocument/2006/relationships/hyperlink" Target="https://nconnect.nicmar.ac.in/storage/profile/ProfilePhoto_P25700385_936548.jpg" TargetMode="External"/><Relationship Id="rId_hyperlink_429" Type="http://schemas.openxmlformats.org/officeDocument/2006/relationships/hyperlink" Target="https://nconnect.nicmar.ac.in/storage/profile/ProfilePhoto_P25700386_189623.jpg" TargetMode="External"/><Relationship Id="rId_hyperlink_430" Type="http://schemas.openxmlformats.org/officeDocument/2006/relationships/hyperlink" Target="https://nconnect.nicmar.ac.in/storage/profile/ProfilePhoto_P25700387_318952.jpg" TargetMode="External"/><Relationship Id="rId_hyperlink_431" Type="http://schemas.openxmlformats.org/officeDocument/2006/relationships/hyperlink" Target="https://nconnect.nicmar.ac.in/storage/profile/ProfilePhoto_P25700388_863591.jpg" TargetMode="External"/><Relationship Id="rId_hyperlink_432" Type="http://schemas.openxmlformats.org/officeDocument/2006/relationships/hyperlink" Target="https://nconnect.nicmar.ac.in/storage/profile/ProfilePhoto_P25700389_893247.jpg" TargetMode="External"/><Relationship Id="rId_hyperlink_433" Type="http://schemas.openxmlformats.org/officeDocument/2006/relationships/hyperlink" Target="https://nconnect.nicmar.ac.in/storage/profile/ProfilePhoto_P25700390_748536.jpg" TargetMode="External"/><Relationship Id="rId_hyperlink_434" Type="http://schemas.openxmlformats.org/officeDocument/2006/relationships/hyperlink" Target="https://nconnect.nicmar.ac.in/storage/profile/ProfilePhoto_P25700391_259437.jpg" TargetMode="External"/><Relationship Id="rId_hyperlink_435" Type="http://schemas.openxmlformats.org/officeDocument/2006/relationships/hyperlink" Target="https://nconnect.nicmar.ac.in/storage/profile/ProfilePhoto_P25700392_517643.jpg" TargetMode="External"/><Relationship Id="rId_hyperlink_436" Type="http://schemas.openxmlformats.org/officeDocument/2006/relationships/hyperlink" Target="https://nconnect.nicmar.ac.in/storage/profile/ProfilePhoto_P25700393_435691.jpg" TargetMode="External"/><Relationship Id="rId_hyperlink_437" Type="http://schemas.openxmlformats.org/officeDocument/2006/relationships/hyperlink" Target="https://nconnect.nicmar.ac.in/storage/profile/ProfilePhoto_P25700394_167349.jpg" TargetMode="External"/><Relationship Id="rId_hyperlink_438" Type="http://schemas.openxmlformats.org/officeDocument/2006/relationships/hyperlink" Target="https://nconnect.nicmar.ac.in/storage/profile/ProfilePhoto_P25700395_597218.jpg" TargetMode="External"/><Relationship Id="rId_hyperlink_439" Type="http://schemas.openxmlformats.org/officeDocument/2006/relationships/hyperlink" Target="https://nconnect.nicmar.ac.in/storage/profile/ProfilePhoto_P25700396_127438.jpg" TargetMode="External"/><Relationship Id="rId_hyperlink_440" Type="http://schemas.openxmlformats.org/officeDocument/2006/relationships/hyperlink" Target="https://nconnect.nicmar.ac.in/storage/profile/ProfilePhoto_P25700397_947536.jpg" TargetMode="External"/><Relationship Id="rId_hyperlink_441" Type="http://schemas.openxmlformats.org/officeDocument/2006/relationships/hyperlink" Target="https://nconnect.nicmar.ac.in/storage/profile/ProfilePhoto_P25700398_439256.jpg" TargetMode="External"/><Relationship Id="rId_hyperlink_442" Type="http://schemas.openxmlformats.org/officeDocument/2006/relationships/hyperlink" Target="https://nconnect.nicmar.ac.in/storage/profile/ProfilePhoto_P25700399_623841.jpg" TargetMode="External"/><Relationship Id="rId_hyperlink_443" Type="http://schemas.openxmlformats.org/officeDocument/2006/relationships/hyperlink" Target="https://nconnect.nicmar.ac.in/storage/profile/ProfilePhoto_P25700400_638452.jpg" TargetMode="External"/><Relationship Id="rId_hyperlink_444" Type="http://schemas.openxmlformats.org/officeDocument/2006/relationships/hyperlink" Target="https://nconnect.nicmar.ac.in/storage/profile/ProfilePhoto_P25700401_764591.jpg" TargetMode="External"/><Relationship Id="rId_hyperlink_445" Type="http://schemas.openxmlformats.org/officeDocument/2006/relationships/hyperlink" Target="https://nconnect.nicmar.ac.in/storage/profile/ProfilePhoto_P25700402_718253.jpg" TargetMode="External"/><Relationship Id="rId_hyperlink_446" Type="http://schemas.openxmlformats.org/officeDocument/2006/relationships/hyperlink" Target="https://nconnect.nicmar.ac.in/storage/profile/ProfilePhoto_P25700403_273965.jpg" TargetMode="External"/><Relationship Id="rId_hyperlink_447" Type="http://schemas.openxmlformats.org/officeDocument/2006/relationships/hyperlink" Target="https://nconnect.nicmar.ac.in/storage/profile/ProfilePhoto_P25700404_821954.jpg" TargetMode="External"/><Relationship Id="rId_hyperlink_448" Type="http://schemas.openxmlformats.org/officeDocument/2006/relationships/hyperlink" Target="https://nconnect.nicmar.ac.in/storage/profile/ProfilePhoto_P25700405_326714.jpg" TargetMode="External"/><Relationship Id="rId_hyperlink_449" Type="http://schemas.openxmlformats.org/officeDocument/2006/relationships/hyperlink" Target="https://nconnect.nicmar.ac.in/storage/profile/ProfilePhoto_P25700406_627149.jpg" TargetMode="External"/><Relationship Id="rId_hyperlink_450" Type="http://schemas.openxmlformats.org/officeDocument/2006/relationships/hyperlink" Target="https://nconnect.nicmar.ac.in/storage/profile/ProfilePhoto_P25700408_658397.jpg" TargetMode="External"/><Relationship Id="rId_hyperlink_451" Type="http://schemas.openxmlformats.org/officeDocument/2006/relationships/hyperlink" Target="https://nconnect.nicmar.ac.in/storage/profile/ProfilePhoto_P25700409_123987.jpg" TargetMode="External"/><Relationship Id="rId_hyperlink_452" Type="http://schemas.openxmlformats.org/officeDocument/2006/relationships/hyperlink" Target="https://nconnect.nicmar.ac.in/storage/profile/ProfilePhoto_P25700410_465312.jpg" TargetMode="External"/><Relationship Id="rId_hyperlink_453" Type="http://schemas.openxmlformats.org/officeDocument/2006/relationships/hyperlink" Target="https://nconnect.nicmar.ac.in/storage/profile/ProfilePhoto_P25700411_579146.jpg" TargetMode="External"/><Relationship Id="rId_hyperlink_454" Type="http://schemas.openxmlformats.org/officeDocument/2006/relationships/hyperlink" Target="https://nconnect.nicmar.ac.in/storage/profile/ProfilePhoto_P25700412_865394.jpg" TargetMode="External"/><Relationship Id="rId_hyperlink_455" Type="http://schemas.openxmlformats.org/officeDocument/2006/relationships/hyperlink" Target="https://nconnect.nicmar.ac.in/storage/profile/ProfilePhoto_P25700413_347268.jpg" TargetMode="External"/><Relationship Id="rId_hyperlink_456" Type="http://schemas.openxmlformats.org/officeDocument/2006/relationships/hyperlink" Target="https://nconnect.nicmar.ac.in/storage/profile/ProfilePhoto_P25700414_835714.jpg" TargetMode="External"/><Relationship Id="rId_hyperlink_457" Type="http://schemas.openxmlformats.org/officeDocument/2006/relationships/hyperlink" Target="https://nconnect.nicmar.ac.in/storage/profile/ProfilePhoto_P25700415_861234.jpg" TargetMode="External"/><Relationship Id="rId_hyperlink_458" Type="http://schemas.openxmlformats.org/officeDocument/2006/relationships/hyperlink" Target="https://nconnect.nicmar.ac.in/storage/profile/ProfilePhoto_P25700416_291456.jpg" TargetMode="External"/><Relationship Id="rId_hyperlink_459" Type="http://schemas.openxmlformats.org/officeDocument/2006/relationships/hyperlink" Target="https://nconnect.nicmar.ac.in/storage/profile/ProfilePhoto_P25700417_451862.jpg" TargetMode="External"/><Relationship Id="rId_hyperlink_460" Type="http://schemas.openxmlformats.org/officeDocument/2006/relationships/hyperlink" Target="https://nconnect.nicmar.ac.in/storage/profile/ProfilePhoto_P25700418_528617.jpg" TargetMode="External"/><Relationship Id="rId_hyperlink_461" Type="http://schemas.openxmlformats.org/officeDocument/2006/relationships/hyperlink" Target="https://nconnect.nicmar.ac.in/storage/profile/ProfilePhoto_P25700419_475938.jpg" TargetMode="External"/><Relationship Id="rId_hyperlink_462" Type="http://schemas.openxmlformats.org/officeDocument/2006/relationships/hyperlink" Target="https://nconnect.nicmar.ac.in/storage/profile/ProfilePhoto_P25700420_287643.jpg" TargetMode="External"/><Relationship Id="rId_hyperlink_463" Type="http://schemas.openxmlformats.org/officeDocument/2006/relationships/hyperlink" Target="https://nconnect.nicmar.ac.in/storage/profile/ProfilePhoto_P25700421_961834.jpg" TargetMode="External"/><Relationship Id="rId_hyperlink_464" Type="http://schemas.openxmlformats.org/officeDocument/2006/relationships/hyperlink" Target="https://nconnect.nicmar.ac.in/storage/profile/ProfilePhoto_P25700422_634185.jpg" TargetMode="External"/><Relationship Id="rId_hyperlink_465" Type="http://schemas.openxmlformats.org/officeDocument/2006/relationships/hyperlink" Target="https://nconnect.nicmar.ac.in/storage/profile/ProfilePhoto_P25700424_432817.jpg" TargetMode="External"/><Relationship Id="rId_hyperlink_466" Type="http://schemas.openxmlformats.org/officeDocument/2006/relationships/hyperlink" Target="https://nconnect.nicmar.ac.in/storage/profile/ProfilePhoto_P25700425_379841.jpg" TargetMode="External"/><Relationship Id="rId_hyperlink_467" Type="http://schemas.openxmlformats.org/officeDocument/2006/relationships/hyperlink" Target="https://nconnect.nicmar.ac.in/storage/profile/ProfilePhoto_P25700426_957814.jpg" TargetMode="External"/><Relationship Id="rId_hyperlink_468" Type="http://schemas.openxmlformats.org/officeDocument/2006/relationships/hyperlink" Target="https://nconnect.nicmar.ac.in/storage/profile/ProfilePhoto_P25700427_561483.jpg" TargetMode="External"/><Relationship Id="rId_hyperlink_469" Type="http://schemas.openxmlformats.org/officeDocument/2006/relationships/hyperlink" Target="https://nconnect.nicmar.ac.in/storage/profile/ProfilePhoto_P25700428_648923.jpg" TargetMode="External"/><Relationship Id="rId_hyperlink_470" Type="http://schemas.openxmlformats.org/officeDocument/2006/relationships/hyperlink" Target="https://nconnect.nicmar.ac.in/storage/profile/ProfilePhoto_P25700429_627859.jpg" TargetMode="External"/><Relationship Id="rId_hyperlink_471" Type="http://schemas.openxmlformats.org/officeDocument/2006/relationships/hyperlink" Target="https://nconnect.nicmar.ac.in/storage/profile/ProfilePhoto_P25700430_384715.jpg" TargetMode="External"/><Relationship Id="rId_hyperlink_472" Type="http://schemas.openxmlformats.org/officeDocument/2006/relationships/hyperlink" Target="https://nconnect.nicmar.ac.in/storage/profile/ProfilePhoto_P25700431_926174.jpg" TargetMode="External"/><Relationship Id="rId_hyperlink_473" Type="http://schemas.openxmlformats.org/officeDocument/2006/relationships/hyperlink" Target="https://nconnect.nicmar.ac.in/storage/profile/ProfilePhoto_P25700432_658914.jpg" TargetMode="External"/><Relationship Id="rId_hyperlink_474" Type="http://schemas.openxmlformats.org/officeDocument/2006/relationships/hyperlink" Target="https://nconnect.nicmar.ac.in/storage/profile/ProfilePhoto_P25700433_873965.jpg" TargetMode="External"/><Relationship Id="rId_hyperlink_475" Type="http://schemas.openxmlformats.org/officeDocument/2006/relationships/hyperlink" Target="https://nconnect.nicmar.ac.in/storage/profile/ProfilePhoto_P25700434_157429.jpg" TargetMode="External"/><Relationship Id="rId_hyperlink_476" Type="http://schemas.openxmlformats.org/officeDocument/2006/relationships/hyperlink" Target="https://nconnect.nicmar.ac.in/storage/profile/ProfilePhoto_P25700435_234951.jpg" TargetMode="External"/><Relationship Id="rId_hyperlink_477" Type="http://schemas.openxmlformats.org/officeDocument/2006/relationships/hyperlink" Target="https://nconnect.nicmar.ac.in/storage/profile/ProfilePhoto_P25700436_561982.jpg" TargetMode="External"/><Relationship Id="rId_hyperlink_478" Type="http://schemas.openxmlformats.org/officeDocument/2006/relationships/hyperlink" Target="https://nconnect.nicmar.ac.in/storage/profile/6a60b9b9a8f6d.png" TargetMode="External"/><Relationship Id="rId_hyperlink_479" Type="http://schemas.openxmlformats.org/officeDocument/2006/relationships/hyperlink" Target="https://nconnect.nicmar.ac.in/storage/profile/ProfilePhoto_P25700438_752491.jpg" TargetMode="External"/><Relationship Id="rId_hyperlink_480" Type="http://schemas.openxmlformats.org/officeDocument/2006/relationships/hyperlink" Target="https://nconnect.nicmar.ac.in/storage/profile/ProfilePhoto_P25700439_567421.jpg" TargetMode="External"/><Relationship Id="rId_hyperlink_481" Type="http://schemas.openxmlformats.org/officeDocument/2006/relationships/hyperlink" Target="https://nconnect.nicmar.ac.in/storage/profile/ProfilePhoto_P25700440_435897.jpg" TargetMode="External"/><Relationship Id="rId_hyperlink_482" Type="http://schemas.openxmlformats.org/officeDocument/2006/relationships/hyperlink" Target="https://nconnect.nicmar.ac.in/storage/profile/ProfilePhoto_P25700441_579146.jpg" TargetMode="External"/><Relationship Id="rId_hyperlink_483" Type="http://schemas.openxmlformats.org/officeDocument/2006/relationships/hyperlink" Target="https://nconnect.nicmar.ac.in/storage/profile/ProfilePhoto_P25700442_698427.jpg" TargetMode="External"/><Relationship Id="rId_hyperlink_484" Type="http://schemas.openxmlformats.org/officeDocument/2006/relationships/hyperlink" Target="https://nconnect.nicmar.ac.in/storage/profile/ProfilePhoto_P25700443_397648.jpg" TargetMode="External"/><Relationship Id="rId_hyperlink_485" Type="http://schemas.openxmlformats.org/officeDocument/2006/relationships/hyperlink" Target="https://nconnect.nicmar.ac.in/storage/profile/ProfilePhoto_P25700444_392578.jpg" TargetMode="External"/><Relationship Id="rId_hyperlink_486" Type="http://schemas.openxmlformats.org/officeDocument/2006/relationships/hyperlink" Target="https://nconnect.nicmar.ac.in/storage/profile/ProfilePhoto_P25700445_174289.jpg" TargetMode="External"/><Relationship Id="rId_hyperlink_487" Type="http://schemas.openxmlformats.org/officeDocument/2006/relationships/hyperlink" Target="https://nconnect.nicmar.ac.in/storage/profile/ProfilePhoto_P25700446_625137.jpg" TargetMode="External"/><Relationship Id="rId_hyperlink_488" Type="http://schemas.openxmlformats.org/officeDocument/2006/relationships/hyperlink" Target="https://nconnect.nicmar.ac.in/storage/profile/ProfilePhoto_P25700447_624183.jpg" TargetMode="External"/><Relationship Id="rId_hyperlink_489" Type="http://schemas.openxmlformats.org/officeDocument/2006/relationships/hyperlink" Target="https://nconnect.nicmar.ac.in/storage/profile/ProfilePhoto_P25700448_675934.jpg" TargetMode="External"/><Relationship Id="rId_hyperlink_490" Type="http://schemas.openxmlformats.org/officeDocument/2006/relationships/hyperlink" Target="https://nconnect.nicmar.ac.in/storage/profile/ProfilePhoto_P25700449_946731.jpg" TargetMode="External"/><Relationship Id="rId_hyperlink_491" Type="http://schemas.openxmlformats.org/officeDocument/2006/relationships/hyperlink" Target="https://nconnect.nicmar.ac.in/storage/profile/ProfilePhoto_P25700450_896257.jpg" TargetMode="External"/><Relationship Id="rId_hyperlink_492" Type="http://schemas.openxmlformats.org/officeDocument/2006/relationships/hyperlink" Target="https://nconnect.nicmar.ac.in/storage/profile/ProfilePhoto_P25700451_316894.jpg" TargetMode="External"/><Relationship Id="rId_hyperlink_493" Type="http://schemas.openxmlformats.org/officeDocument/2006/relationships/hyperlink" Target="https://nconnect.nicmar.ac.in/storage/profile/ProfilePhoto_P25700452_132786.jpg" TargetMode="External"/><Relationship Id="rId_hyperlink_494" Type="http://schemas.openxmlformats.org/officeDocument/2006/relationships/hyperlink" Target="https://nconnect.nicmar.ac.in/storage/profile/ProfilePhoto_P25700453_982314.jpg" TargetMode="External"/><Relationship Id="rId_hyperlink_495" Type="http://schemas.openxmlformats.org/officeDocument/2006/relationships/hyperlink" Target="https://nconnect.nicmar.ac.in/storage/profile/ProfilePhoto_P25700454_245369.jpg" TargetMode="External"/><Relationship Id="rId_hyperlink_496" Type="http://schemas.openxmlformats.org/officeDocument/2006/relationships/hyperlink" Target="https://nconnect.nicmar.ac.in/storage/profile/ProfilePhoto_P25700455_781534.jpg" TargetMode="External"/><Relationship Id="rId_hyperlink_497" Type="http://schemas.openxmlformats.org/officeDocument/2006/relationships/hyperlink" Target="https://nconnect.nicmar.ac.in/storage/profile/ProfilePhoto_P25700456_195823.jpg" TargetMode="External"/><Relationship Id="rId_hyperlink_498" Type="http://schemas.openxmlformats.org/officeDocument/2006/relationships/hyperlink" Target="https://nconnect.nicmar.ac.in/storage/profile/ProfilePhoto_P25700457_793145.jpg" TargetMode="External"/><Relationship Id="rId_hyperlink_499" Type="http://schemas.openxmlformats.org/officeDocument/2006/relationships/hyperlink" Target="https://nconnect.nicmar.ac.in/storage/profile/ProfilePhoto_P25700458_218963.jpg" TargetMode="External"/><Relationship Id="rId_hyperlink_500" Type="http://schemas.openxmlformats.org/officeDocument/2006/relationships/hyperlink" Target="https://nconnect.nicmar.ac.in/storage/profile/ProfilePhoto_P25700459_341756.jpg" TargetMode="External"/><Relationship Id="rId_hyperlink_501" Type="http://schemas.openxmlformats.org/officeDocument/2006/relationships/hyperlink" Target="https://nconnect.nicmar.ac.in/storage/profile/ProfilePhoto_P25700460_479385.jpg" TargetMode="External"/><Relationship Id="rId_hyperlink_502" Type="http://schemas.openxmlformats.org/officeDocument/2006/relationships/hyperlink" Target="https://nconnect.nicmar.ac.in/storage/profile/ProfilePhoto_P25700461_475293.jpg" TargetMode="External"/><Relationship Id="rId_hyperlink_503" Type="http://schemas.openxmlformats.org/officeDocument/2006/relationships/hyperlink" Target="https://nconnect.nicmar.ac.in/storage/profile/ProfilePhoto_P25700462_461837.jpg" TargetMode="External"/><Relationship Id="rId_hyperlink_504" Type="http://schemas.openxmlformats.org/officeDocument/2006/relationships/hyperlink" Target="https://nconnect.nicmar.ac.in/storage/profile/ProfilePhoto_P25700463_384196.jpg" TargetMode="External"/><Relationship Id="rId_hyperlink_505" Type="http://schemas.openxmlformats.org/officeDocument/2006/relationships/hyperlink" Target="https://nconnect.nicmar.ac.in/storage/profile/ProfilePhoto_P25700464_638752.jpg" TargetMode="External"/><Relationship Id="rId_hyperlink_506" Type="http://schemas.openxmlformats.org/officeDocument/2006/relationships/hyperlink" Target="https://nconnect.nicmar.ac.in/storage/profile/ProfilePhoto_P25700465_781254.jpg" TargetMode="External"/><Relationship Id="rId_hyperlink_507" Type="http://schemas.openxmlformats.org/officeDocument/2006/relationships/hyperlink" Target="https://nconnect.nicmar.ac.in/storage/profile/ProfilePhoto_P25700466_237615.jpg" TargetMode="External"/><Relationship Id="rId_hyperlink_508" Type="http://schemas.openxmlformats.org/officeDocument/2006/relationships/hyperlink" Target="https://nconnect.nicmar.ac.in/storage/profile/ProfilePhoto_P25700467_125643.jpg" TargetMode="External"/><Relationship Id="rId_hyperlink_509" Type="http://schemas.openxmlformats.org/officeDocument/2006/relationships/hyperlink" Target="https://nconnect.nicmar.ac.in/storage/profile/ProfilePhoto_P25700468_981762.jpg" TargetMode="External"/><Relationship Id="rId_hyperlink_510" Type="http://schemas.openxmlformats.org/officeDocument/2006/relationships/hyperlink" Target="https://nconnect.nicmar.ac.in/storage/profile/ProfilePhoto_P25700470_843725.jpg" TargetMode="External"/><Relationship Id="rId_hyperlink_511" Type="http://schemas.openxmlformats.org/officeDocument/2006/relationships/hyperlink" Target="https://nconnect.nicmar.ac.in/storage/profile/ProfilePhoto_P25700471_756394.jpg" TargetMode="External"/><Relationship Id="rId_hyperlink_512" Type="http://schemas.openxmlformats.org/officeDocument/2006/relationships/hyperlink" Target="https://nconnect.nicmar.ac.in/storage/profile/ProfilePhoto_P25700472_563742.jpg" TargetMode="External"/><Relationship Id="rId_hyperlink_513" Type="http://schemas.openxmlformats.org/officeDocument/2006/relationships/hyperlink" Target="https://nconnect.nicmar.ac.in/storage/profile/ProfilePhoto_P25700473_341952.jpg" TargetMode="External"/><Relationship Id="rId_hyperlink_514" Type="http://schemas.openxmlformats.org/officeDocument/2006/relationships/hyperlink" Target="https://nconnect.nicmar.ac.in/storage/profile/ProfilePhoto_P25700474_921674.jpg" TargetMode="External"/><Relationship Id="rId_hyperlink_515" Type="http://schemas.openxmlformats.org/officeDocument/2006/relationships/hyperlink" Target="https://nconnect.nicmar.ac.in/storage/profile/ProfilePhoto_P25700475_418297.jpg" TargetMode="External"/><Relationship Id="rId_hyperlink_516" Type="http://schemas.openxmlformats.org/officeDocument/2006/relationships/hyperlink" Target="https://nconnect.nicmar.ac.in/storage/profile/ProfilePhoto_P25700476_725986.jpg" TargetMode="External"/><Relationship Id="rId_hyperlink_517" Type="http://schemas.openxmlformats.org/officeDocument/2006/relationships/hyperlink" Target="https://nconnect.nicmar.ac.in/storage/profile/ProfilePhoto_P25700477_351924.jpg" TargetMode="External"/><Relationship Id="rId_hyperlink_518" Type="http://schemas.openxmlformats.org/officeDocument/2006/relationships/hyperlink" Target="https://nconnect.nicmar.ac.in/storage/profile/ProfilePhoto_P25700478_489325.jpg" TargetMode="External"/><Relationship Id="rId_hyperlink_519" Type="http://schemas.openxmlformats.org/officeDocument/2006/relationships/hyperlink" Target="https://nconnect.nicmar.ac.in/storage/profile/ProfilePhoto_P25700479_865294.jpg" TargetMode="External"/><Relationship Id="rId_hyperlink_520" Type="http://schemas.openxmlformats.org/officeDocument/2006/relationships/hyperlink" Target="https://nconnect.nicmar.ac.in/storage/profile/ProfilePhoto_P25700480_918634.jpg" TargetMode="External"/><Relationship Id="rId_hyperlink_521" Type="http://schemas.openxmlformats.org/officeDocument/2006/relationships/hyperlink" Target="https://nconnect.nicmar.ac.in/storage/profile/ProfilePhoto_P25700481_569471.jpg" TargetMode="External"/><Relationship Id="rId_hyperlink_522" Type="http://schemas.openxmlformats.org/officeDocument/2006/relationships/hyperlink" Target="https://nconnect.nicmar.ac.in/storage/profile/ProfilePhoto_P25700482_765438.jpg" TargetMode="External"/><Relationship Id="rId_hyperlink_523" Type="http://schemas.openxmlformats.org/officeDocument/2006/relationships/hyperlink" Target="https://nconnect.nicmar.ac.in/storage/profile/ProfilePhoto_P25700483_846325.jpg" TargetMode="External"/><Relationship Id="rId_hyperlink_524" Type="http://schemas.openxmlformats.org/officeDocument/2006/relationships/hyperlink" Target="https://nconnect.nicmar.ac.in/storage/profile/ProfilePhoto_P25700484_254718.jpg" TargetMode="External"/><Relationship Id="rId_hyperlink_525" Type="http://schemas.openxmlformats.org/officeDocument/2006/relationships/hyperlink" Target="https://nconnect.nicmar.ac.in/storage/profile/ProfilePhoto_P25700485_129836.jpg" TargetMode="External"/><Relationship Id="rId_hyperlink_526" Type="http://schemas.openxmlformats.org/officeDocument/2006/relationships/hyperlink" Target="https://nconnect.nicmar.ac.in/storage/profile/ProfilePhoto_P25700486_729541.jpg" TargetMode="External"/><Relationship Id="rId_hyperlink_527" Type="http://schemas.openxmlformats.org/officeDocument/2006/relationships/hyperlink" Target="https://nconnect.nicmar.ac.in/storage/profile/ProfilePhoto_P25700487_319528.jpg" TargetMode="External"/><Relationship Id="rId_hyperlink_528" Type="http://schemas.openxmlformats.org/officeDocument/2006/relationships/hyperlink" Target="https://nconnect.nicmar.ac.in/storage/profile/ProfilePhoto_P25700488_586793.jpg" TargetMode="External"/><Relationship Id="rId_hyperlink_529" Type="http://schemas.openxmlformats.org/officeDocument/2006/relationships/hyperlink" Target="https://nconnect.nicmar.ac.in/storage/profile/ProfilePhoto_P25700489_381496.jpg" TargetMode="External"/><Relationship Id="rId_hyperlink_530" Type="http://schemas.openxmlformats.org/officeDocument/2006/relationships/hyperlink" Target="https://nconnect.nicmar.ac.in/storage/profile/ProfilePhoto_P25700490_978215.jpg" TargetMode="External"/><Relationship Id="rId_hyperlink_531" Type="http://schemas.openxmlformats.org/officeDocument/2006/relationships/hyperlink" Target="https://nconnect.nicmar.ac.in/storage/profile/ProfilePhoto_P25700491_473681.jpg" TargetMode="External"/><Relationship Id="rId_hyperlink_532" Type="http://schemas.openxmlformats.org/officeDocument/2006/relationships/hyperlink" Target="https://nconnect.nicmar.ac.in/storage/profile/ProfilePhoto_P25700492_715349.jpg" TargetMode="External"/><Relationship Id="rId_hyperlink_533" Type="http://schemas.openxmlformats.org/officeDocument/2006/relationships/hyperlink" Target="https://nconnect.nicmar.ac.in/storage/profile/ProfilePhoto_P25700493_683249.jpg" TargetMode="External"/><Relationship Id="rId_hyperlink_534" Type="http://schemas.openxmlformats.org/officeDocument/2006/relationships/hyperlink" Target="https://nconnect.nicmar.ac.in/storage/profile/ProfilePhoto_P25700494_935762.jpg" TargetMode="External"/><Relationship Id="rId_hyperlink_535" Type="http://schemas.openxmlformats.org/officeDocument/2006/relationships/hyperlink" Target="https://nconnect.nicmar.ac.in/storage/profile/ProfilePhoto_P25700495_845126.jpg" TargetMode="External"/><Relationship Id="rId_hyperlink_536" Type="http://schemas.openxmlformats.org/officeDocument/2006/relationships/hyperlink" Target="https://nconnect.nicmar.ac.in/storage/profile/ProfilePhoto_P25700496_421673.jpg" TargetMode="External"/><Relationship Id="rId_hyperlink_537" Type="http://schemas.openxmlformats.org/officeDocument/2006/relationships/hyperlink" Target="https://nconnect.nicmar.ac.in/storage/profile/ProfilePhoto_P25700497_461735.jpg" TargetMode="External"/><Relationship Id="rId_hyperlink_538" Type="http://schemas.openxmlformats.org/officeDocument/2006/relationships/hyperlink" Target="https://nconnect.nicmar.ac.in/storage/profile/ProfilePhoto_P25700498_498652.jpg" TargetMode="External"/><Relationship Id="rId_hyperlink_539" Type="http://schemas.openxmlformats.org/officeDocument/2006/relationships/hyperlink" Target="https://nconnect.nicmar.ac.in/storage/profile/ProfilePhoto_P25700499_582613.jpg" TargetMode="External"/><Relationship Id="rId_hyperlink_540" Type="http://schemas.openxmlformats.org/officeDocument/2006/relationships/hyperlink" Target="https://nconnect.nicmar.ac.in/storage/profile/ProfilePhoto_P25700500_496237.jpg" TargetMode="External"/><Relationship Id="rId_hyperlink_541" Type="http://schemas.openxmlformats.org/officeDocument/2006/relationships/hyperlink" Target="https://nconnect.nicmar.ac.in/storage/profile/ProfilePhoto_P25700501_931728.jpg" TargetMode="External"/><Relationship Id="rId_hyperlink_542" Type="http://schemas.openxmlformats.org/officeDocument/2006/relationships/hyperlink" Target="https://nconnect.nicmar.ac.in/storage/profile/ProfilePhoto_P25700502_714592.jpg" TargetMode="External"/><Relationship Id="rId_hyperlink_543" Type="http://schemas.openxmlformats.org/officeDocument/2006/relationships/hyperlink" Target="https://nconnect.nicmar.ac.in/storage/profile/ProfilePhoto_P25700503_618932.jpg" TargetMode="External"/><Relationship Id="rId_hyperlink_544" Type="http://schemas.openxmlformats.org/officeDocument/2006/relationships/hyperlink" Target="https://nconnect.nicmar.ac.in/storage/profile/ProfilePhoto_P25700504_842731.jpg" TargetMode="External"/><Relationship Id="rId_hyperlink_545" Type="http://schemas.openxmlformats.org/officeDocument/2006/relationships/hyperlink" Target="https://nconnect.nicmar.ac.in/storage/profile/ProfilePhoto_P25700505_843196.jpg" TargetMode="External"/><Relationship Id="rId_hyperlink_546" Type="http://schemas.openxmlformats.org/officeDocument/2006/relationships/hyperlink" Target="https://nconnect.nicmar.ac.in/storage/profile/ProfilePhoto_P25700506_716935.jpg" TargetMode="External"/><Relationship Id="rId_hyperlink_547" Type="http://schemas.openxmlformats.org/officeDocument/2006/relationships/hyperlink" Target="https://nconnect.nicmar.ac.in/storage/profile/ProfilePhoto_P25700507_128367.jpg" TargetMode="External"/><Relationship Id="rId_hyperlink_548" Type="http://schemas.openxmlformats.org/officeDocument/2006/relationships/hyperlink" Target="https://nconnect.nicmar.ac.in/storage/profile/ProfilePhoto_P25700508_846395.jpg" TargetMode="External"/><Relationship Id="rId_hyperlink_549" Type="http://schemas.openxmlformats.org/officeDocument/2006/relationships/hyperlink" Target="https://nconnect.nicmar.ac.in/storage/profile/ProfilePhoto_P25700510_528964.jpg" TargetMode="External"/><Relationship Id="rId_hyperlink_550" Type="http://schemas.openxmlformats.org/officeDocument/2006/relationships/hyperlink" Target="https://nconnect.nicmar.ac.in/storage/profile/ProfilePhoto_P25700511_196873.jpg" TargetMode="External"/><Relationship Id="rId_hyperlink_551" Type="http://schemas.openxmlformats.org/officeDocument/2006/relationships/hyperlink" Target="https://nconnect.nicmar.ac.in/storage/profile/ProfilePhoto_P25700512_136547.jpg" TargetMode="External"/><Relationship Id="rId_hyperlink_552" Type="http://schemas.openxmlformats.org/officeDocument/2006/relationships/hyperlink" Target="https://nconnect.nicmar.ac.in/storage/profile/ProfilePhoto_P25700513_941562.jpg" TargetMode="External"/><Relationship Id="rId_hyperlink_553" Type="http://schemas.openxmlformats.org/officeDocument/2006/relationships/hyperlink" Target="https://nconnect.nicmar.ac.in/storage/profile/ProfilePhoto_P25700514_542397.jpg" TargetMode="External"/><Relationship Id="rId_hyperlink_554" Type="http://schemas.openxmlformats.org/officeDocument/2006/relationships/hyperlink" Target="https://nconnect.nicmar.ac.in/storage/profile/ProfilePhoto_P25700515_823165.jpg" TargetMode="External"/><Relationship Id="rId_hyperlink_555" Type="http://schemas.openxmlformats.org/officeDocument/2006/relationships/hyperlink" Target="https://nconnect.nicmar.ac.in/storage/profile/ProfilePhoto_P25700516_637824.jpg" TargetMode="External"/><Relationship Id="rId_hyperlink_556" Type="http://schemas.openxmlformats.org/officeDocument/2006/relationships/hyperlink" Target="https://nconnect.nicmar.ac.in/storage/profile/ProfilePhoto_P25700518_691543.jpg" TargetMode="External"/><Relationship Id="rId_hyperlink_557" Type="http://schemas.openxmlformats.org/officeDocument/2006/relationships/hyperlink" Target="https://nconnect.nicmar.ac.in/storage/profile/ProfilePhoto_P25700519_691532.jpg" TargetMode="External"/><Relationship Id="rId_hyperlink_558" Type="http://schemas.openxmlformats.org/officeDocument/2006/relationships/hyperlink" Target="https://nconnect.nicmar.ac.in/storage/profile/ProfilePhoto_P25700520_925738.jpg" TargetMode="External"/><Relationship Id="rId_hyperlink_559" Type="http://schemas.openxmlformats.org/officeDocument/2006/relationships/hyperlink" Target="https://nconnect.nicmar.ac.in/storage/profile/ProfilePhoto_P25700521_734961.jpg" TargetMode="External"/><Relationship Id="rId_hyperlink_560" Type="http://schemas.openxmlformats.org/officeDocument/2006/relationships/hyperlink" Target="https://nconnect.nicmar.ac.in/storage/profile/ProfilePhoto_P25700522_658429.jpg" TargetMode="External"/><Relationship Id="rId_hyperlink_561" Type="http://schemas.openxmlformats.org/officeDocument/2006/relationships/hyperlink" Target="https://nconnect.nicmar.ac.in/storage/profile/ProfilePhoto_P25700524_859374.jpg" TargetMode="External"/><Relationship Id="rId_hyperlink_562" Type="http://schemas.openxmlformats.org/officeDocument/2006/relationships/hyperlink" Target="https://nconnect.nicmar.ac.in/storage/profile/ProfilePhoto_P25700525_376924.jpg" TargetMode="External"/><Relationship Id="rId_hyperlink_563" Type="http://schemas.openxmlformats.org/officeDocument/2006/relationships/hyperlink" Target="https://nconnect.nicmar.ac.in/storage/profile/ProfilePhoto_P25700526_147892.jpg" TargetMode="External"/><Relationship Id="rId_hyperlink_564" Type="http://schemas.openxmlformats.org/officeDocument/2006/relationships/hyperlink" Target="https://nconnect.nicmar.ac.in/storage/profile/ProfilePhoto_P25700527_758192.jpg" TargetMode="External"/><Relationship Id="rId_hyperlink_565" Type="http://schemas.openxmlformats.org/officeDocument/2006/relationships/hyperlink" Target="https://nconnect.nicmar.ac.in/storage/profile/ProfilePhoto_P25700528_814675.jpg" TargetMode="External"/><Relationship Id="rId_hyperlink_566" Type="http://schemas.openxmlformats.org/officeDocument/2006/relationships/hyperlink" Target="https://nconnect.nicmar.ac.in/storage/profile/ProfilePhoto_P25700529_642317.jpg" TargetMode="External"/><Relationship Id="rId_hyperlink_567" Type="http://schemas.openxmlformats.org/officeDocument/2006/relationships/hyperlink" Target="https://nconnect.nicmar.ac.in/storage/profile/ProfilePhoto_P25700530_647152.jpg" TargetMode="External"/><Relationship Id="rId_hyperlink_568" Type="http://schemas.openxmlformats.org/officeDocument/2006/relationships/hyperlink" Target="https://nconnect.nicmar.ac.in/storage/profile/ProfilePhoto_P25700531_843916.jpg" TargetMode="External"/><Relationship Id="rId_hyperlink_569" Type="http://schemas.openxmlformats.org/officeDocument/2006/relationships/hyperlink" Target="https://nconnect.nicmar.ac.in/storage/profile/ProfilePhoto_P25700532_741398.jpg" TargetMode="External"/><Relationship Id="rId_hyperlink_570" Type="http://schemas.openxmlformats.org/officeDocument/2006/relationships/hyperlink" Target="https://nconnect.nicmar.ac.in/storage/profile/ProfilePhoto_P25700533_726583.jpg" TargetMode="External"/><Relationship Id="rId_hyperlink_571" Type="http://schemas.openxmlformats.org/officeDocument/2006/relationships/hyperlink" Target="https://nconnect.nicmar.ac.in/storage/profile/ProfilePhoto_P25700534_342198.jpg" TargetMode="External"/><Relationship Id="rId_hyperlink_572" Type="http://schemas.openxmlformats.org/officeDocument/2006/relationships/hyperlink" Target="https://nconnect.nicmar.ac.in/storage/profile/ProfilePhoto_P25700535_218456.jpg" TargetMode="External"/><Relationship Id="rId_hyperlink_573" Type="http://schemas.openxmlformats.org/officeDocument/2006/relationships/hyperlink" Target="https://nconnect.nicmar.ac.in/storage/profile/ProfilePhoto_P25700536_349728.jpg" TargetMode="External"/><Relationship Id="rId_hyperlink_574" Type="http://schemas.openxmlformats.org/officeDocument/2006/relationships/hyperlink" Target="https://nconnect.nicmar.ac.in/storage/profile/ProfilePhoto_P25700537_596821.jpg" TargetMode="External"/><Relationship Id="rId_hyperlink_575" Type="http://schemas.openxmlformats.org/officeDocument/2006/relationships/hyperlink" Target="https://nconnect.nicmar.ac.in/storage/profile/ProfilePhoto_P25700538_648517.jpg" TargetMode="External"/><Relationship Id="rId_hyperlink_576" Type="http://schemas.openxmlformats.org/officeDocument/2006/relationships/hyperlink" Target="https://nconnect.nicmar.ac.in/storage/profile/ProfilePhoto_P25700539_189627.jpg" TargetMode="External"/><Relationship Id="rId_hyperlink_577" Type="http://schemas.openxmlformats.org/officeDocument/2006/relationships/hyperlink" Target="https://nconnect.nicmar.ac.in/storage/profile/ProfilePhoto_P25700540_731968.jpg" TargetMode="External"/><Relationship Id="rId_hyperlink_578" Type="http://schemas.openxmlformats.org/officeDocument/2006/relationships/hyperlink" Target="https://nconnect.nicmar.ac.in/storage/profile/ProfilePhoto_P25700541_148765.jpg" TargetMode="External"/><Relationship Id="rId_hyperlink_579" Type="http://schemas.openxmlformats.org/officeDocument/2006/relationships/hyperlink" Target="https://nconnect.nicmar.ac.in/storage/profile/ProfilePhoto_P25700542_891354.jpg" TargetMode="External"/><Relationship Id="rId_hyperlink_580" Type="http://schemas.openxmlformats.org/officeDocument/2006/relationships/hyperlink" Target="https://nconnect.nicmar.ac.in/storage/profile/ProfilePhoto_P25700543_269387.jpg" TargetMode="External"/><Relationship Id="rId_hyperlink_581" Type="http://schemas.openxmlformats.org/officeDocument/2006/relationships/hyperlink" Target="https://nconnect.nicmar.ac.in/storage/profile/ProfilePhoto_P25700544_418352.jpg" TargetMode="External"/><Relationship Id="rId_hyperlink_582" Type="http://schemas.openxmlformats.org/officeDocument/2006/relationships/hyperlink" Target="https://nconnect.nicmar.ac.in/storage/profile/ProfilePhoto_P25700545_567941.jpg" TargetMode="External"/><Relationship Id="rId_hyperlink_583" Type="http://schemas.openxmlformats.org/officeDocument/2006/relationships/hyperlink" Target="https://nconnect.nicmar.ac.in/storage/profile/ProfilePhoto_P25700546_862451.jpg" TargetMode="External"/><Relationship Id="rId_hyperlink_584" Type="http://schemas.openxmlformats.org/officeDocument/2006/relationships/hyperlink" Target="https://nconnect.nicmar.ac.in/storage/profile/ProfilePhoto_P25700547_673924.jpg" TargetMode="External"/><Relationship Id="rId_hyperlink_585" Type="http://schemas.openxmlformats.org/officeDocument/2006/relationships/hyperlink" Target="https://nconnect.nicmar.ac.in/storage/profile/ProfilePhoto_P25700548_318946.jpg" TargetMode="External"/><Relationship Id="rId_hyperlink_586" Type="http://schemas.openxmlformats.org/officeDocument/2006/relationships/hyperlink" Target="https://nconnect.nicmar.ac.in/storage/profile/ProfilePhoto_P25700549_864517.jpg" TargetMode="External"/><Relationship Id="rId_hyperlink_587" Type="http://schemas.openxmlformats.org/officeDocument/2006/relationships/hyperlink" Target="https://nconnect.nicmar.ac.in/storage/profile/ProfilePhoto_P25700550_952413.jpg" TargetMode="External"/><Relationship Id="rId_hyperlink_588" Type="http://schemas.openxmlformats.org/officeDocument/2006/relationships/hyperlink" Target="https://nconnect.nicmar.ac.in/storage/profile/ProfilePhoto_P25700551_586341.jpg" TargetMode="External"/><Relationship Id="rId_hyperlink_589" Type="http://schemas.openxmlformats.org/officeDocument/2006/relationships/hyperlink" Target="https://nconnect.nicmar.ac.in/storage/profile/ProfilePhoto_P25700552_231985.jpg" TargetMode="External"/><Relationship Id="rId_hyperlink_590" Type="http://schemas.openxmlformats.org/officeDocument/2006/relationships/hyperlink" Target="https://nconnect.nicmar.ac.in/storage/profile/ProfilePhoto_P25700553_372649.jpg" TargetMode="External"/><Relationship Id="rId_hyperlink_591" Type="http://schemas.openxmlformats.org/officeDocument/2006/relationships/hyperlink" Target="https://nconnect.nicmar.ac.in/storage/profile/ProfilePhoto_P25700554_582394.jpg" TargetMode="External"/><Relationship Id="rId_hyperlink_592" Type="http://schemas.openxmlformats.org/officeDocument/2006/relationships/hyperlink" Target="https://nconnect.nicmar.ac.in/storage/profile/ProfilePhoto_P25700555_613982.jpg" TargetMode="External"/><Relationship Id="rId_hyperlink_593" Type="http://schemas.openxmlformats.org/officeDocument/2006/relationships/hyperlink" Target="https://nconnect.nicmar.ac.in/storage/profile/ProfilePhoto_P25700557_162945.jpg" TargetMode="External"/><Relationship Id="rId_hyperlink_594" Type="http://schemas.openxmlformats.org/officeDocument/2006/relationships/hyperlink" Target="https://nconnect.nicmar.ac.in/storage/profile/ProfilePhoto_P25700558_745321.jpg" TargetMode="External"/><Relationship Id="rId_hyperlink_595" Type="http://schemas.openxmlformats.org/officeDocument/2006/relationships/hyperlink" Target="https://nconnect.nicmar.ac.in/storage/profile/ProfilePhoto_P25700559_513428.jpg" TargetMode="External"/><Relationship Id="rId_hyperlink_596" Type="http://schemas.openxmlformats.org/officeDocument/2006/relationships/hyperlink" Target="https://nconnect.nicmar.ac.in/storage/profile/ProfilePhoto_P25700560_126375.jpg" TargetMode="External"/><Relationship Id="rId_hyperlink_597" Type="http://schemas.openxmlformats.org/officeDocument/2006/relationships/hyperlink" Target="https://nconnect.nicmar.ac.in/storage/profile/ProfilePhoto_P25700561_948516.jpg" TargetMode="External"/><Relationship Id="rId_hyperlink_598" Type="http://schemas.openxmlformats.org/officeDocument/2006/relationships/hyperlink" Target="https://nconnect.nicmar.ac.in/storage/profile/ProfilePhoto_P25700562_857264.jpg" TargetMode="External"/><Relationship Id="rId_hyperlink_599" Type="http://schemas.openxmlformats.org/officeDocument/2006/relationships/hyperlink" Target="https://nconnect.nicmar.ac.in/storage/profile/ProfilePhoto_P25700563_865279.jpg" TargetMode="External"/><Relationship Id="rId_hyperlink_600" Type="http://schemas.openxmlformats.org/officeDocument/2006/relationships/hyperlink" Target="https://nconnect.nicmar.ac.in/storage/profile/ProfilePhoto_P25700564_238796.jpg" TargetMode="External"/><Relationship Id="rId_hyperlink_601" Type="http://schemas.openxmlformats.org/officeDocument/2006/relationships/hyperlink" Target="https://nconnect.nicmar.ac.in/storage/profile/ProfilePhoto_P25700565_458762.jpg" TargetMode="External"/><Relationship Id="rId_hyperlink_602" Type="http://schemas.openxmlformats.org/officeDocument/2006/relationships/hyperlink" Target="https://nconnect.nicmar.ac.in/storage/profile/ProfilePhoto_P25700566_326841.jpg" TargetMode="External"/><Relationship Id="rId_hyperlink_603" Type="http://schemas.openxmlformats.org/officeDocument/2006/relationships/hyperlink" Target="https://nconnect.nicmar.ac.in/storage/profile/ProfilePhoto_P25700567_194573.jpg" TargetMode="External"/><Relationship Id="rId_hyperlink_604" Type="http://schemas.openxmlformats.org/officeDocument/2006/relationships/hyperlink" Target="https://nconnect.nicmar.ac.in/storage/profile/ProfilePhoto_P25700568_126738.jpg" TargetMode="External"/><Relationship Id="rId_hyperlink_605" Type="http://schemas.openxmlformats.org/officeDocument/2006/relationships/hyperlink" Target="https://nconnect.nicmar.ac.in/storage/profile/ProfilePhoto_P25700569_579436.jpg" TargetMode="External"/><Relationship Id="rId_hyperlink_606" Type="http://schemas.openxmlformats.org/officeDocument/2006/relationships/hyperlink" Target="https://nconnect.nicmar.ac.in/storage/profile/ProfilePhoto_P25700570_237541.jpg" TargetMode="External"/><Relationship Id="rId_hyperlink_607" Type="http://schemas.openxmlformats.org/officeDocument/2006/relationships/hyperlink" Target="https://nconnect.nicmar.ac.in/storage/profile/ProfilePhoto_P25700571_859736.jpg" TargetMode="External"/><Relationship Id="rId_hyperlink_608" Type="http://schemas.openxmlformats.org/officeDocument/2006/relationships/hyperlink" Target="https://nconnect.nicmar.ac.in/storage/profile/ProfilePhoto_P25700572_925681.jpg" TargetMode="External"/><Relationship Id="rId_hyperlink_609" Type="http://schemas.openxmlformats.org/officeDocument/2006/relationships/hyperlink" Target="https://nconnect.nicmar.ac.in/storage/profile/ProfilePhoto_P25700573_289415.jpg" TargetMode="External"/><Relationship Id="rId_hyperlink_610" Type="http://schemas.openxmlformats.org/officeDocument/2006/relationships/hyperlink" Target="https://nconnect.nicmar.ac.in/storage/profile/ProfilePhoto_P25700574_937814.jpg" TargetMode="External"/><Relationship Id="rId_hyperlink_611" Type="http://schemas.openxmlformats.org/officeDocument/2006/relationships/hyperlink" Target="https://nconnect.nicmar.ac.in/storage/profile/ProfilePhoto_P25700575_561478.jpg" TargetMode="External"/><Relationship Id="rId_hyperlink_612" Type="http://schemas.openxmlformats.org/officeDocument/2006/relationships/hyperlink" Target="https://nconnect.nicmar.ac.in/storage/profile/ProfilePhoto_P25700576_435176.jpg" TargetMode="External"/><Relationship Id="rId_hyperlink_613" Type="http://schemas.openxmlformats.org/officeDocument/2006/relationships/hyperlink" Target="https://nconnect.nicmar.ac.in/storage/profile/ProfilePhoto_P25700577_523498.jpg" TargetMode="External"/><Relationship Id="rId_hyperlink_614" Type="http://schemas.openxmlformats.org/officeDocument/2006/relationships/hyperlink" Target="https://nconnect.nicmar.ac.in/storage/profile/ProfilePhoto_P25700578_347951.jpg" TargetMode="External"/><Relationship Id="rId_hyperlink_615" Type="http://schemas.openxmlformats.org/officeDocument/2006/relationships/hyperlink" Target="https://nconnect.nicmar.ac.in/storage/profile/ProfilePhoto_P25700579_237859.jpg" TargetMode="External"/><Relationship Id="rId_hyperlink_616" Type="http://schemas.openxmlformats.org/officeDocument/2006/relationships/hyperlink" Target="https://nconnect.nicmar.ac.in/storage/profile/ProfilePhoto_P25700580_295186.jpg" TargetMode="External"/><Relationship Id="rId_hyperlink_617" Type="http://schemas.openxmlformats.org/officeDocument/2006/relationships/hyperlink" Target="https://nconnect.nicmar.ac.in/storage/profile/ProfilePhoto_P25700581_985367.jpg" TargetMode="External"/><Relationship Id="rId_hyperlink_618" Type="http://schemas.openxmlformats.org/officeDocument/2006/relationships/hyperlink" Target="https://nconnect.nicmar.ac.in/storage/profile/ProfilePhoto_P25700582_791845.jpg" TargetMode="External"/><Relationship Id="rId_hyperlink_619" Type="http://schemas.openxmlformats.org/officeDocument/2006/relationships/hyperlink" Target="https://nconnect.nicmar.ac.in/storage/profile/ProfilePhoto_P25700583_527169.jpg" TargetMode="External"/><Relationship Id="rId_hyperlink_620" Type="http://schemas.openxmlformats.org/officeDocument/2006/relationships/hyperlink" Target="https://nconnect.nicmar.ac.in/storage/profile/ProfilePhoto_P25700585_357829.jpg" TargetMode="External"/><Relationship Id="rId_hyperlink_621" Type="http://schemas.openxmlformats.org/officeDocument/2006/relationships/hyperlink" Target="https://nconnect.nicmar.ac.in/storage/profile/ProfilePhoto_P25700586_826451.jpg" TargetMode="External"/><Relationship Id="rId_hyperlink_622" Type="http://schemas.openxmlformats.org/officeDocument/2006/relationships/hyperlink" Target="https://nconnect.nicmar.ac.in/storage/profile/ProfilePhoto_P25700587_216584.jpg" TargetMode="External"/><Relationship Id="rId_hyperlink_623" Type="http://schemas.openxmlformats.org/officeDocument/2006/relationships/hyperlink" Target="https://nconnect.nicmar.ac.in/storage/profile/ProfilePhoto_P25700588_849236.jpg" TargetMode="External"/><Relationship Id="rId_hyperlink_624" Type="http://schemas.openxmlformats.org/officeDocument/2006/relationships/hyperlink" Target="https://nconnect.nicmar.ac.in/storage/profile/ProfilePhoto_P25700589_315784.jpg" TargetMode="External"/><Relationship Id="rId_hyperlink_625" Type="http://schemas.openxmlformats.org/officeDocument/2006/relationships/hyperlink" Target="https://nconnect.nicmar.ac.in/storage/profile/ProfilePhoto_P25700590_136924.jpg" TargetMode="External"/><Relationship Id="rId_hyperlink_626" Type="http://schemas.openxmlformats.org/officeDocument/2006/relationships/hyperlink" Target="https://nconnect.nicmar.ac.in/storage/profile/ProfilePhoto_P25700591_413927.jpg" TargetMode="External"/><Relationship Id="rId_hyperlink_627" Type="http://schemas.openxmlformats.org/officeDocument/2006/relationships/hyperlink" Target="https://nconnect.nicmar.ac.in/storage/profile/ProfilePhoto_P25700592_416579.jpg" TargetMode="External"/><Relationship Id="rId_hyperlink_628" Type="http://schemas.openxmlformats.org/officeDocument/2006/relationships/hyperlink" Target="https://nconnect.nicmar.ac.in/storage/profile/ProfilePhoto_P25700593_914835.jpg" TargetMode="External"/><Relationship Id="rId_hyperlink_629" Type="http://schemas.openxmlformats.org/officeDocument/2006/relationships/hyperlink" Target="https://nconnect.nicmar.ac.in/storage/profile/ProfilePhoto_P25700594_156829.jpg" TargetMode="External"/><Relationship Id="rId_hyperlink_630" Type="http://schemas.openxmlformats.org/officeDocument/2006/relationships/hyperlink" Target="https://nconnect.nicmar.ac.in/storage/profile/ProfilePhoto_P25700595_861492.jpg" TargetMode="External"/><Relationship Id="rId_hyperlink_631" Type="http://schemas.openxmlformats.org/officeDocument/2006/relationships/hyperlink" Target="https://nconnect.nicmar.ac.in/storage/profile/ProfilePhoto_P25700596_394516.jpg" TargetMode="External"/><Relationship Id="rId_hyperlink_632" Type="http://schemas.openxmlformats.org/officeDocument/2006/relationships/hyperlink" Target="https://nconnect.nicmar.ac.in/storage/profile/ProfilePhoto_P25700597_285793.jpg" TargetMode="External"/><Relationship Id="rId_hyperlink_633" Type="http://schemas.openxmlformats.org/officeDocument/2006/relationships/hyperlink" Target="https://nconnect.nicmar.ac.in/storage/profile/ProfilePhoto_P25700598_387159.jpg" TargetMode="External"/><Relationship Id="rId_hyperlink_634" Type="http://schemas.openxmlformats.org/officeDocument/2006/relationships/hyperlink" Target="https://nconnect.nicmar.ac.in/storage/profile/ProfilePhoto_P25700599_658143.jpg" TargetMode="External"/><Relationship Id="rId_hyperlink_635" Type="http://schemas.openxmlformats.org/officeDocument/2006/relationships/hyperlink" Target="https://nconnect.nicmar.ac.in/storage/profile/ProfilePhoto_P25700600_762981.jpg" TargetMode="External"/><Relationship Id="rId_hyperlink_636" Type="http://schemas.openxmlformats.org/officeDocument/2006/relationships/hyperlink" Target="https://nconnect.nicmar.ac.in/storage/profile/ProfilePhoto_P25700601_924578.jpg" TargetMode="External"/><Relationship Id="rId_hyperlink_637" Type="http://schemas.openxmlformats.org/officeDocument/2006/relationships/hyperlink" Target="https://nconnect.nicmar.ac.in/storage/profile/ProfilePhoto_P25700602_218567.jpg" TargetMode="External"/><Relationship Id="rId_hyperlink_638" Type="http://schemas.openxmlformats.org/officeDocument/2006/relationships/hyperlink" Target="https://nconnect.nicmar.ac.in/storage/profile/ProfilePhoto_P25700603_281359.jpg" TargetMode="External"/><Relationship Id="rId_hyperlink_639" Type="http://schemas.openxmlformats.org/officeDocument/2006/relationships/hyperlink" Target="https://nconnect.nicmar.ac.in/storage/profile/ProfilePhoto_P25700604_461283.jpg" TargetMode="External"/><Relationship Id="rId_hyperlink_640" Type="http://schemas.openxmlformats.org/officeDocument/2006/relationships/hyperlink" Target="https://nconnect.nicmar.ac.in/storage/profile/ProfilePhoto_P25700605_372681.jpg" TargetMode="External"/><Relationship Id="rId_hyperlink_641" Type="http://schemas.openxmlformats.org/officeDocument/2006/relationships/hyperlink" Target="https://nconnect.nicmar.ac.in/storage/profile/ProfilePhoto_P25700606_536718.jpg" TargetMode="External"/><Relationship Id="rId_hyperlink_642" Type="http://schemas.openxmlformats.org/officeDocument/2006/relationships/hyperlink" Target="https://nconnect.nicmar.ac.in/storage/profile/ProfilePhoto_P25700607_719423.jpg" TargetMode="External"/><Relationship Id="rId_hyperlink_643" Type="http://schemas.openxmlformats.org/officeDocument/2006/relationships/hyperlink" Target="https://nconnect.nicmar.ac.in/storage/profile/ProfilePhoto_P25700608_264975.jpg" TargetMode="External"/><Relationship Id="rId_hyperlink_644" Type="http://schemas.openxmlformats.org/officeDocument/2006/relationships/hyperlink" Target="https://nconnect.nicmar.ac.in/storage/profile/ProfilePhoto_P25700609_852341.jpg" TargetMode="External"/><Relationship Id="rId_hyperlink_645" Type="http://schemas.openxmlformats.org/officeDocument/2006/relationships/hyperlink" Target="https://nconnect.nicmar.ac.in/storage/profile/ProfilePhoto_P25700610_143892.jpg" TargetMode="External"/><Relationship Id="rId_hyperlink_646" Type="http://schemas.openxmlformats.org/officeDocument/2006/relationships/hyperlink" Target="https://nconnect.nicmar.ac.in/storage/profile/ProfilePhoto_P25700611_842917.jpg" TargetMode="External"/><Relationship Id="rId_hyperlink_647" Type="http://schemas.openxmlformats.org/officeDocument/2006/relationships/hyperlink" Target="https://nconnect.nicmar.ac.in/storage/profile/ProfilePhoto_P25700612_964275.jpg" TargetMode="External"/><Relationship Id="rId_hyperlink_648" Type="http://schemas.openxmlformats.org/officeDocument/2006/relationships/hyperlink" Target="https://nconnect.nicmar.ac.in/storage/profile/ProfilePhoto_P25700613_197586.jpg" TargetMode="External"/><Relationship Id="rId_hyperlink_649" Type="http://schemas.openxmlformats.org/officeDocument/2006/relationships/hyperlink" Target="https://nconnect.nicmar.ac.in/storage/profile/ProfilePhoto_P25700614_342179.jpg" TargetMode="External"/><Relationship Id="rId_hyperlink_650" Type="http://schemas.openxmlformats.org/officeDocument/2006/relationships/hyperlink" Target="https://nconnect.nicmar.ac.in/storage/profile/ProfilePhoto_P25700615_362518.jpg" TargetMode="External"/><Relationship Id="rId_hyperlink_651" Type="http://schemas.openxmlformats.org/officeDocument/2006/relationships/hyperlink" Target="https://nconnect.nicmar.ac.in/storage/profile/ProfilePhoto_P25700617_543618.jpg" TargetMode="External"/><Relationship Id="rId_hyperlink_652" Type="http://schemas.openxmlformats.org/officeDocument/2006/relationships/hyperlink" Target="https://nconnect.nicmar.ac.in/storage/profile/ProfilePhoto_P25700618_523847.jpg" TargetMode="External"/><Relationship Id="rId_hyperlink_653" Type="http://schemas.openxmlformats.org/officeDocument/2006/relationships/hyperlink" Target="https://nconnect.nicmar.ac.in/storage/profile/ProfilePhoto_P25700619_852364.jpg" TargetMode="External"/><Relationship Id="rId_hyperlink_654" Type="http://schemas.openxmlformats.org/officeDocument/2006/relationships/hyperlink" Target="https://nconnect.nicmar.ac.in/storage/profile/ProfilePhoto_P25700620_259716.jpg" TargetMode="External"/><Relationship Id="rId_hyperlink_655" Type="http://schemas.openxmlformats.org/officeDocument/2006/relationships/hyperlink" Target="https://nconnect.nicmar.ac.in/storage/profile/ProfilePhoto_P25700621_452871.jpg" TargetMode="External"/><Relationship Id="rId_hyperlink_656" Type="http://schemas.openxmlformats.org/officeDocument/2006/relationships/hyperlink" Target="https://nconnect.nicmar.ac.in/storage/profile/ProfilePhoto_P25700622_639152.jpg" TargetMode="External"/><Relationship Id="rId_hyperlink_657" Type="http://schemas.openxmlformats.org/officeDocument/2006/relationships/hyperlink" Target="https://nconnect.nicmar.ac.in/storage/profile/ProfilePhoto_P25700623_438172.jpg" TargetMode="External"/><Relationship Id="rId_hyperlink_658" Type="http://schemas.openxmlformats.org/officeDocument/2006/relationships/hyperlink" Target="https://nconnect.nicmar.ac.in/storage/profile/ProfilePhoto_P25700624_834795.jpg" TargetMode="External"/><Relationship Id="rId_hyperlink_659" Type="http://schemas.openxmlformats.org/officeDocument/2006/relationships/hyperlink" Target="https://nconnect.nicmar.ac.in/storage/profile/ProfilePhoto_P25700626_346895.jpg" TargetMode="External"/><Relationship Id="rId_hyperlink_660" Type="http://schemas.openxmlformats.org/officeDocument/2006/relationships/hyperlink" Target="https://nconnect.nicmar.ac.in/storage/profile/ProfilePhoto_P25700627_278145.jpg" TargetMode="External"/><Relationship Id="rId_hyperlink_661" Type="http://schemas.openxmlformats.org/officeDocument/2006/relationships/hyperlink" Target="https://nconnect.nicmar.ac.in/storage/profile/ProfilePhoto_P25700628_692713.jpg" TargetMode="External"/><Relationship Id="rId_hyperlink_662" Type="http://schemas.openxmlformats.org/officeDocument/2006/relationships/hyperlink" Target="https://nconnect.nicmar.ac.in/storage/profile/ProfilePhoto_P25700629_729153.jpg" TargetMode="External"/><Relationship Id="rId_hyperlink_663" Type="http://schemas.openxmlformats.org/officeDocument/2006/relationships/hyperlink" Target="https://nconnect.nicmar.ac.in/storage/profile/ProfilePhoto_P25700630_165892.jpg" TargetMode="External"/><Relationship Id="rId_hyperlink_664" Type="http://schemas.openxmlformats.org/officeDocument/2006/relationships/hyperlink" Target="https://nconnect.nicmar.ac.in/storage/profile/ProfilePhoto_P25700631_576189.jpg" TargetMode="External"/><Relationship Id="rId_hyperlink_665" Type="http://schemas.openxmlformats.org/officeDocument/2006/relationships/hyperlink" Target="https://nconnect.nicmar.ac.in/storage/profile/ProfilePhoto_P25700632_185743.jpg" TargetMode="External"/><Relationship Id="rId_hyperlink_666" Type="http://schemas.openxmlformats.org/officeDocument/2006/relationships/hyperlink" Target="https://nconnect.nicmar.ac.in/storage/profile/ProfilePhoto_P25700633_541692.jpg" TargetMode="External"/><Relationship Id="rId_hyperlink_667" Type="http://schemas.openxmlformats.org/officeDocument/2006/relationships/hyperlink" Target="https://nconnect.nicmar.ac.in/storage/profile/ProfilePhoto_P25700634_569782.jpg" TargetMode="External"/><Relationship Id="rId_hyperlink_668" Type="http://schemas.openxmlformats.org/officeDocument/2006/relationships/hyperlink" Target="https://nconnect.nicmar.ac.in/storage/profile/ProfilePhoto_P25700635_576948.jpg" TargetMode="External"/><Relationship Id="rId_hyperlink_669" Type="http://schemas.openxmlformats.org/officeDocument/2006/relationships/hyperlink" Target="https://nconnect.nicmar.ac.in/storage/profile/ProfilePhoto_P25700636_598721.jpg" TargetMode="External"/><Relationship Id="rId_hyperlink_670" Type="http://schemas.openxmlformats.org/officeDocument/2006/relationships/hyperlink" Target="https://nconnect.nicmar.ac.in/storage/profile/ProfilePhoto_P25700637_371864.jpg" TargetMode="External"/><Relationship Id="rId_hyperlink_671" Type="http://schemas.openxmlformats.org/officeDocument/2006/relationships/hyperlink" Target="https://nconnect.nicmar.ac.in/storage/profile/ProfilePhoto_P25700638_523967.jpg" TargetMode="External"/><Relationship Id="rId_hyperlink_672" Type="http://schemas.openxmlformats.org/officeDocument/2006/relationships/hyperlink" Target="https://nconnect.nicmar.ac.in/storage/profile/ProfilePhoto_P25700639_613785.jpg" TargetMode="External"/><Relationship Id="rId_hyperlink_673" Type="http://schemas.openxmlformats.org/officeDocument/2006/relationships/hyperlink" Target="https://nconnect.nicmar.ac.in/storage/profile/ProfilePhoto_P25700640_718623.jpg" TargetMode="External"/><Relationship Id="rId_hyperlink_674" Type="http://schemas.openxmlformats.org/officeDocument/2006/relationships/hyperlink" Target="https://nconnect.nicmar.ac.in/storage/profile/ProfilePhoto_P25700641_316458.jpg" TargetMode="External"/><Relationship Id="rId_hyperlink_675" Type="http://schemas.openxmlformats.org/officeDocument/2006/relationships/hyperlink" Target="https://nconnect.nicmar.ac.in/storage/profile/ProfilePhoto_P25700642_472538.jpg" TargetMode="External"/><Relationship Id="rId_hyperlink_676" Type="http://schemas.openxmlformats.org/officeDocument/2006/relationships/hyperlink" Target="https://nconnect.nicmar.ac.in/storage/profile/ProfilePhoto_P25700643_542673.jpg" TargetMode="External"/><Relationship Id="rId_hyperlink_677" Type="http://schemas.openxmlformats.org/officeDocument/2006/relationships/hyperlink" Target="https://nconnect.nicmar.ac.in/storage/profile/ProfilePhoto_P25700644_925768.jpg" TargetMode="External"/><Relationship Id="rId_hyperlink_678" Type="http://schemas.openxmlformats.org/officeDocument/2006/relationships/hyperlink" Target="https://nconnect.nicmar.ac.in/storage/profile/ProfilePhoto_P25700645_346279.jpg" TargetMode="External"/><Relationship Id="rId_hyperlink_679" Type="http://schemas.openxmlformats.org/officeDocument/2006/relationships/hyperlink" Target="https://nconnect.nicmar.ac.in/storage/profile/ProfilePhoto_P25700646_127359.jpg" TargetMode="External"/><Relationship Id="rId_hyperlink_680" Type="http://schemas.openxmlformats.org/officeDocument/2006/relationships/hyperlink" Target="https://nconnect.nicmar.ac.in/storage/profile/ProfilePhoto_P25700647_481956.jpg" TargetMode="External"/><Relationship Id="rId_hyperlink_681" Type="http://schemas.openxmlformats.org/officeDocument/2006/relationships/hyperlink" Target="https://nconnect.nicmar.ac.in/storage/profile/ProfilePhoto_P25700648_167498.jpg" TargetMode="External"/><Relationship Id="rId_hyperlink_682" Type="http://schemas.openxmlformats.org/officeDocument/2006/relationships/hyperlink" Target="https://nconnect.nicmar.ac.in/storage/profile/ProfilePhoto_P25700649_431865.jpg" TargetMode="External"/><Relationship Id="rId_hyperlink_683" Type="http://schemas.openxmlformats.org/officeDocument/2006/relationships/hyperlink" Target="https://nconnect.nicmar.ac.in/storage/profile/ProfilePhoto_P25700650_487352.jpg" TargetMode="External"/><Relationship Id="rId_hyperlink_684" Type="http://schemas.openxmlformats.org/officeDocument/2006/relationships/hyperlink" Target="https://nconnect.nicmar.ac.in/storage/profile/ProfilePhoto_P25700651_715392.jpg" TargetMode="External"/><Relationship Id="rId_hyperlink_685" Type="http://schemas.openxmlformats.org/officeDocument/2006/relationships/hyperlink" Target="https://nconnect.nicmar.ac.in/storage/profile/ProfilePhoto_P25700652_942673.jpg" TargetMode="External"/><Relationship Id="rId_hyperlink_686" Type="http://schemas.openxmlformats.org/officeDocument/2006/relationships/hyperlink" Target="https://nconnect.nicmar.ac.in/storage/profile/ProfilePhoto_P25700653_961745.jpg" TargetMode="External"/><Relationship Id="rId_hyperlink_687" Type="http://schemas.openxmlformats.org/officeDocument/2006/relationships/hyperlink" Target="https://nconnect.nicmar.ac.in/storage/profile/ProfilePhoto_P25700654_483671.jpg" TargetMode="External"/><Relationship Id="rId_hyperlink_688" Type="http://schemas.openxmlformats.org/officeDocument/2006/relationships/hyperlink" Target="https://nconnect.nicmar.ac.in/storage/profile/ProfilePhoto_P25700655_148397.jpg" TargetMode="External"/><Relationship Id="rId_hyperlink_689" Type="http://schemas.openxmlformats.org/officeDocument/2006/relationships/hyperlink" Target="https://nconnect.nicmar.ac.in/storage/profile/ProfilePhoto_P25700656_593681.jpg" TargetMode="External"/><Relationship Id="rId_hyperlink_690" Type="http://schemas.openxmlformats.org/officeDocument/2006/relationships/hyperlink" Target="https://nconnect.nicmar.ac.in/storage/profile/ProfilePhoto_P25700657_983527.jpg" TargetMode="External"/><Relationship Id="rId_hyperlink_691" Type="http://schemas.openxmlformats.org/officeDocument/2006/relationships/hyperlink" Target="https://nconnect.nicmar.ac.in/storage/profile/ProfilePhoto_P25700658_675928.jpg" TargetMode="External"/><Relationship Id="rId_hyperlink_692" Type="http://schemas.openxmlformats.org/officeDocument/2006/relationships/hyperlink" Target="https://nconnect.nicmar.ac.in/storage/profile/ProfilePhoto_P25700659_347681.jpg" TargetMode="External"/><Relationship Id="rId_hyperlink_693" Type="http://schemas.openxmlformats.org/officeDocument/2006/relationships/hyperlink" Target="https://nconnect.nicmar.ac.in/storage/profile/ProfilePhoto_P25700660_348769.jpg" TargetMode="External"/><Relationship Id="rId_hyperlink_694" Type="http://schemas.openxmlformats.org/officeDocument/2006/relationships/hyperlink" Target="https://nconnect.nicmar.ac.in/storage/profile/ProfilePhoto_P25700661_438971.jpg" TargetMode="External"/><Relationship Id="rId_hyperlink_695" Type="http://schemas.openxmlformats.org/officeDocument/2006/relationships/hyperlink" Target="https://nconnect.nicmar.ac.in/storage/profile/ProfilePhoto_P25700662_857164.jpg" TargetMode="External"/><Relationship Id="rId_hyperlink_696" Type="http://schemas.openxmlformats.org/officeDocument/2006/relationships/hyperlink" Target="https://nconnect.nicmar.ac.in/storage/profile/ProfilePhoto_P25700663_453187.jpg" TargetMode="External"/><Relationship Id="rId_hyperlink_697" Type="http://schemas.openxmlformats.org/officeDocument/2006/relationships/hyperlink" Target="https://nconnect.nicmar.ac.in/storage/profile/ProfilePhoto_P25700664_238457.jpg" TargetMode="External"/><Relationship Id="rId_hyperlink_698" Type="http://schemas.openxmlformats.org/officeDocument/2006/relationships/hyperlink" Target="https://nconnect.nicmar.ac.in/storage/profile/ProfilePhoto_P25700665_185362.jpg" TargetMode="External"/><Relationship Id="rId_hyperlink_699" Type="http://schemas.openxmlformats.org/officeDocument/2006/relationships/hyperlink" Target="https://nconnect.nicmar.ac.in/storage/profile/ProfilePhoto_P25700666_356489.jpg" TargetMode="External"/><Relationship Id="rId_hyperlink_700" Type="http://schemas.openxmlformats.org/officeDocument/2006/relationships/hyperlink" Target="https://nconnect.nicmar.ac.in/storage/profile/ProfilePhoto_P25700667_685391.jpg" TargetMode="External"/><Relationship Id="rId_hyperlink_701" Type="http://schemas.openxmlformats.org/officeDocument/2006/relationships/hyperlink" Target="https://nconnect.nicmar.ac.in/storage/profile/ProfilePhoto_P25700668_892617.jpg" TargetMode="External"/><Relationship Id="rId_hyperlink_702" Type="http://schemas.openxmlformats.org/officeDocument/2006/relationships/hyperlink" Target="https://nconnect.nicmar.ac.in/storage/profile/ProfilePhoto_P25700669_295168.jpg" TargetMode="External"/><Relationship Id="rId_hyperlink_703" Type="http://schemas.openxmlformats.org/officeDocument/2006/relationships/hyperlink" Target="https://nconnect.nicmar.ac.in/storage/profile/ProfilePhoto_P25700670_485319.jpg" TargetMode="External"/><Relationship Id="rId_hyperlink_704" Type="http://schemas.openxmlformats.org/officeDocument/2006/relationships/hyperlink" Target="https://nconnect.nicmar.ac.in/storage/profile/ProfilePhoto_P25700671_749136.jpg" TargetMode="External"/><Relationship Id="rId_hyperlink_705" Type="http://schemas.openxmlformats.org/officeDocument/2006/relationships/hyperlink" Target="https://nconnect.nicmar.ac.in/storage/profile/ProfilePhoto_P25700672_847361.jpg" TargetMode="External"/><Relationship Id="rId_hyperlink_706" Type="http://schemas.openxmlformats.org/officeDocument/2006/relationships/hyperlink" Target="https://nconnect.nicmar.ac.in/storage/profile/ProfilePhoto_P25700673_596741.jpg" TargetMode="External"/><Relationship Id="rId_hyperlink_707" Type="http://schemas.openxmlformats.org/officeDocument/2006/relationships/hyperlink" Target="https://nconnect.nicmar.ac.in/storage/profile/ProfilePhoto_P25700674_179648.jpg" TargetMode="External"/><Relationship Id="rId_hyperlink_708" Type="http://schemas.openxmlformats.org/officeDocument/2006/relationships/hyperlink" Target="https://nconnect.nicmar.ac.in/storage/profile/ProfilePhoto_P25700675_971354.jpg" TargetMode="External"/><Relationship Id="rId_hyperlink_709" Type="http://schemas.openxmlformats.org/officeDocument/2006/relationships/hyperlink" Target="https://nconnect.nicmar.ac.in/storage/profile/ProfilePhoto_P25700676_965278.jpg" TargetMode="External"/><Relationship Id="rId_hyperlink_710" Type="http://schemas.openxmlformats.org/officeDocument/2006/relationships/hyperlink" Target="https://nconnect.nicmar.ac.in/storage/profile/ProfilePhoto_P25700677_147963.jpg" TargetMode="External"/><Relationship Id="rId_hyperlink_711" Type="http://schemas.openxmlformats.org/officeDocument/2006/relationships/hyperlink" Target="https://nconnect.nicmar.ac.in/storage/profile/ProfilePhoto_P25700678_436728.jpg" TargetMode="External"/><Relationship Id="rId_hyperlink_712" Type="http://schemas.openxmlformats.org/officeDocument/2006/relationships/hyperlink" Target="https://nconnect.nicmar.ac.in/storage/profile/ProfilePhoto_P25700679_568347.jpg" TargetMode="External"/><Relationship Id="rId_hyperlink_713" Type="http://schemas.openxmlformats.org/officeDocument/2006/relationships/hyperlink" Target="https://nconnect.nicmar.ac.in/storage/profile/ProfilePhoto_P25700680_758621.jpg" TargetMode="External"/><Relationship Id="rId_hyperlink_714" Type="http://schemas.openxmlformats.org/officeDocument/2006/relationships/hyperlink" Target="https://nconnect.nicmar.ac.in/storage/profile/ProfilePhoto_P25700681_619574.jpg" TargetMode="External"/><Relationship Id="rId_hyperlink_715" Type="http://schemas.openxmlformats.org/officeDocument/2006/relationships/hyperlink" Target="https://nconnect.nicmar.ac.in/storage/profile/ProfilePhoto_P25700682_615498.jpg" TargetMode="External"/><Relationship Id="rId_hyperlink_716" Type="http://schemas.openxmlformats.org/officeDocument/2006/relationships/hyperlink" Target="https://nconnect.nicmar.ac.in/storage/profile/ProfilePhoto_P25700683_957612.jpg" TargetMode="External"/><Relationship Id="rId_hyperlink_717" Type="http://schemas.openxmlformats.org/officeDocument/2006/relationships/hyperlink" Target="https://nconnect.nicmar.ac.in/storage/profile/ProfilePhoto_P25700684_186534.jpg" TargetMode="External"/><Relationship Id="rId_hyperlink_718" Type="http://schemas.openxmlformats.org/officeDocument/2006/relationships/hyperlink" Target="https://nconnect.nicmar.ac.in/storage/profile/ProfilePhoto_P25700685_324561.jpg" TargetMode="External"/><Relationship Id="rId_hyperlink_719" Type="http://schemas.openxmlformats.org/officeDocument/2006/relationships/hyperlink" Target="https://nconnect.nicmar.ac.in/storage/profile/ProfilePhoto_P25700686_647582.jpg" TargetMode="External"/><Relationship Id="rId_hyperlink_720" Type="http://schemas.openxmlformats.org/officeDocument/2006/relationships/hyperlink" Target="https://nconnect.nicmar.ac.in/storage/profile/ProfilePhoto_P25700687_475918.jpg" TargetMode="External"/><Relationship Id="rId_hyperlink_721" Type="http://schemas.openxmlformats.org/officeDocument/2006/relationships/hyperlink" Target="https://nconnect.nicmar.ac.in/storage/profile/ProfilePhoto_P25700688_241639.jpg" TargetMode="External"/><Relationship Id="rId_hyperlink_722" Type="http://schemas.openxmlformats.org/officeDocument/2006/relationships/hyperlink" Target="https://nconnect.nicmar.ac.in/storage/profile/ProfilePhoto_P25700689_513962.jpg" TargetMode="External"/><Relationship Id="rId_hyperlink_723" Type="http://schemas.openxmlformats.org/officeDocument/2006/relationships/hyperlink" Target="https://nconnect.nicmar.ac.in/storage/profile/ProfilePhoto_P25700690_598276.jpg" TargetMode="External"/><Relationship Id="rId_hyperlink_724" Type="http://schemas.openxmlformats.org/officeDocument/2006/relationships/hyperlink" Target="https://nconnect.nicmar.ac.in/storage/profile/ProfilePhoto_P25700691_937165.jpg" TargetMode="External"/><Relationship Id="rId_hyperlink_725" Type="http://schemas.openxmlformats.org/officeDocument/2006/relationships/hyperlink" Target="https://nconnect.nicmar.ac.in/storage/profile/ProfilePhoto_P25700692_921468.jpg" TargetMode="External"/><Relationship Id="rId_hyperlink_726" Type="http://schemas.openxmlformats.org/officeDocument/2006/relationships/hyperlink" Target="https://nconnect.nicmar.ac.in/storage/profile/ProfilePhoto_P25700693_573496.jpg" TargetMode="External"/><Relationship Id="rId_hyperlink_727" Type="http://schemas.openxmlformats.org/officeDocument/2006/relationships/hyperlink" Target="https://nconnect.nicmar.ac.in/storage/profile/ProfilePhoto_P25700695_518436.jpg" TargetMode="External"/><Relationship Id="rId_hyperlink_728" Type="http://schemas.openxmlformats.org/officeDocument/2006/relationships/hyperlink" Target="https://nconnect.nicmar.ac.in/storage/profile/ProfilePhoto_P25700696_167394.jpg" TargetMode="External"/><Relationship Id="rId_hyperlink_729" Type="http://schemas.openxmlformats.org/officeDocument/2006/relationships/hyperlink" Target="https://nconnect.nicmar.ac.in/storage/profile/ProfilePhoto_P25700697_765314.jpg" TargetMode="External"/><Relationship Id="rId_hyperlink_730" Type="http://schemas.openxmlformats.org/officeDocument/2006/relationships/hyperlink" Target="https://nconnect.nicmar.ac.in/storage/profile/ProfilePhoto_P25700698_564379.jpg" TargetMode="External"/><Relationship Id="rId_hyperlink_731" Type="http://schemas.openxmlformats.org/officeDocument/2006/relationships/hyperlink" Target="https://nconnect.nicmar.ac.in/storage/profile/ProfilePhoto_P25700699_273694.jpg" TargetMode="External"/><Relationship Id="rId_hyperlink_732" Type="http://schemas.openxmlformats.org/officeDocument/2006/relationships/hyperlink" Target="https://nconnect.nicmar.ac.in/storage/profile/ProfilePhoto_P25700700_612583.jpg" TargetMode="External"/><Relationship Id="rId_hyperlink_733" Type="http://schemas.openxmlformats.org/officeDocument/2006/relationships/hyperlink" Target="https://nconnect.nicmar.ac.in/storage/profile/6a64a0cad9a96.png" TargetMode="External"/><Relationship Id="rId_hyperlink_734" Type="http://schemas.openxmlformats.org/officeDocument/2006/relationships/hyperlink" Target="https://nconnect.nicmar.ac.in/storage/profile/ProfilePhoto_P25700702_167429.jpg" TargetMode="External"/><Relationship Id="rId_hyperlink_735" Type="http://schemas.openxmlformats.org/officeDocument/2006/relationships/hyperlink" Target="https://nconnect.nicmar.ac.in/storage/profile/ProfilePhoto_P25700703_628351.jpg" TargetMode="External"/><Relationship Id="rId_hyperlink_736" Type="http://schemas.openxmlformats.org/officeDocument/2006/relationships/hyperlink" Target="https://nconnect.nicmar.ac.in/storage/profile/ProfilePhoto_P25700704_865749.jpg" TargetMode="External"/><Relationship Id="rId_hyperlink_737" Type="http://schemas.openxmlformats.org/officeDocument/2006/relationships/hyperlink" Target="https://nconnect.nicmar.ac.in/storage/profile/ProfilePhoto_P25700705_645739.jpg" TargetMode="External"/><Relationship Id="rId_hyperlink_738" Type="http://schemas.openxmlformats.org/officeDocument/2006/relationships/hyperlink" Target="https://nconnect.nicmar.ac.in/storage/profile/ProfilePhoto_P25700706_624518.jpg" TargetMode="External"/><Relationship Id="rId_hyperlink_739" Type="http://schemas.openxmlformats.org/officeDocument/2006/relationships/hyperlink" Target="https://nconnect.nicmar.ac.in/storage/profile/ProfilePhoto_P25700707_593176.jpg" TargetMode="External"/><Relationship Id="rId_hyperlink_740" Type="http://schemas.openxmlformats.org/officeDocument/2006/relationships/hyperlink" Target="https://nconnect.nicmar.ac.in/storage/profile/ProfilePhoto_P25700708_764359.jpg" TargetMode="External"/><Relationship Id="rId_hyperlink_741" Type="http://schemas.openxmlformats.org/officeDocument/2006/relationships/hyperlink" Target="https://nconnect.nicmar.ac.in/storage/profile/ProfilePhoto_P25700709_218653.jpg" TargetMode="External"/><Relationship Id="rId_hyperlink_742" Type="http://schemas.openxmlformats.org/officeDocument/2006/relationships/hyperlink" Target="https://nconnect.nicmar.ac.in/storage/profile/ProfilePhoto_P25700710_586142.jpg" TargetMode="External"/><Relationship Id="rId_hyperlink_743" Type="http://schemas.openxmlformats.org/officeDocument/2006/relationships/hyperlink" Target="https://nconnect.nicmar.ac.in/storage/profile/ProfilePhoto_P25700711_478962.jpg" TargetMode="External"/><Relationship Id="rId_hyperlink_744" Type="http://schemas.openxmlformats.org/officeDocument/2006/relationships/hyperlink" Target="https://nconnect.nicmar.ac.in/storage/profile/ProfilePhoto_P25700712_684593.jpg" TargetMode="External"/><Relationship Id="rId_hyperlink_745" Type="http://schemas.openxmlformats.org/officeDocument/2006/relationships/hyperlink" Target="https://nconnect.nicmar.ac.in/storage/profile/ProfilePhoto_P25700714_634851.jpg" TargetMode="External"/><Relationship Id="rId_hyperlink_746" Type="http://schemas.openxmlformats.org/officeDocument/2006/relationships/hyperlink" Target="https://nconnect.nicmar.ac.in/storage/profile/ProfilePhoto_P25700715_431895.jpg" TargetMode="External"/><Relationship Id="rId_hyperlink_747" Type="http://schemas.openxmlformats.org/officeDocument/2006/relationships/hyperlink" Target="https://nconnect.nicmar.ac.in/storage/profile/ProfilePhoto_P25700716_596743.jpg" TargetMode="External"/><Relationship Id="rId_hyperlink_748" Type="http://schemas.openxmlformats.org/officeDocument/2006/relationships/hyperlink" Target="https://nconnect.nicmar.ac.in/storage/profile/ProfilePhoto_P25700717_983154.jpg" TargetMode="External"/><Relationship Id="rId_hyperlink_749" Type="http://schemas.openxmlformats.org/officeDocument/2006/relationships/hyperlink" Target="https://nconnect.nicmar.ac.in/storage/profile/ProfilePhoto_P25700718_186239.jpg" TargetMode="External"/><Relationship Id="rId_hyperlink_750" Type="http://schemas.openxmlformats.org/officeDocument/2006/relationships/hyperlink" Target="https://nconnect.nicmar.ac.in/storage/profile/ProfilePhoto_P25700719_518623.jpg" TargetMode="External"/><Relationship Id="rId_hyperlink_751" Type="http://schemas.openxmlformats.org/officeDocument/2006/relationships/hyperlink" Target="https://nconnect.nicmar.ac.in/storage/profile/ProfilePhoto_P25700720_297461.jpg" TargetMode="External"/><Relationship Id="rId_hyperlink_752" Type="http://schemas.openxmlformats.org/officeDocument/2006/relationships/hyperlink" Target="https://nconnect.nicmar.ac.in/storage/profile/ProfilePhoto_P25700721_783129.jpg" TargetMode="External"/><Relationship Id="rId_hyperlink_753" Type="http://schemas.openxmlformats.org/officeDocument/2006/relationships/hyperlink" Target="https://nconnect.nicmar.ac.in/storage/profile/ProfilePhoto_P25700722_325679.jpg" TargetMode="External"/><Relationship Id="rId_hyperlink_754" Type="http://schemas.openxmlformats.org/officeDocument/2006/relationships/hyperlink" Target="https://nconnect.nicmar.ac.in/storage/profile/ProfilePhoto_P25700723_862314.jpg" TargetMode="External"/><Relationship Id="rId_hyperlink_755" Type="http://schemas.openxmlformats.org/officeDocument/2006/relationships/hyperlink" Target="https://nconnect.nicmar.ac.in/storage/profile/ProfilePhoto_P25700724_394512.jpg" TargetMode="External"/><Relationship Id="rId_hyperlink_756" Type="http://schemas.openxmlformats.org/officeDocument/2006/relationships/hyperlink" Target="https://nconnect.nicmar.ac.in/storage/profile/ProfilePhoto_P25700725_384512.jpg" TargetMode="External"/><Relationship Id="rId_hyperlink_757" Type="http://schemas.openxmlformats.org/officeDocument/2006/relationships/hyperlink" Target="https://nconnect.nicmar.ac.in/storage/profile/ProfilePhoto_P25700727_591248.jpg" TargetMode="External"/><Relationship Id="rId_hyperlink_758" Type="http://schemas.openxmlformats.org/officeDocument/2006/relationships/hyperlink" Target="https://nconnect.nicmar.ac.in/storage/profile/ProfilePhoto_P25700729_957261.jpg" TargetMode="External"/><Relationship Id="rId_hyperlink_759" Type="http://schemas.openxmlformats.org/officeDocument/2006/relationships/hyperlink" Target="https://nconnect.nicmar.ac.in/storage/profile/ProfilePhoto_P25700730_295671.jpg" TargetMode="External"/><Relationship Id="rId_hyperlink_760" Type="http://schemas.openxmlformats.org/officeDocument/2006/relationships/hyperlink" Target="https://nconnect.nicmar.ac.in/storage/profile/ProfilePhoto_P25700731_859741.jpg" TargetMode="External"/><Relationship Id="rId_hyperlink_761" Type="http://schemas.openxmlformats.org/officeDocument/2006/relationships/hyperlink" Target="https://nconnect.nicmar.ac.in/storage/profile/ProfilePhoto_P25700732_983572.jpg" TargetMode="External"/><Relationship Id="rId_hyperlink_762" Type="http://schemas.openxmlformats.org/officeDocument/2006/relationships/hyperlink" Target="https://nconnect.nicmar.ac.in/storage/profile/ProfilePhoto_P25700733_564197.jpg" TargetMode="External"/><Relationship Id="rId_hyperlink_763" Type="http://schemas.openxmlformats.org/officeDocument/2006/relationships/hyperlink" Target="https://nconnect.nicmar.ac.in/storage/profile/ProfilePhoto_P25700734_648325.jpg" TargetMode="External"/><Relationship Id="rId_hyperlink_764" Type="http://schemas.openxmlformats.org/officeDocument/2006/relationships/hyperlink" Target="https://nconnect.nicmar.ac.in/storage/profile/ProfilePhoto_P25700735_173845.jpg" TargetMode="External"/><Relationship Id="rId_hyperlink_765" Type="http://schemas.openxmlformats.org/officeDocument/2006/relationships/hyperlink" Target="https://nconnect.nicmar.ac.in/storage/profile/ProfilePhoto_P25700736_278395.jpg" TargetMode="External"/><Relationship Id="rId_hyperlink_766" Type="http://schemas.openxmlformats.org/officeDocument/2006/relationships/hyperlink" Target="https://nconnect.nicmar.ac.in/storage/profile/ProfilePhoto_P25700737_218935.jpg" TargetMode="External"/><Relationship Id="rId_hyperlink_767" Type="http://schemas.openxmlformats.org/officeDocument/2006/relationships/hyperlink" Target="https://nconnect.nicmar.ac.in/storage/profile/ProfilePhoto_P25700739_914235.jpg" TargetMode="External"/><Relationship Id="rId_hyperlink_768" Type="http://schemas.openxmlformats.org/officeDocument/2006/relationships/hyperlink" Target="https://nconnect.nicmar.ac.in/storage/profile/ProfilePhoto_P25700740_145692.jpg" TargetMode="External"/><Relationship Id="rId_hyperlink_769" Type="http://schemas.openxmlformats.org/officeDocument/2006/relationships/hyperlink" Target="https://nconnect.nicmar.ac.in/storage/profile/ProfilePhoto_P25700741_246781.jpg" TargetMode="External"/><Relationship Id="rId_hyperlink_770" Type="http://schemas.openxmlformats.org/officeDocument/2006/relationships/hyperlink" Target="https://nconnect.nicmar.ac.in/storage/profile/ProfilePhoto_P25700742_926831.jpg" TargetMode="External"/><Relationship Id="rId_hyperlink_771" Type="http://schemas.openxmlformats.org/officeDocument/2006/relationships/hyperlink" Target="https://nconnect.nicmar.ac.in/storage/profile/ProfilePhoto_P25700743_731954.jpg" TargetMode="External"/><Relationship Id="rId_hyperlink_772" Type="http://schemas.openxmlformats.org/officeDocument/2006/relationships/hyperlink" Target="https://nconnect.nicmar.ac.in/storage/profile/ProfilePhoto_P25700744_713894.jpg" TargetMode="External"/><Relationship Id="rId_hyperlink_773" Type="http://schemas.openxmlformats.org/officeDocument/2006/relationships/hyperlink" Target="https://nconnect.nicmar.ac.in/storage/profile/ProfilePhoto_P25700745_729431.jpg" TargetMode="External"/><Relationship Id="rId_hyperlink_774" Type="http://schemas.openxmlformats.org/officeDocument/2006/relationships/hyperlink" Target="https://nconnect.nicmar.ac.in/storage/profile/ProfilePhoto_P25700746_271548.jpg" TargetMode="External"/><Relationship Id="rId_hyperlink_775" Type="http://schemas.openxmlformats.org/officeDocument/2006/relationships/hyperlink" Target="https://nconnect.nicmar.ac.in/storage/profile/ProfilePhoto_P25700747_987124.jpg" TargetMode="External"/><Relationship Id="rId_hyperlink_776" Type="http://schemas.openxmlformats.org/officeDocument/2006/relationships/hyperlink" Target="https://nconnect.nicmar.ac.in/storage/profile/ProfilePhoto_P25700748_457291.jpg" TargetMode="External"/><Relationship Id="rId_hyperlink_777" Type="http://schemas.openxmlformats.org/officeDocument/2006/relationships/hyperlink" Target="https://nconnect.nicmar.ac.in/storage/profile/ProfilePhoto_P25700749_463951.jpg" TargetMode="External"/><Relationship Id="rId_hyperlink_778" Type="http://schemas.openxmlformats.org/officeDocument/2006/relationships/hyperlink" Target="https://nconnect.nicmar.ac.in/storage/profile/ProfilePhoto_P25700750_571468.jpg" TargetMode="External"/><Relationship Id="rId_hyperlink_779" Type="http://schemas.openxmlformats.org/officeDocument/2006/relationships/hyperlink" Target="https://nconnect.nicmar.ac.in/storage/profile/ProfilePhoto_P25700751_185649.jpg" TargetMode="External"/><Relationship Id="rId_hyperlink_780" Type="http://schemas.openxmlformats.org/officeDocument/2006/relationships/hyperlink" Target="https://nconnect.nicmar.ac.in/storage/profile/ProfilePhoto_P25700752_395618.jpg" TargetMode="External"/><Relationship Id="rId_hyperlink_781" Type="http://schemas.openxmlformats.org/officeDocument/2006/relationships/hyperlink" Target="https://nconnect.nicmar.ac.in/storage/profile/ProfilePhoto_P25700753_639218.jpg" TargetMode="External"/><Relationship Id="rId_hyperlink_782" Type="http://schemas.openxmlformats.org/officeDocument/2006/relationships/hyperlink" Target="https://nconnect.nicmar.ac.in/storage/profile/ProfilePhoto_P25700754_876213.jpg" TargetMode="External"/><Relationship Id="rId_hyperlink_783" Type="http://schemas.openxmlformats.org/officeDocument/2006/relationships/hyperlink" Target="https://nconnect.nicmar.ac.in/storage/profile/ProfilePhoto_P25700755_215487.jpg" TargetMode="External"/><Relationship Id="rId_hyperlink_784" Type="http://schemas.openxmlformats.org/officeDocument/2006/relationships/hyperlink" Target="https://nconnect.nicmar.ac.in/storage/profile/ProfilePhoto_P25700281_579136.jpg" TargetMode="External"/><Relationship Id="rId_hyperlink_785" Type="http://schemas.openxmlformats.org/officeDocument/2006/relationships/hyperlink" Target="https://nconnect.nicmar.ac.in/storage/profile/ProfilePhoto_P25700325_532469.jpg" TargetMode="External"/><Relationship Id="rId_hyperlink_786" Type="http://schemas.openxmlformats.org/officeDocument/2006/relationships/hyperlink" Target="https://nconnect.nicmar.ac.in/storage/profile/ProfilePhoto_P25700367_329568.jpg" TargetMode="External"/><Relationship Id="rId_hyperlink_787" Type="http://schemas.openxmlformats.org/officeDocument/2006/relationships/hyperlink" Target="https://nconnect.nicmar.ac.in/storage/profile/ProfilePhoto_P25700694_372165.jpg" TargetMode="External"/><Relationship Id="rId_hyperlink_788" Type="http://schemas.openxmlformats.org/officeDocument/2006/relationships/hyperlink" Target="https://nconnect.nicmar.ac.in/storage/profile/ProfilePhoto_P24702124_129675.jpg" TargetMode="External"/><Relationship Id="rId_hyperlink_789" Type="http://schemas.openxmlformats.org/officeDocument/2006/relationships/hyperlink" Target="https://nconnect.nicmar.ac.in/storage/profile/ProfilePhoto_P25702001_634892.jpg" TargetMode="External"/><Relationship Id="rId_hyperlink_790" Type="http://schemas.openxmlformats.org/officeDocument/2006/relationships/hyperlink" Target="https://nconnect.nicmar.ac.in/storage/profile/ProfilePhoto_P25702002_231946.jpg" TargetMode="External"/><Relationship Id="rId_hyperlink_791" Type="http://schemas.openxmlformats.org/officeDocument/2006/relationships/hyperlink" Target="https://nconnect.nicmar.ac.in/storage/profile/ProfilePhoto_P25702003_496738.jpg" TargetMode="External"/><Relationship Id="rId_hyperlink_792" Type="http://schemas.openxmlformats.org/officeDocument/2006/relationships/hyperlink" Target="https://nconnect.nicmar.ac.in/storage/profile/ProfilePhoto_P25702005_782691.jpg" TargetMode="External"/><Relationship Id="rId_hyperlink_793" Type="http://schemas.openxmlformats.org/officeDocument/2006/relationships/hyperlink" Target="https://nconnect.nicmar.ac.in/storage/profile/ProfilePhoto_P25702006_129674.jpg" TargetMode="External"/><Relationship Id="rId_hyperlink_794" Type="http://schemas.openxmlformats.org/officeDocument/2006/relationships/hyperlink" Target="https://nconnect.nicmar.ac.in/storage/profile/ProfilePhoto_P25702007_643529.jpg" TargetMode="External"/><Relationship Id="rId_hyperlink_795" Type="http://schemas.openxmlformats.org/officeDocument/2006/relationships/hyperlink" Target="https://nconnect.nicmar.ac.in/storage/profile/ProfilePhoto_P25702008_452319.jpg" TargetMode="External"/><Relationship Id="rId_hyperlink_796" Type="http://schemas.openxmlformats.org/officeDocument/2006/relationships/hyperlink" Target="https://nconnect.nicmar.ac.in/storage/profile/ProfilePhoto_P25702009_718354.jpg" TargetMode="External"/><Relationship Id="rId_hyperlink_797" Type="http://schemas.openxmlformats.org/officeDocument/2006/relationships/hyperlink" Target="https://nconnect.nicmar.ac.in/storage/profile/ProfilePhoto_P25702010_942758.jpg" TargetMode="External"/><Relationship Id="rId_hyperlink_798" Type="http://schemas.openxmlformats.org/officeDocument/2006/relationships/hyperlink" Target="https://nconnect.nicmar.ac.in/storage/profile/ProfilePhoto_P25702012_195362.jpg" TargetMode="External"/><Relationship Id="rId_hyperlink_799" Type="http://schemas.openxmlformats.org/officeDocument/2006/relationships/hyperlink" Target="https://nconnect.nicmar.ac.in/storage/profile/ProfilePhoto_P25702013_817429.jpg" TargetMode="External"/><Relationship Id="rId_hyperlink_800" Type="http://schemas.openxmlformats.org/officeDocument/2006/relationships/hyperlink" Target="https://nconnect.nicmar.ac.in/storage/profile/ProfilePhoto_P25702014_613248.jpg" TargetMode="External"/><Relationship Id="rId_hyperlink_801" Type="http://schemas.openxmlformats.org/officeDocument/2006/relationships/hyperlink" Target="https://nconnect.nicmar.ac.in/storage/profile/ProfilePhoto_P25702015_368254.jpg" TargetMode="External"/><Relationship Id="rId_hyperlink_802" Type="http://schemas.openxmlformats.org/officeDocument/2006/relationships/hyperlink" Target="https://nconnect.nicmar.ac.in/storage/profile/ProfilePhoto_P25702016_652349.jpg" TargetMode="External"/><Relationship Id="rId_hyperlink_803" Type="http://schemas.openxmlformats.org/officeDocument/2006/relationships/hyperlink" Target="https://nconnect.nicmar.ac.in/storage/profile/ProfilePhoto_P25702018_693254.jpg" TargetMode="External"/><Relationship Id="rId_hyperlink_804" Type="http://schemas.openxmlformats.org/officeDocument/2006/relationships/hyperlink" Target="https://nconnect.nicmar.ac.in/storage/profile/ProfilePhoto_P25702019_689217.jpg" TargetMode="External"/><Relationship Id="rId_hyperlink_805" Type="http://schemas.openxmlformats.org/officeDocument/2006/relationships/hyperlink" Target="https://nconnect.nicmar.ac.in/storage/profile/ProfilePhoto_P25702020_435189.jpg" TargetMode="External"/><Relationship Id="rId_hyperlink_806" Type="http://schemas.openxmlformats.org/officeDocument/2006/relationships/hyperlink" Target="https://nconnect.nicmar.ac.in/storage/profile/ProfilePhoto_P25702021_253841.jpg" TargetMode="External"/><Relationship Id="rId_hyperlink_807" Type="http://schemas.openxmlformats.org/officeDocument/2006/relationships/hyperlink" Target="https://nconnect.nicmar.ac.in/storage/profile/ProfilePhoto_P25702022_617352.jpg" TargetMode="External"/><Relationship Id="rId_hyperlink_808" Type="http://schemas.openxmlformats.org/officeDocument/2006/relationships/hyperlink" Target="https://nconnect.nicmar.ac.in/storage/profile/ProfilePhoto_P25702023_483726.jpg" TargetMode="External"/><Relationship Id="rId_hyperlink_809" Type="http://schemas.openxmlformats.org/officeDocument/2006/relationships/hyperlink" Target="https://nconnect.nicmar.ac.in/storage/profile/ProfilePhoto_P25702024_291845.jpg" TargetMode="External"/><Relationship Id="rId_hyperlink_810" Type="http://schemas.openxmlformats.org/officeDocument/2006/relationships/hyperlink" Target="https://nconnect.nicmar.ac.in/storage/profile/ProfilePhoto_P25702025_648375.jpg" TargetMode="External"/><Relationship Id="rId_hyperlink_811" Type="http://schemas.openxmlformats.org/officeDocument/2006/relationships/hyperlink" Target="https://nconnect.nicmar.ac.in/storage/profile/ProfilePhoto_P25702026_459627.jpg" TargetMode="External"/><Relationship Id="rId_hyperlink_812" Type="http://schemas.openxmlformats.org/officeDocument/2006/relationships/hyperlink" Target="https://nconnect.nicmar.ac.in/storage/profile/ProfilePhoto_P25702027_156924.jpg" TargetMode="External"/><Relationship Id="rId_hyperlink_813" Type="http://schemas.openxmlformats.org/officeDocument/2006/relationships/hyperlink" Target="https://nconnect.nicmar.ac.in/storage/profile/ProfilePhoto_P25702028_937845.jpg" TargetMode="External"/><Relationship Id="rId_hyperlink_814" Type="http://schemas.openxmlformats.org/officeDocument/2006/relationships/hyperlink" Target="https://nconnect.nicmar.ac.in/storage/profile/ProfilePhoto_P25702029_478612.jpg" TargetMode="External"/><Relationship Id="rId_hyperlink_815" Type="http://schemas.openxmlformats.org/officeDocument/2006/relationships/hyperlink" Target="https://nconnect.nicmar.ac.in/storage/profile/ProfilePhoto_P25702030_594783.jpg" TargetMode="External"/><Relationship Id="rId_hyperlink_816" Type="http://schemas.openxmlformats.org/officeDocument/2006/relationships/hyperlink" Target="https://nconnect.nicmar.ac.in/storage/profile/ProfilePhoto_P25702031_539764.jpg" TargetMode="External"/><Relationship Id="rId_hyperlink_817" Type="http://schemas.openxmlformats.org/officeDocument/2006/relationships/hyperlink" Target="https://nconnect.nicmar.ac.in/storage/profile/ProfilePhoto_P25702032_856149.jpg" TargetMode="External"/><Relationship Id="rId_hyperlink_818" Type="http://schemas.openxmlformats.org/officeDocument/2006/relationships/hyperlink" Target="https://nconnect.nicmar.ac.in/storage/profile/ProfilePhoto_P25702033_792583.jpg" TargetMode="External"/><Relationship Id="rId_hyperlink_819" Type="http://schemas.openxmlformats.org/officeDocument/2006/relationships/hyperlink" Target="https://nconnect.nicmar.ac.in/storage/profile/ProfilePhoto_P25702034_732194.jpg" TargetMode="External"/><Relationship Id="rId_hyperlink_820" Type="http://schemas.openxmlformats.org/officeDocument/2006/relationships/hyperlink" Target="https://nconnect.nicmar.ac.in/storage/profile/ProfilePhoto_P25702035_359426.jpg" TargetMode="External"/><Relationship Id="rId_hyperlink_821" Type="http://schemas.openxmlformats.org/officeDocument/2006/relationships/hyperlink" Target="https://nconnect.nicmar.ac.in/storage/profile/ProfilePhoto_P25702036_658941.jpg" TargetMode="External"/><Relationship Id="rId_hyperlink_822" Type="http://schemas.openxmlformats.org/officeDocument/2006/relationships/hyperlink" Target="https://nconnect.nicmar.ac.in/storage/profile/ProfilePhoto_P25702037_783451.jpg" TargetMode="External"/><Relationship Id="rId_hyperlink_823" Type="http://schemas.openxmlformats.org/officeDocument/2006/relationships/hyperlink" Target="https://nconnect.nicmar.ac.in/storage/profile/ProfilePhoto_P25702038_746298.jpg" TargetMode="External"/><Relationship Id="rId_hyperlink_824" Type="http://schemas.openxmlformats.org/officeDocument/2006/relationships/hyperlink" Target="https://nconnect.nicmar.ac.in/storage/profile/ProfilePhoto_P25702039_538214.jpg" TargetMode="External"/><Relationship Id="rId_hyperlink_825" Type="http://schemas.openxmlformats.org/officeDocument/2006/relationships/hyperlink" Target="https://nconnect.nicmar.ac.in/storage/profile/ProfilePhoto_P25702040_591438.jpg" TargetMode="External"/><Relationship Id="rId_hyperlink_826" Type="http://schemas.openxmlformats.org/officeDocument/2006/relationships/hyperlink" Target="https://nconnect.nicmar.ac.in/storage/profile/ProfilePhoto_P25702041_289157.jpg" TargetMode="External"/><Relationship Id="rId_hyperlink_827" Type="http://schemas.openxmlformats.org/officeDocument/2006/relationships/hyperlink" Target="https://nconnect.nicmar.ac.in/storage/profile/ProfilePhoto_P25702042_592748.jpg" TargetMode="External"/><Relationship Id="rId_hyperlink_828" Type="http://schemas.openxmlformats.org/officeDocument/2006/relationships/hyperlink" Target="https://nconnect.nicmar.ac.in/storage/profile/ProfilePhoto_P25702043_481923.jpg" TargetMode="External"/><Relationship Id="rId_hyperlink_829" Type="http://schemas.openxmlformats.org/officeDocument/2006/relationships/hyperlink" Target="https://nconnect.nicmar.ac.in/storage/profile/ProfilePhoto_P25702044_783125.jpg" TargetMode="External"/><Relationship Id="rId_hyperlink_830" Type="http://schemas.openxmlformats.org/officeDocument/2006/relationships/hyperlink" Target="https://nconnect.nicmar.ac.in/storage/profile/ProfilePhoto_P25702045_132689.jpg" TargetMode="External"/><Relationship Id="rId_hyperlink_831" Type="http://schemas.openxmlformats.org/officeDocument/2006/relationships/hyperlink" Target="https://nconnect.nicmar.ac.in/storage/profile/ProfilePhoto_P25702046_835946.jpg" TargetMode="External"/><Relationship Id="rId_hyperlink_832" Type="http://schemas.openxmlformats.org/officeDocument/2006/relationships/hyperlink" Target="https://nconnect.nicmar.ac.in/storage/profile/ProfilePhoto_P25702048_294635.jpg" TargetMode="External"/><Relationship Id="rId_hyperlink_833" Type="http://schemas.openxmlformats.org/officeDocument/2006/relationships/hyperlink" Target="https://nconnect.nicmar.ac.in/storage/profile/ProfilePhoto_P25702049_725163.jpg" TargetMode="External"/><Relationship Id="rId_hyperlink_834" Type="http://schemas.openxmlformats.org/officeDocument/2006/relationships/hyperlink" Target="https://nconnect.nicmar.ac.in/storage/profile/ProfilePhoto_P25702050_734158.jpg" TargetMode="External"/><Relationship Id="rId_hyperlink_835" Type="http://schemas.openxmlformats.org/officeDocument/2006/relationships/hyperlink" Target="https://nconnect.nicmar.ac.in/storage/profile/ProfilePhoto_P25702051_167852.jpg" TargetMode="External"/><Relationship Id="rId_hyperlink_836" Type="http://schemas.openxmlformats.org/officeDocument/2006/relationships/hyperlink" Target="https://nconnect.nicmar.ac.in/storage/profile/ProfilePhoto_P25702052_983415.jpg" TargetMode="External"/><Relationship Id="rId_hyperlink_837" Type="http://schemas.openxmlformats.org/officeDocument/2006/relationships/hyperlink" Target="https://nconnect.nicmar.ac.in/storage/profile/ProfilePhoto_P25702053_548217.jpg" TargetMode="External"/><Relationship Id="rId_hyperlink_838" Type="http://schemas.openxmlformats.org/officeDocument/2006/relationships/hyperlink" Target="https://nconnect.nicmar.ac.in/storage/profile/ProfilePhoto_P25702054_231546.jpg" TargetMode="External"/><Relationship Id="rId_hyperlink_839" Type="http://schemas.openxmlformats.org/officeDocument/2006/relationships/hyperlink" Target="https://nconnect.nicmar.ac.in/storage/profile/ProfilePhoto_P25702055_726958.jpg" TargetMode="External"/><Relationship Id="rId_hyperlink_840" Type="http://schemas.openxmlformats.org/officeDocument/2006/relationships/hyperlink" Target="https://nconnect.nicmar.ac.in/storage/profile/ProfilePhoto_P25702056_163759.jpg" TargetMode="External"/><Relationship Id="rId_hyperlink_841" Type="http://schemas.openxmlformats.org/officeDocument/2006/relationships/hyperlink" Target="https://nconnect.nicmar.ac.in/storage/profile/ProfilePhoto_P25702057_789125.jpg" TargetMode="External"/><Relationship Id="rId_hyperlink_842" Type="http://schemas.openxmlformats.org/officeDocument/2006/relationships/hyperlink" Target="https://nconnect.nicmar.ac.in/storage/profile/ProfilePhoto_P25702058_624583.jpg" TargetMode="External"/><Relationship Id="rId_hyperlink_843" Type="http://schemas.openxmlformats.org/officeDocument/2006/relationships/hyperlink" Target="https://nconnect.nicmar.ac.in/storage/profile/ProfilePhoto_P25702059_864359.jpg" TargetMode="External"/><Relationship Id="rId_hyperlink_844" Type="http://schemas.openxmlformats.org/officeDocument/2006/relationships/hyperlink" Target="https://nconnect.nicmar.ac.in/storage/profile/ProfilePhoto_P25702060_829173.jpg" TargetMode="External"/><Relationship Id="rId_hyperlink_845" Type="http://schemas.openxmlformats.org/officeDocument/2006/relationships/hyperlink" Target="https://nconnect.nicmar.ac.in/storage/profile/ProfilePhoto_P25702061_731829.jpg" TargetMode="External"/><Relationship Id="rId_hyperlink_846" Type="http://schemas.openxmlformats.org/officeDocument/2006/relationships/hyperlink" Target="https://nconnect.nicmar.ac.in/storage/profile/ProfilePhoto_P25702062_861492.jpg" TargetMode="External"/><Relationship Id="rId_hyperlink_847" Type="http://schemas.openxmlformats.org/officeDocument/2006/relationships/hyperlink" Target="https://nconnect.nicmar.ac.in/storage/profile/ProfilePhoto_P25702063_125638.jpg" TargetMode="External"/><Relationship Id="rId_hyperlink_848" Type="http://schemas.openxmlformats.org/officeDocument/2006/relationships/hyperlink" Target="https://nconnect.nicmar.ac.in/storage/profile/ProfilePhoto_P25702064_159876.jpg" TargetMode="External"/><Relationship Id="rId_hyperlink_849" Type="http://schemas.openxmlformats.org/officeDocument/2006/relationships/hyperlink" Target="https://nconnect.nicmar.ac.in/storage/profile/ProfilePhoto_P25702065_917365.jpg" TargetMode="External"/><Relationship Id="rId_hyperlink_850" Type="http://schemas.openxmlformats.org/officeDocument/2006/relationships/hyperlink" Target="https://nconnect.nicmar.ac.in/storage/profile/ProfilePhoto_P25702066_973218.jpg" TargetMode="External"/><Relationship Id="rId_hyperlink_851" Type="http://schemas.openxmlformats.org/officeDocument/2006/relationships/hyperlink" Target="https://nconnect.nicmar.ac.in/storage/profile/ProfilePhoto_P25702067_257683.jpg" TargetMode="External"/><Relationship Id="rId_hyperlink_852" Type="http://schemas.openxmlformats.org/officeDocument/2006/relationships/hyperlink" Target="https://nconnect.nicmar.ac.in/storage/profile/ProfilePhoto_P25702068_328657.jpg" TargetMode="External"/><Relationship Id="rId_hyperlink_853" Type="http://schemas.openxmlformats.org/officeDocument/2006/relationships/hyperlink" Target="https://nconnect.nicmar.ac.in/storage/profile/ProfilePhoto_P25702069_148397.jpg" TargetMode="External"/><Relationship Id="rId_hyperlink_854" Type="http://schemas.openxmlformats.org/officeDocument/2006/relationships/hyperlink" Target="https://nconnect.nicmar.ac.in/storage/profile/ProfilePhoto_P25702070_546397.jpg" TargetMode="External"/><Relationship Id="rId_hyperlink_855" Type="http://schemas.openxmlformats.org/officeDocument/2006/relationships/hyperlink" Target="https://nconnect.nicmar.ac.in/storage/profile/ProfilePhoto_P25702071_618479.jpg" TargetMode="External"/><Relationship Id="rId_hyperlink_856" Type="http://schemas.openxmlformats.org/officeDocument/2006/relationships/hyperlink" Target="https://nconnect.nicmar.ac.in/storage/profile/ProfilePhoto_P25702072_513768.jpg" TargetMode="External"/><Relationship Id="rId_hyperlink_857" Type="http://schemas.openxmlformats.org/officeDocument/2006/relationships/hyperlink" Target="https://nconnect.nicmar.ac.in/storage/profile/ProfilePhoto_P25702073_278631.jpg" TargetMode="External"/><Relationship Id="rId_hyperlink_858" Type="http://schemas.openxmlformats.org/officeDocument/2006/relationships/hyperlink" Target="https://nconnect.nicmar.ac.in/storage/profile/ProfilePhoto_P25702074_418937.jpg" TargetMode="External"/><Relationship Id="rId_hyperlink_859" Type="http://schemas.openxmlformats.org/officeDocument/2006/relationships/hyperlink" Target="https://nconnect.nicmar.ac.in/storage/profile/ProfilePhoto_P25702075_348759.jpg" TargetMode="External"/><Relationship Id="rId_hyperlink_860" Type="http://schemas.openxmlformats.org/officeDocument/2006/relationships/hyperlink" Target="https://nconnect.nicmar.ac.in/storage/profile/ProfilePhoto_P25702076_298574.jpg" TargetMode="External"/><Relationship Id="rId_hyperlink_861" Type="http://schemas.openxmlformats.org/officeDocument/2006/relationships/hyperlink" Target="https://nconnect.nicmar.ac.in/storage/profile/ProfilePhoto_P25702077_746891.jpg" TargetMode="External"/><Relationship Id="rId_hyperlink_862" Type="http://schemas.openxmlformats.org/officeDocument/2006/relationships/hyperlink" Target="https://nconnect.nicmar.ac.in/storage/profile/ProfilePhoto_P25702078_395712.jpg" TargetMode="External"/><Relationship Id="rId_hyperlink_863" Type="http://schemas.openxmlformats.org/officeDocument/2006/relationships/hyperlink" Target="https://nconnect.nicmar.ac.in/storage/profile/ProfilePhoto_P25702079_346712.jpg" TargetMode="External"/><Relationship Id="rId_hyperlink_864" Type="http://schemas.openxmlformats.org/officeDocument/2006/relationships/hyperlink" Target="https://nconnect.nicmar.ac.in/storage/profile/ProfilePhoto_P25702081_536981.jpg" TargetMode="External"/><Relationship Id="rId_hyperlink_865" Type="http://schemas.openxmlformats.org/officeDocument/2006/relationships/hyperlink" Target="https://nconnect.nicmar.ac.in/storage/profile/ProfilePhoto_P25702082_524391.jpg" TargetMode="External"/><Relationship Id="rId_hyperlink_866" Type="http://schemas.openxmlformats.org/officeDocument/2006/relationships/hyperlink" Target="https://nconnect.nicmar.ac.in/storage/profile/ProfilePhoto_P25702083_496513.jpg" TargetMode="External"/><Relationship Id="rId_hyperlink_867" Type="http://schemas.openxmlformats.org/officeDocument/2006/relationships/hyperlink" Target="https://nconnect.nicmar.ac.in/storage/profile/ProfilePhoto_P25702084_327986.jpg" TargetMode="External"/><Relationship Id="rId_hyperlink_868" Type="http://schemas.openxmlformats.org/officeDocument/2006/relationships/hyperlink" Target="https://nconnect.nicmar.ac.in/storage/profile/ProfilePhoto_P25702085_675194.jpg" TargetMode="External"/><Relationship Id="rId_hyperlink_869" Type="http://schemas.openxmlformats.org/officeDocument/2006/relationships/hyperlink" Target="https://nconnect.nicmar.ac.in/storage/profile/ProfilePhoto_P25702086_972613.jpg" TargetMode="External"/><Relationship Id="rId_hyperlink_870" Type="http://schemas.openxmlformats.org/officeDocument/2006/relationships/hyperlink" Target="https://nconnect.nicmar.ac.in/storage/profile/ProfilePhoto_P25702089_483152.jpg" TargetMode="External"/><Relationship Id="rId_hyperlink_871" Type="http://schemas.openxmlformats.org/officeDocument/2006/relationships/hyperlink" Target="https://nconnect.nicmar.ac.in/storage/profile/ProfilePhoto_P25702090_671284.jpg" TargetMode="External"/><Relationship Id="rId_hyperlink_872" Type="http://schemas.openxmlformats.org/officeDocument/2006/relationships/hyperlink" Target="https://nconnect.nicmar.ac.in/storage/profile/ProfilePhoto_P25702091_429168.jpg" TargetMode="External"/><Relationship Id="rId_hyperlink_873" Type="http://schemas.openxmlformats.org/officeDocument/2006/relationships/hyperlink" Target="https://nconnect.nicmar.ac.in/storage/profile/ProfilePhoto_P25702093_491532.jpg" TargetMode="External"/><Relationship Id="rId_hyperlink_874" Type="http://schemas.openxmlformats.org/officeDocument/2006/relationships/hyperlink" Target="https://nconnect.nicmar.ac.in/storage/profile/ProfilePhoto_P25702094_982716.jpg" TargetMode="External"/><Relationship Id="rId_hyperlink_875" Type="http://schemas.openxmlformats.org/officeDocument/2006/relationships/hyperlink" Target="https://nconnect.nicmar.ac.in/storage/profile/ProfilePhoto_P25702095_238745.jpg" TargetMode="External"/><Relationship Id="rId_hyperlink_876" Type="http://schemas.openxmlformats.org/officeDocument/2006/relationships/hyperlink" Target="https://nconnect.nicmar.ac.in/storage/profile/ProfilePhoto_P25702096_761253.jpg" TargetMode="External"/><Relationship Id="rId_hyperlink_877" Type="http://schemas.openxmlformats.org/officeDocument/2006/relationships/hyperlink" Target="https://nconnect.nicmar.ac.in/storage/profile/ProfilePhoto_P25702097_962518.jpg" TargetMode="External"/><Relationship Id="rId_hyperlink_878" Type="http://schemas.openxmlformats.org/officeDocument/2006/relationships/hyperlink" Target="https://nconnect.nicmar.ac.in/storage/profile/ProfilePhoto_P25702098_927635.jpg" TargetMode="External"/><Relationship Id="rId_hyperlink_879" Type="http://schemas.openxmlformats.org/officeDocument/2006/relationships/hyperlink" Target="https://nconnect.nicmar.ac.in/storage/profile/ProfilePhoto_P25702099_245678.jpg" TargetMode="External"/><Relationship Id="rId_hyperlink_880" Type="http://schemas.openxmlformats.org/officeDocument/2006/relationships/hyperlink" Target="https://nconnect.nicmar.ac.in/storage/profile/ProfilePhoto_P25702101_631897.jpg" TargetMode="External"/><Relationship Id="rId_hyperlink_881" Type="http://schemas.openxmlformats.org/officeDocument/2006/relationships/hyperlink" Target="https://nconnect.nicmar.ac.in/storage/profile/ProfilePhoto_P25702102_857932.jpg" TargetMode="External"/><Relationship Id="rId_hyperlink_882" Type="http://schemas.openxmlformats.org/officeDocument/2006/relationships/hyperlink" Target="https://nconnect.nicmar.ac.in/storage/profile/ProfilePhoto_P25702103_359467.jpg" TargetMode="External"/><Relationship Id="rId_hyperlink_883" Type="http://schemas.openxmlformats.org/officeDocument/2006/relationships/hyperlink" Target="https://nconnect.nicmar.ac.in/storage/profile/ProfilePhoto_P25702104_392471.jpg" TargetMode="External"/><Relationship Id="rId_hyperlink_884" Type="http://schemas.openxmlformats.org/officeDocument/2006/relationships/hyperlink" Target="https://nconnect.nicmar.ac.in/storage/profile/ProfilePhoto_P25702105_781956.jpg" TargetMode="External"/><Relationship Id="rId_hyperlink_885" Type="http://schemas.openxmlformats.org/officeDocument/2006/relationships/hyperlink" Target="https://nconnect.nicmar.ac.in/storage/profile/ProfilePhoto_P25702106_365247.jpg" TargetMode="External"/><Relationship Id="rId_hyperlink_886" Type="http://schemas.openxmlformats.org/officeDocument/2006/relationships/hyperlink" Target="https://nconnect.nicmar.ac.in/storage/profile/ProfilePhoto_P25702108_273491.jpg" TargetMode="External"/><Relationship Id="rId_hyperlink_887" Type="http://schemas.openxmlformats.org/officeDocument/2006/relationships/hyperlink" Target="https://nconnect.nicmar.ac.in/storage/profile/ProfilePhoto_P25702109_526438.jpg" TargetMode="External"/><Relationship Id="rId_hyperlink_888" Type="http://schemas.openxmlformats.org/officeDocument/2006/relationships/hyperlink" Target="https://nconnect.nicmar.ac.in/storage/profile/ProfilePhoto_P25702110_367925.jpg" TargetMode="External"/><Relationship Id="rId_hyperlink_889" Type="http://schemas.openxmlformats.org/officeDocument/2006/relationships/hyperlink" Target="https://nconnect.nicmar.ac.in/storage/profile/ProfilePhoto_P25702111_231964.jpg" TargetMode="External"/><Relationship Id="rId_hyperlink_890" Type="http://schemas.openxmlformats.org/officeDocument/2006/relationships/hyperlink" Target="https://nconnect.nicmar.ac.in/storage/profile/ProfilePhoto_P25702113_891347.jpg" TargetMode="External"/><Relationship Id="rId_hyperlink_891" Type="http://schemas.openxmlformats.org/officeDocument/2006/relationships/hyperlink" Target="https://nconnect.nicmar.ac.in/storage/profile/ProfilePhoto_P25702114_395268.jpg" TargetMode="External"/><Relationship Id="rId_hyperlink_892" Type="http://schemas.openxmlformats.org/officeDocument/2006/relationships/hyperlink" Target="https://nconnect.nicmar.ac.in/storage/profile/ProfilePhoto_P25702115_316582.jpg" TargetMode="External"/><Relationship Id="rId_hyperlink_893" Type="http://schemas.openxmlformats.org/officeDocument/2006/relationships/hyperlink" Target="https://nconnect.nicmar.ac.in/storage/profile/ProfilePhoto_P25702116_867945.jpg" TargetMode="External"/><Relationship Id="rId_hyperlink_894" Type="http://schemas.openxmlformats.org/officeDocument/2006/relationships/hyperlink" Target="https://nconnect.nicmar.ac.in/storage/profile/ProfilePhoto_P25702117_738624.jpg" TargetMode="External"/><Relationship Id="rId_hyperlink_895" Type="http://schemas.openxmlformats.org/officeDocument/2006/relationships/hyperlink" Target="https://nconnect.nicmar.ac.in/storage/profile/ProfilePhoto_P25702119_651389.jpg" TargetMode="External"/><Relationship Id="rId_hyperlink_896" Type="http://schemas.openxmlformats.org/officeDocument/2006/relationships/hyperlink" Target="https://nconnect.nicmar.ac.in/storage/profile/ProfilePhoto_P25702120_279461.jpg" TargetMode="External"/><Relationship Id="rId_hyperlink_897" Type="http://schemas.openxmlformats.org/officeDocument/2006/relationships/hyperlink" Target="https://nconnect.nicmar.ac.in/storage/profile/ProfilePhoto_P25702121_187593.jpg" TargetMode="External"/><Relationship Id="rId_hyperlink_898" Type="http://schemas.openxmlformats.org/officeDocument/2006/relationships/hyperlink" Target="https://nconnect.nicmar.ac.in/storage/profile/ProfilePhoto_P25702122_472139.jpg" TargetMode="External"/><Relationship Id="rId_hyperlink_899" Type="http://schemas.openxmlformats.org/officeDocument/2006/relationships/hyperlink" Target="https://nconnect.nicmar.ac.in/storage/profile/ProfilePhoto_P25702123_324697.jpg" TargetMode="External"/><Relationship Id="rId_hyperlink_900" Type="http://schemas.openxmlformats.org/officeDocument/2006/relationships/hyperlink" Target="https://nconnect.nicmar.ac.in/storage/profile/ProfilePhoto_P25702124_236974.jpg" TargetMode="External"/><Relationship Id="rId_hyperlink_901" Type="http://schemas.openxmlformats.org/officeDocument/2006/relationships/hyperlink" Target="https://nconnect.nicmar.ac.in/storage/profile/ProfilePhoto_P25702125_416987.jpg" TargetMode="External"/><Relationship Id="rId_hyperlink_902" Type="http://schemas.openxmlformats.org/officeDocument/2006/relationships/hyperlink" Target="https://nconnect.nicmar.ac.in/storage/profile/ProfilePhoto_P25702126_789261.jpg" TargetMode="External"/><Relationship Id="rId_hyperlink_903" Type="http://schemas.openxmlformats.org/officeDocument/2006/relationships/hyperlink" Target="https://nconnect.nicmar.ac.in/storage/profile/ProfilePhoto_P25702127_783594.jpg" TargetMode="External"/><Relationship Id="rId_hyperlink_904" Type="http://schemas.openxmlformats.org/officeDocument/2006/relationships/hyperlink" Target="https://nconnect.nicmar.ac.in/storage/profile/ProfilePhoto_P25702128_617289.jpg" TargetMode="External"/><Relationship Id="rId_hyperlink_905" Type="http://schemas.openxmlformats.org/officeDocument/2006/relationships/hyperlink" Target="https://nconnect.nicmar.ac.in/storage/profile/ProfilePhoto_P25702129_946852.jpg" TargetMode="External"/><Relationship Id="rId_hyperlink_906" Type="http://schemas.openxmlformats.org/officeDocument/2006/relationships/hyperlink" Target="https://nconnect.nicmar.ac.in/storage/profile/ProfilePhoto_P25702130_924736.jpg" TargetMode="External"/><Relationship Id="rId_hyperlink_907" Type="http://schemas.openxmlformats.org/officeDocument/2006/relationships/hyperlink" Target="https://nconnect.nicmar.ac.in/storage/profile/ProfilePhoto_P25702131_683715.jpg" TargetMode="External"/><Relationship Id="rId_hyperlink_908" Type="http://schemas.openxmlformats.org/officeDocument/2006/relationships/hyperlink" Target="https://nconnect.nicmar.ac.in/storage/profile/ProfilePhoto_P25702132_826143.jpg" TargetMode="External"/><Relationship Id="rId_hyperlink_909" Type="http://schemas.openxmlformats.org/officeDocument/2006/relationships/hyperlink" Target="https://nconnect.nicmar.ac.in/storage/profile/ProfilePhoto_P25702133_154693.jpg" TargetMode="External"/><Relationship Id="rId_hyperlink_910" Type="http://schemas.openxmlformats.org/officeDocument/2006/relationships/hyperlink" Target="https://nconnect.nicmar.ac.in/storage/profile/ProfilePhoto_P25702134_543796.jpg" TargetMode="External"/><Relationship Id="rId_hyperlink_911" Type="http://schemas.openxmlformats.org/officeDocument/2006/relationships/hyperlink" Target="https://nconnect.nicmar.ac.in/storage/profile/ProfilePhoto_P25702136_837591.jpg" TargetMode="External"/><Relationship Id="rId_hyperlink_912" Type="http://schemas.openxmlformats.org/officeDocument/2006/relationships/hyperlink" Target="https://nconnect.nicmar.ac.in/storage/profile/ProfilePhoto_P25702137_819267.jpg" TargetMode="External"/><Relationship Id="rId_hyperlink_913" Type="http://schemas.openxmlformats.org/officeDocument/2006/relationships/hyperlink" Target="https://nconnect.nicmar.ac.in/storage/profile/ProfilePhoto_P25702138_785142.jpg" TargetMode="External"/><Relationship Id="rId_hyperlink_914" Type="http://schemas.openxmlformats.org/officeDocument/2006/relationships/hyperlink" Target="https://nconnect.nicmar.ac.in/storage/profile/ProfilePhoto_P25702139_653287.jpg" TargetMode="External"/><Relationship Id="rId_hyperlink_915" Type="http://schemas.openxmlformats.org/officeDocument/2006/relationships/hyperlink" Target="https://nconnect.nicmar.ac.in/storage/profile/ProfilePhoto_P25702140_617534.jpg" TargetMode="External"/><Relationship Id="rId_hyperlink_916" Type="http://schemas.openxmlformats.org/officeDocument/2006/relationships/hyperlink" Target="https://nconnect.nicmar.ac.in/storage/profile/ProfilePhoto_P25702141_791462.jpg" TargetMode="External"/><Relationship Id="rId_hyperlink_917" Type="http://schemas.openxmlformats.org/officeDocument/2006/relationships/hyperlink" Target="https://nconnect.nicmar.ac.in/storage/profile/ProfilePhoto_P25702142_975823.jpg" TargetMode="External"/><Relationship Id="rId_hyperlink_918" Type="http://schemas.openxmlformats.org/officeDocument/2006/relationships/hyperlink" Target="https://nconnect.nicmar.ac.in/storage/profile/ProfilePhoto_P25702143_642159.jpg" TargetMode="External"/><Relationship Id="rId_hyperlink_919" Type="http://schemas.openxmlformats.org/officeDocument/2006/relationships/hyperlink" Target="https://nconnect.nicmar.ac.in/storage/profile/ProfilePhoto_P25702144_513879.jpg" TargetMode="External"/><Relationship Id="rId_hyperlink_920" Type="http://schemas.openxmlformats.org/officeDocument/2006/relationships/hyperlink" Target="https://nconnect.nicmar.ac.in/storage/profile/ProfilePhoto_P25702145_537219.jpg" TargetMode="External"/><Relationship Id="rId_hyperlink_921" Type="http://schemas.openxmlformats.org/officeDocument/2006/relationships/hyperlink" Target="https://nconnect.nicmar.ac.in/storage/profile/ProfilePhoto_P25702146_286534.jpg" TargetMode="External"/><Relationship Id="rId_hyperlink_922" Type="http://schemas.openxmlformats.org/officeDocument/2006/relationships/hyperlink" Target="https://nconnect.nicmar.ac.in/storage/profile/ProfilePhoto_P25702147_251638.jpg" TargetMode="External"/><Relationship Id="rId_hyperlink_923" Type="http://schemas.openxmlformats.org/officeDocument/2006/relationships/hyperlink" Target="https://nconnect.nicmar.ac.in/storage/profile/ProfilePhoto_P25702148_256413.jpg" TargetMode="External"/><Relationship Id="rId_hyperlink_924" Type="http://schemas.openxmlformats.org/officeDocument/2006/relationships/hyperlink" Target="https://nconnect.nicmar.ac.in/storage/profile/ProfilePhoto_P25702150_823791.jpg" TargetMode="External"/><Relationship Id="rId_hyperlink_925" Type="http://schemas.openxmlformats.org/officeDocument/2006/relationships/hyperlink" Target="https://nconnect.nicmar.ac.in/storage/profile/ProfilePhoto_P25702151_527439.jpg" TargetMode="External"/><Relationship Id="rId_hyperlink_926" Type="http://schemas.openxmlformats.org/officeDocument/2006/relationships/hyperlink" Target="https://nconnect.nicmar.ac.in/storage/profile/ProfilePhoto_P25702152_836721.jpg" TargetMode="External"/><Relationship Id="rId_hyperlink_927" Type="http://schemas.openxmlformats.org/officeDocument/2006/relationships/hyperlink" Target="https://nconnect.nicmar.ac.in/storage/profile/ProfilePhoto_P25702153_428956.jpg" TargetMode="External"/><Relationship Id="rId_hyperlink_928" Type="http://schemas.openxmlformats.org/officeDocument/2006/relationships/hyperlink" Target="https://nconnect.nicmar.ac.in/storage/profile/ProfilePhoto_P2201001_514287.jpg" TargetMode="External"/><Relationship Id="rId_hyperlink_929" Type="http://schemas.openxmlformats.org/officeDocument/2006/relationships/hyperlink" Target="https://nconnect.nicmar.ac.in/storage/profile/ProfilePhoto_P2201002_875142.jpg" TargetMode="External"/><Relationship Id="rId_hyperlink_930" Type="http://schemas.openxmlformats.org/officeDocument/2006/relationships/hyperlink" Target="https://nconnect.nicmar.ac.in/storage/profile/ProfilePhoto_P2201003_674125.jpg" TargetMode="External"/><Relationship Id="rId_hyperlink_931" Type="http://schemas.openxmlformats.org/officeDocument/2006/relationships/hyperlink" Target="https://nconnect.nicmar.ac.in/storage/profile/ProfilePhoto_P2201006_126385.jpg" TargetMode="External"/><Relationship Id="rId_hyperlink_932" Type="http://schemas.openxmlformats.org/officeDocument/2006/relationships/hyperlink" Target="https://nconnect.nicmar.ac.in/storage/profile/ProfilePhoto_P2201007_873615.jpg" TargetMode="External"/><Relationship Id="rId_hyperlink_933" Type="http://schemas.openxmlformats.org/officeDocument/2006/relationships/hyperlink" Target="https://nconnect.nicmar.ac.in/storage/profile/ProfilePhoto_P2201008_187945.jpg" TargetMode="External"/><Relationship Id="rId_hyperlink_934" Type="http://schemas.openxmlformats.org/officeDocument/2006/relationships/hyperlink" Target="https://nconnect.nicmar.ac.in/storage/profile/ProfilePhoto_P2201010_518643.jpg" TargetMode="External"/><Relationship Id="rId_hyperlink_935" Type="http://schemas.openxmlformats.org/officeDocument/2006/relationships/hyperlink" Target="https://nconnect.nicmar.ac.in/storage/profile/ProfilePhoto_P25703001_183497.jpg" TargetMode="External"/><Relationship Id="rId_hyperlink_936" Type="http://schemas.openxmlformats.org/officeDocument/2006/relationships/hyperlink" Target="https://nconnect.nicmar.ac.in/storage/profile/ProfilePhoto_P25703002_482139.jpg" TargetMode="External"/><Relationship Id="rId_hyperlink_937" Type="http://schemas.openxmlformats.org/officeDocument/2006/relationships/hyperlink" Target="https://nconnect.nicmar.ac.in/storage/profile/ProfilePhoto_P25703003_426193.jpg" TargetMode="External"/><Relationship Id="rId_hyperlink_938" Type="http://schemas.openxmlformats.org/officeDocument/2006/relationships/hyperlink" Target="https://nconnect.nicmar.ac.in/storage/profile/ProfilePhoto_P25703004_138697.jpg" TargetMode="External"/><Relationship Id="rId_hyperlink_939" Type="http://schemas.openxmlformats.org/officeDocument/2006/relationships/hyperlink" Target="https://nconnect.nicmar.ac.in/storage/profile/ProfilePhoto_P25703005_859241.jpg" TargetMode="External"/><Relationship Id="rId_hyperlink_940" Type="http://schemas.openxmlformats.org/officeDocument/2006/relationships/hyperlink" Target="https://nconnect.nicmar.ac.in/storage/profile/ProfilePhoto_P25703006_431582.jpg" TargetMode="External"/><Relationship Id="rId_hyperlink_941" Type="http://schemas.openxmlformats.org/officeDocument/2006/relationships/hyperlink" Target="https://nconnect.nicmar.ac.in/storage/profile/ProfilePhoto_P25703007_257863.jpg" TargetMode="External"/><Relationship Id="rId_hyperlink_942" Type="http://schemas.openxmlformats.org/officeDocument/2006/relationships/hyperlink" Target="https://nconnect.nicmar.ac.in/storage/profile/ProfilePhoto_P25703008_815249.jpg" TargetMode="External"/><Relationship Id="rId_hyperlink_943" Type="http://schemas.openxmlformats.org/officeDocument/2006/relationships/hyperlink" Target="https://nconnect.nicmar.ac.in/storage/profile/ProfilePhoto_P25703009_857219.jpg" TargetMode="External"/><Relationship Id="rId_hyperlink_944" Type="http://schemas.openxmlformats.org/officeDocument/2006/relationships/hyperlink" Target="https://nconnect.nicmar.ac.in/storage/profile/ProfilePhoto_P25703010_526749.jpg" TargetMode="External"/><Relationship Id="rId_hyperlink_945" Type="http://schemas.openxmlformats.org/officeDocument/2006/relationships/hyperlink" Target="https://nconnect.nicmar.ac.in/storage/profile/ProfilePhoto_P25703011_825793.jpg" TargetMode="External"/><Relationship Id="rId_hyperlink_946" Type="http://schemas.openxmlformats.org/officeDocument/2006/relationships/hyperlink" Target="https://nconnect.nicmar.ac.in/storage/profile/ProfilePhoto_P25703014_598123.jpg" TargetMode="External"/><Relationship Id="rId_hyperlink_947" Type="http://schemas.openxmlformats.org/officeDocument/2006/relationships/hyperlink" Target="https://nconnect.nicmar.ac.in/storage/profile/ProfilePhoto_P25703015_461932.jpg" TargetMode="External"/><Relationship Id="rId_hyperlink_948" Type="http://schemas.openxmlformats.org/officeDocument/2006/relationships/hyperlink" Target="https://nconnect.nicmar.ac.in/storage/profile/ProfilePhoto_P25703016_352178.jpg" TargetMode="External"/><Relationship Id="rId_hyperlink_949" Type="http://schemas.openxmlformats.org/officeDocument/2006/relationships/hyperlink" Target="https://nconnect.nicmar.ac.in/storage/profile/ProfilePhoto_P25703017_348917.jpg" TargetMode="External"/><Relationship Id="rId_hyperlink_950" Type="http://schemas.openxmlformats.org/officeDocument/2006/relationships/hyperlink" Target="https://nconnect.nicmar.ac.in/storage/profile/ProfilePhoto_P25703020_189736.jpg" TargetMode="External"/><Relationship Id="rId_hyperlink_951" Type="http://schemas.openxmlformats.org/officeDocument/2006/relationships/hyperlink" Target="https://nconnect.nicmar.ac.in/storage/profile/ProfilePhoto_P25703021_349281.jpg" TargetMode="External"/><Relationship Id="rId_hyperlink_952" Type="http://schemas.openxmlformats.org/officeDocument/2006/relationships/hyperlink" Target="https://nconnect.nicmar.ac.in/storage/profile/ProfilePhoto_P25703022_834792.jpg" TargetMode="External"/><Relationship Id="rId_hyperlink_953" Type="http://schemas.openxmlformats.org/officeDocument/2006/relationships/hyperlink" Target="https://nconnect.nicmar.ac.in/storage/profile/ProfilePhoto_P25703023_618729.jpg" TargetMode="External"/><Relationship Id="rId_hyperlink_954" Type="http://schemas.openxmlformats.org/officeDocument/2006/relationships/hyperlink" Target="https://nconnect.nicmar.ac.in/storage/profile/ProfilePhoto_P25703024_753916.jpg" TargetMode="External"/><Relationship Id="rId_hyperlink_955" Type="http://schemas.openxmlformats.org/officeDocument/2006/relationships/hyperlink" Target="https://nconnect.nicmar.ac.in/storage/profile/ProfilePhoto_P25703025_329654.jpg" TargetMode="External"/><Relationship Id="rId_hyperlink_956" Type="http://schemas.openxmlformats.org/officeDocument/2006/relationships/hyperlink" Target="https://nconnect.nicmar.ac.in/storage/profile/ProfilePhoto_P25703026_473982.jpg" TargetMode="External"/><Relationship Id="rId_hyperlink_957" Type="http://schemas.openxmlformats.org/officeDocument/2006/relationships/hyperlink" Target="https://nconnect.nicmar.ac.in/storage/profile/ProfilePhoto_P25703027_638754.jpg" TargetMode="External"/><Relationship Id="rId_hyperlink_958" Type="http://schemas.openxmlformats.org/officeDocument/2006/relationships/hyperlink" Target="https://nconnect.nicmar.ac.in/storage/profile/ProfilePhoto_P25703028_281695.jpg" TargetMode="External"/><Relationship Id="rId_hyperlink_959" Type="http://schemas.openxmlformats.org/officeDocument/2006/relationships/hyperlink" Target="https://nconnect.nicmar.ac.in/storage/profile/ProfilePhoto_P25703029_945782.jpg" TargetMode="External"/><Relationship Id="rId_hyperlink_960" Type="http://schemas.openxmlformats.org/officeDocument/2006/relationships/hyperlink" Target="https://nconnect.nicmar.ac.in/storage/profile/ProfilePhoto_P25703030_982536.jpg" TargetMode="External"/><Relationship Id="rId_hyperlink_961" Type="http://schemas.openxmlformats.org/officeDocument/2006/relationships/hyperlink" Target="https://nconnect.nicmar.ac.in/storage/profile/ProfilePhoto_P25703031_654879.jpg" TargetMode="External"/><Relationship Id="rId_hyperlink_962" Type="http://schemas.openxmlformats.org/officeDocument/2006/relationships/hyperlink" Target="https://nconnect.nicmar.ac.in/storage/profile/ProfilePhoto_P25703032_493712.jpg" TargetMode="External"/><Relationship Id="rId_hyperlink_963" Type="http://schemas.openxmlformats.org/officeDocument/2006/relationships/hyperlink" Target="https://nconnect.nicmar.ac.in/storage/profile/ProfilePhoto_P25703033_265831.jpg" TargetMode="External"/><Relationship Id="rId_hyperlink_964" Type="http://schemas.openxmlformats.org/officeDocument/2006/relationships/hyperlink" Target="https://nconnect.nicmar.ac.in/storage/profile/ProfilePhoto_P25703034_743562.jpg" TargetMode="External"/><Relationship Id="rId_hyperlink_965" Type="http://schemas.openxmlformats.org/officeDocument/2006/relationships/hyperlink" Target="https://nconnect.nicmar.ac.in/storage/profile/ProfilePhoto_P25703035_583967.jpg" TargetMode="External"/><Relationship Id="rId_hyperlink_966" Type="http://schemas.openxmlformats.org/officeDocument/2006/relationships/hyperlink" Target="https://nconnect.nicmar.ac.in/storage/profile/ProfilePhoto_P25703037_975312.jpg" TargetMode="External"/><Relationship Id="rId_hyperlink_967" Type="http://schemas.openxmlformats.org/officeDocument/2006/relationships/hyperlink" Target="https://nconnect.nicmar.ac.in/storage/profile/ProfilePhoto_P25703038_123479.jpg" TargetMode="External"/><Relationship Id="rId_hyperlink_968" Type="http://schemas.openxmlformats.org/officeDocument/2006/relationships/hyperlink" Target="https://nconnect.nicmar.ac.in/storage/profile/ProfilePhoto_P25703039_812957.jpg" TargetMode="External"/><Relationship Id="rId_hyperlink_969" Type="http://schemas.openxmlformats.org/officeDocument/2006/relationships/hyperlink" Target="https://nconnect.nicmar.ac.in/storage/profile/ProfilePhoto_P25703040_795461.jpg" TargetMode="External"/><Relationship Id="rId_hyperlink_970" Type="http://schemas.openxmlformats.org/officeDocument/2006/relationships/hyperlink" Target="https://nconnect.nicmar.ac.in/storage/profile/ProfilePhoto_P25703041_689342.jpg" TargetMode="External"/><Relationship Id="rId_hyperlink_971" Type="http://schemas.openxmlformats.org/officeDocument/2006/relationships/hyperlink" Target="https://nconnect.nicmar.ac.in/storage/profile/ProfilePhoto_P25703042_139468.jpg" TargetMode="External"/><Relationship Id="rId_hyperlink_972" Type="http://schemas.openxmlformats.org/officeDocument/2006/relationships/hyperlink" Target="https://nconnect.nicmar.ac.in/storage/profile/ProfilePhoto_P25703043_964875.jpg" TargetMode="External"/><Relationship Id="rId_hyperlink_973" Type="http://schemas.openxmlformats.org/officeDocument/2006/relationships/hyperlink" Target="https://nconnect.nicmar.ac.in/storage/profile/ProfilePhoto_P25703044_175329.jpg" TargetMode="External"/><Relationship Id="rId_hyperlink_974" Type="http://schemas.openxmlformats.org/officeDocument/2006/relationships/hyperlink" Target="https://nconnect.nicmar.ac.in/storage/profile/ProfilePhoto_P25703045_971483.jpg" TargetMode="External"/><Relationship Id="rId_hyperlink_975" Type="http://schemas.openxmlformats.org/officeDocument/2006/relationships/hyperlink" Target="https://nconnect.nicmar.ac.in/storage/profile/ProfilePhoto_P25703046_682913.jpg" TargetMode="External"/><Relationship Id="rId_hyperlink_976" Type="http://schemas.openxmlformats.org/officeDocument/2006/relationships/hyperlink" Target="https://nconnect.nicmar.ac.in/storage/profile/ProfilePhoto_P25703047_245896.jpg" TargetMode="External"/><Relationship Id="rId_hyperlink_977" Type="http://schemas.openxmlformats.org/officeDocument/2006/relationships/hyperlink" Target="https://nconnect.nicmar.ac.in/storage/profile/ProfilePhoto_P25703048_983516.jpg" TargetMode="External"/><Relationship Id="rId_hyperlink_978" Type="http://schemas.openxmlformats.org/officeDocument/2006/relationships/hyperlink" Target="https://nconnect.nicmar.ac.in/storage/profile/ProfilePhoto_P25703049_251834.jpg" TargetMode="External"/><Relationship Id="rId_hyperlink_979" Type="http://schemas.openxmlformats.org/officeDocument/2006/relationships/hyperlink" Target="https://nconnect.nicmar.ac.in/storage/profile/ProfilePhoto_P25703050_934657.jpg" TargetMode="External"/><Relationship Id="rId_hyperlink_980" Type="http://schemas.openxmlformats.org/officeDocument/2006/relationships/hyperlink" Target="https://nconnect.nicmar.ac.in/storage/profile/ProfilePhoto_P25703051_276439.jpg" TargetMode="External"/><Relationship Id="rId_hyperlink_981" Type="http://schemas.openxmlformats.org/officeDocument/2006/relationships/hyperlink" Target="https://nconnect.nicmar.ac.in/storage/profile/ProfilePhoto_P25703052_721359.jpg" TargetMode="External"/><Relationship Id="rId_hyperlink_982" Type="http://schemas.openxmlformats.org/officeDocument/2006/relationships/hyperlink" Target="https://nconnect.nicmar.ac.in/storage/profile/ProfilePhoto_P25703053_389456.jpg" TargetMode="External"/><Relationship Id="rId_hyperlink_983" Type="http://schemas.openxmlformats.org/officeDocument/2006/relationships/hyperlink" Target="https://nconnect.nicmar.ac.in/storage/profile/ProfilePhoto_P25703054_851264.jpg" TargetMode="External"/><Relationship Id="rId_hyperlink_984" Type="http://schemas.openxmlformats.org/officeDocument/2006/relationships/hyperlink" Target="https://nconnect.nicmar.ac.in/storage/profile/ProfilePhoto_P25703055_376895.jpg" TargetMode="External"/><Relationship Id="rId_hyperlink_985" Type="http://schemas.openxmlformats.org/officeDocument/2006/relationships/hyperlink" Target="https://nconnect.nicmar.ac.in/storage/profile/ProfilePhoto_P25703056_384126.jpg" TargetMode="External"/><Relationship Id="rId_hyperlink_986" Type="http://schemas.openxmlformats.org/officeDocument/2006/relationships/hyperlink" Target="https://nconnect.nicmar.ac.in/storage/profile/ProfilePhoto_P25703057_537942.jpg" TargetMode="External"/><Relationship Id="rId_hyperlink_987" Type="http://schemas.openxmlformats.org/officeDocument/2006/relationships/hyperlink" Target="https://nconnect.nicmar.ac.in/storage/profile/ProfilePhoto_P25703058_486527.jpg" TargetMode="External"/><Relationship Id="rId_hyperlink_988" Type="http://schemas.openxmlformats.org/officeDocument/2006/relationships/hyperlink" Target="https://nconnect.nicmar.ac.in/storage/profile/ProfilePhoto_P25703059_751834.jpg" TargetMode="External"/><Relationship Id="rId_hyperlink_989" Type="http://schemas.openxmlformats.org/officeDocument/2006/relationships/hyperlink" Target="https://nconnect.nicmar.ac.in/storage/profile/ProfilePhoto_P25703060_274865.jpg" TargetMode="External"/><Relationship Id="rId_hyperlink_990" Type="http://schemas.openxmlformats.org/officeDocument/2006/relationships/hyperlink" Target="https://nconnect.nicmar.ac.in/storage/profile/ProfilePhoto_P25703061_518749.jpg" TargetMode="External"/><Relationship Id="rId_hyperlink_991" Type="http://schemas.openxmlformats.org/officeDocument/2006/relationships/hyperlink" Target="https://nconnect.nicmar.ac.in/storage/profile/ProfilePhoto_P25703062_538147.jpg" TargetMode="External"/><Relationship Id="rId_hyperlink_992" Type="http://schemas.openxmlformats.org/officeDocument/2006/relationships/hyperlink" Target="https://nconnect.nicmar.ac.in/storage/profile/ProfilePhoto_P25703063_326758.jpg" TargetMode="External"/><Relationship Id="rId_hyperlink_993" Type="http://schemas.openxmlformats.org/officeDocument/2006/relationships/hyperlink" Target="https://nconnect.nicmar.ac.in/storage/profile/ProfilePhoto_P25703064_951836.jpg" TargetMode="External"/><Relationship Id="rId_hyperlink_994" Type="http://schemas.openxmlformats.org/officeDocument/2006/relationships/hyperlink" Target="https://nconnect.nicmar.ac.in/storage/profile/ProfilePhoto_P25703065_946527.jpg" TargetMode="External"/><Relationship Id="rId_hyperlink_995" Type="http://schemas.openxmlformats.org/officeDocument/2006/relationships/hyperlink" Target="https://nconnect.nicmar.ac.in/storage/profile/ProfilePhoto_P25703066_498361.jpg" TargetMode="External"/><Relationship Id="rId_hyperlink_996" Type="http://schemas.openxmlformats.org/officeDocument/2006/relationships/hyperlink" Target="https://nconnect.nicmar.ac.in/storage/profile/ProfilePhoto_P25703067_814359.jpg" TargetMode="External"/><Relationship Id="rId_hyperlink_997" Type="http://schemas.openxmlformats.org/officeDocument/2006/relationships/hyperlink" Target="https://nconnect.nicmar.ac.in/storage/profile/ProfilePhoto_P25703069_368529.jpg" TargetMode="External"/><Relationship Id="rId_hyperlink_998" Type="http://schemas.openxmlformats.org/officeDocument/2006/relationships/hyperlink" Target="https://nconnect.nicmar.ac.in/storage/profile/ProfilePhoto_P25703070_916348.jpg" TargetMode="External"/><Relationship Id="rId_hyperlink_999" Type="http://schemas.openxmlformats.org/officeDocument/2006/relationships/hyperlink" Target="https://nconnect.nicmar.ac.in/storage/profile/ProfilePhoto_P25703071_927836.jpg" TargetMode="External"/><Relationship Id="rId_hyperlink_1000" Type="http://schemas.openxmlformats.org/officeDocument/2006/relationships/hyperlink" Target="https://nconnect.nicmar.ac.in/storage/profile/ProfilePhoto_P25703072_791563.jpg" TargetMode="External"/><Relationship Id="rId_hyperlink_1001" Type="http://schemas.openxmlformats.org/officeDocument/2006/relationships/hyperlink" Target="https://nconnect.nicmar.ac.in/storage/profile/ProfilePhoto_P25703073_853419.jpg" TargetMode="External"/><Relationship Id="rId_hyperlink_1002" Type="http://schemas.openxmlformats.org/officeDocument/2006/relationships/hyperlink" Target="https://nconnect.nicmar.ac.in/storage/profile/ProfilePhoto_P25703075_735968.jpg" TargetMode="External"/><Relationship Id="rId_hyperlink_1003" Type="http://schemas.openxmlformats.org/officeDocument/2006/relationships/hyperlink" Target="https://nconnect.nicmar.ac.in/storage/profile/ProfilePhoto_P25703076_758314.jpg" TargetMode="External"/><Relationship Id="rId_hyperlink_1004" Type="http://schemas.openxmlformats.org/officeDocument/2006/relationships/hyperlink" Target="https://nconnect.nicmar.ac.in/storage/profile/ProfilePhoto_P25703077_591873.jpg" TargetMode="External"/><Relationship Id="rId_hyperlink_1005" Type="http://schemas.openxmlformats.org/officeDocument/2006/relationships/hyperlink" Target="https://nconnect.nicmar.ac.in/storage/profile/ProfilePhoto_P25703078_978462.jpg" TargetMode="External"/><Relationship Id="rId_hyperlink_1006" Type="http://schemas.openxmlformats.org/officeDocument/2006/relationships/hyperlink" Target="https://nconnect.nicmar.ac.in/storage/profile/ProfilePhoto_P25703080_396475.jpg" TargetMode="External"/><Relationship Id="rId_hyperlink_1007" Type="http://schemas.openxmlformats.org/officeDocument/2006/relationships/hyperlink" Target="https://nconnect.nicmar.ac.in/storage/profile/ProfilePhoto_P25703036_347852.jpg" TargetMode="External"/><Relationship Id="rId_hyperlink_1008" Type="http://schemas.openxmlformats.org/officeDocument/2006/relationships/hyperlink" Target="https://nconnect.nicmar.ac.in/storage/profile/ProfilePhoto_P25707001_689247.jpg" TargetMode="External"/><Relationship Id="rId_hyperlink_1009" Type="http://schemas.openxmlformats.org/officeDocument/2006/relationships/hyperlink" Target="https://nconnect.nicmar.ac.in/storage/profile/ProfilePhoto_P25707002_857632.jpg" TargetMode="External"/><Relationship Id="rId_hyperlink_1010" Type="http://schemas.openxmlformats.org/officeDocument/2006/relationships/hyperlink" Target="https://nconnect.nicmar.ac.in/storage/profile/ProfilePhoto_P25707003_426789.jpg" TargetMode="External"/><Relationship Id="rId_hyperlink_1011" Type="http://schemas.openxmlformats.org/officeDocument/2006/relationships/hyperlink" Target="https://nconnect.nicmar.ac.in/storage/profile/ProfilePhoto_P25707004_475816.jpg" TargetMode="External"/><Relationship Id="rId_hyperlink_1012" Type="http://schemas.openxmlformats.org/officeDocument/2006/relationships/hyperlink" Target="https://nconnect.nicmar.ac.in/storage/profile/ProfilePhoto_P25707005_192873.jpg" TargetMode="External"/><Relationship Id="rId_hyperlink_1013" Type="http://schemas.openxmlformats.org/officeDocument/2006/relationships/hyperlink" Target="https://nconnect.nicmar.ac.in/storage/profile/ProfilePhoto_P25707007_687459.jpg" TargetMode="External"/><Relationship Id="rId_hyperlink_1014" Type="http://schemas.openxmlformats.org/officeDocument/2006/relationships/hyperlink" Target="https://nconnect.nicmar.ac.in/storage/profile/ProfilePhoto_P25707008_267589.jpg" TargetMode="External"/><Relationship Id="rId_hyperlink_1015" Type="http://schemas.openxmlformats.org/officeDocument/2006/relationships/hyperlink" Target="https://nconnect.nicmar.ac.in/storage/profile/ProfilePhoto_P25707011_829531.jpg" TargetMode="External"/><Relationship Id="rId_hyperlink_1016" Type="http://schemas.openxmlformats.org/officeDocument/2006/relationships/hyperlink" Target="https://nconnect.nicmar.ac.in/storage/profile/ProfilePhoto_P25707012_126357.jpg" TargetMode="External"/><Relationship Id="rId_hyperlink_1017" Type="http://schemas.openxmlformats.org/officeDocument/2006/relationships/hyperlink" Target="https://nconnect.nicmar.ac.in/storage/profile/ProfilePhoto_P25707013_359281.jpg" TargetMode="External"/><Relationship Id="rId_hyperlink_1018" Type="http://schemas.openxmlformats.org/officeDocument/2006/relationships/hyperlink" Target="https://nconnect.nicmar.ac.in/storage/profile/ProfilePhoto_P25707014_759148.jpg" TargetMode="External"/><Relationship Id="rId_hyperlink_1019" Type="http://schemas.openxmlformats.org/officeDocument/2006/relationships/hyperlink" Target="https://nconnect.nicmar.ac.in/storage/profile/ProfilePhoto_P25707015_275148.jpg" TargetMode="External"/><Relationship Id="rId_hyperlink_1020" Type="http://schemas.openxmlformats.org/officeDocument/2006/relationships/hyperlink" Target="https://nconnect.nicmar.ac.in/storage/profile/ProfilePhoto_P25707016_126584.jpg" TargetMode="External"/><Relationship Id="rId_hyperlink_1021" Type="http://schemas.openxmlformats.org/officeDocument/2006/relationships/hyperlink" Target="https://nconnect.nicmar.ac.in/storage/profile/ProfilePhoto_P25707017_492153.jpg" TargetMode="External"/><Relationship Id="rId_hyperlink_1022" Type="http://schemas.openxmlformats.org/officeDocument/2006/relationships/hyperlink" Target="https://nconnect.nicmar.ac.in/storage/profile/ProfilePhoto_P25707018_314526.jpg" TargetMode="External"/><Relationship Id="rId_hyperlink_1023" Type="http://schemas.openxmlformats.org/officeDocument/2006/relationships/hyperlink" Target="https://nconnect.nicmar.ac.in/storage/profile/ProfilePhoto_P25707021_512496.jpg" TargetMode="External"/><Relationship Id="rId_hyperlink_1024" Type="http://schemas.openxmlformats.org/officeDocument/2006/relationships/hyperlink" Target="https://nconnect.nicmar.ac.in/storage/profile/ProfilePhoto_P25707022_251376.jpg" TargetMode="External"/><Relationship Id="rId_hyperlink_1025" Type="http://schemas.openxmlformats.org/officeDocument/2006/relationships/hyperlink" Target="https://nconnect.nicmar.ac.in/storage/profile/ProfilePhoto_P25707023_842739.jpg" TargetMode="External"/><Relationship Id="rId_hyperlink_1026" Type="http://schemas.openxmlformats.org/officeDocument/2006/relationships/hyperlink" Target="https://nconnect.nicmar.ac.in/storage/profile/ProfilePhoto_P25707024_269347.jpg" TargetMode="External"/><Relationship Id="rId_hyperlink_1027" Type="http://schemas.openxmlformats.org/officeDocument/2006/relationships/hyperlink" Target="https://nconnect.nicmar.ac.in/storage/profile/ProfilePhoto_P25707025_542186.jpg" TargetMode="External"/><Relationship Id="rId_hyperlink_1028" Type="http://schemas.openxmlformats.org/officeDocument/2006/relationships/hyperlink" Target="https://nconnect.nicmar.ac.in/storage/profile/ProfilePhoto_P25707026_581379.jpg" TargetMode="External"/><Relationship Id="rId_hyperlink_1029" Type="http://schemas.openxmlformats.org/officeDocument/2006/relationships/hyperlink" Target="https://nconnect.nicmar.ac.in/storage/profile/ProfilePhoto_P25707027_184539.jpg" TargetMode="External"/><Relationship Id="rId_hyperlink_1030" Type="http://schemas.openxmlformats.org/officeDocument/2006/relationships/hyperlink" Target="https://nconnect.nicmar.ac.in/storage/profile/ProfilePhoto_P25707028_695231.jpg" TargetMode="External"/><Relationship Id="rId_hyperlink_1031" Type="http://schemas.openxmlformats.org/officeDocument/2006/relationships/hyperlink" Target="https://nconnect.nicmar.ac.in/storage/profile/ProfilePhoto_P25707029_139628.jpg" TargetMode="External"/><Relationship Id="rId_hyperlink_1032" Type="http://schemas.openxmlformats.org/officeDocument/2006/relationships/hyperlink" Target="https://nconnect.nicmar.ac.in/storage/profile/ProfilePhoto_P25707030_263785.jpg" TargetMode="External"/><Relationship Id="rId_hyperlink_1033" Type="http://schemas.openxmlformats.org/officeDocument/2006/relationships/hyperlink" Target="https://nconnect.nicmar.ac.in/storage/profile/ProfilePhoto_P25707031_731429.jpg" TargetMode="External"/><Relationship Id="rId_hyperlink_1034" Type="http://schemas.openxmlformats.org/officeDocument/2006/relationships/hyperlink" Target="https://nconnect.nicmar.ac.in/storage/profile/ProfilePhoto_P25707033_857492.jpg" TargetMode="External"/><Relationship Id="rId_hyperlink_1035" Type="http://schemas.openxmlformats.org/officeDocument/2006/relationships/hyperlink" Target="https://nconnect.nicmar.ac.in/storage/profile/ProfilePhoto_P25707034_398276.jpg" TargetMode="External"/><Relationship Id="rId_hyperlink_1036" Type="http://schemas.openxmlformats.org/officeDocument/2006/relationships/hyperlink" Target="https://nconnect.nicmar.ac.in/storage/profile/ProfilePhoto_P25707035_892731.jpg" TargetMode="External"/><Relationship Id="rId_hyperlink_1037" Type="http://schemas.openxmlformats.org/officeDocument/2006/relationships/hyperlink" Target="https://nconnect.nicmar.ac.in/storage/profile/ProfilePhoto_P25707036_319574.jpg" TargetMode="External"/><Relationship Id="rId_hyperlink_1038" Type="http://schemas.openxmlformats.org/officeDocument/2006/relationships/hyperlink" Target="https://nconnect.nicmar.ac.in/storage/profile/ProfilePhoto_P25707037_629387.jpg" TargetMode="External"/><Relationship Id="rId_hyperlink_1039" Type="http://schemas.openxmlformats.org/officeDocument/2006/relationships/hyperlink" Target="https://nconnect.nicmar.ac.in/storage/profile/ProfilePhoto_P25707038_634579.jpg" TargetMode="External"/><Relationship Id="rId_hyperlink_1040" Type="http://schemas.openxmlformats.org/officeDocument/2006/relationships/hyperlink" Target="https://nconnect.nicmar.ac.in/storage/profile/ProfilePhoto_P25707039_752349.jpg" TargetMode="External"/><Relationship Id="rId_hyperlink_1041" Type="http://schemas.openxmlformats.org/officeDocument/2006/relationships/hyperlink" Target="https://nconnect.nicmar.ac.in/storage/profile/ProfilePhoto_P25706001_497368.jpg" TargetMode="External"/><Relationship Id="rId_hyperlink_1042" Type="http://schemas.openxmlformats.org/officeDocument/2006/relationships/hyperlink" Target="https://nconnect.nicmar.ac.in/storage/profile/ProfilePhoto_P25706002_764851.jpg" TargetMode="External"/><Relationship Id="rId_hyperlink_1043" Type="http://schemas.openxmlformats.org/officeDocument/2006/relationships/hyperlink" Target="https://nconnect.nicmar.ac.in/storage/profile/ProfilePhoto_P25706003_729314.jpg" TargetMode="External"/><Relationship Id="rId_hyperlink_1044" Type="http://schemas.openxmlformats.org/officeDocument/2006/relationships/hyperlink" Target="https://nconnect.nicmar.ac.in/storage/profile/ProfilePhoto_P25706004_745293.jpg" TargetMode="External"/><Relationship Id="rId_hyperlink_1045" Type="http://schemas.openxmlformats.org/officeDocument/2006/relationships/hyperlink" Target="https://nconnect.nicmar.ac.in/storage/profile/ProfilePhoto_P25706005_369741.jpg" TargetMode="External"/><Relationship Id="rId_hyperlink_1046" Type="http://schemas.openxmlformats.org/officeDocument/2006/relationships/hyperlink" Target="https://nconnect.nicmar.ac.in/storage/profile/ProfilePhoto_P25706006_148672.jpg" TargetMode="External"/><Relationship Id="rId_hyperlink_1047" Type="http://schemas.openxmlformats.org/officeDocument/2006/relationships/hyperlink" Target="https://nconnect.nicmar.ac.in/storage/profile/ProfilePhoto_P25706007_459328.jpg" TargetMode="External"/><Relationship Id="rId_hyperlink_1048" Type="http://schemas.openxmlformats.org/officeDocument/2006/relationships/hyperlink" Target="https://nconnect.nicmar.ac.in/storage/profile/ProfilePhoto_P25706008_824173.jpg" TargetMode="External"/><Relationship Id="rId_hyperlink_1049" Type="http://schemas.openxmlformats.org/officeDocument/2006/relationships/hyperlink" Target="https://nconnect.nicmar.ac.in/storage/profile/ProfilePhoto_P25706009_795423.jpg" TargetMode="External"/><Relationship Id="rId_hyperlink_1050" Type="http://schemas.openxmlformats.org/officeDocument/2006/relationships/hyperlink" Target="https://nconnect.nicmar.ac.in/storage/profile/ProfilePhoto_P25706010_137249.jpg" TargetMode="External"/><Relationship Id="rId_hyperlink_1051" Type="http://schemas.openxmlformats.org/officeDocument/2006/relationships/hyperlink" Target="https://nconnect.nicmar.ac.in/storage/profile/ProfilePhoto_P25706011_687321.jpg" TargetMode="External"/><Relationship Id="rId_hyperlink_1052" Type="http://schemas.openxmlformats.org/officeDocument/2006/relationships/hyperlink" Target="https://nconnect.nicmar.ac.in/storage/profile/ProfilePhoto_P25706012_485726.jpg" TargetMode="External"/><Relationship Id="rId_hyperlink_1053" Type="http://schemas.openxmlformats.org/officeDocument/2006/relationships/hyperlink" Target="https://nconnect.nicmar.ac.in/storage/profile/ProfilePhoto_P25706013_549263.jpg" TargetMode="External"/><Relationship Id="rId_hyperlink_1054" Type="http://schemas.openxmlformats.org/officeDocument/2006/relationships/hyperlink" Target="https://nconnect.nicmar.ac.in/storage/profile/ProfilePhoto_P25706014_412957.jpg" TargetMode="External"/><Relationship Id="rId_hyperlink_1055" Type="http://schemas.openxmlformats.org/officeDocument/2006/relationships/hyperlink" Target="https://nconnect.nicmar.ac.in/storage/profile/ProfilePhoto_P25706015_614758.jpg" TargetMode="External"/><Relationship Id="rId_hyperlink_1056" Type="http://schemas.openxmlformats.org/officeDocument/2006/relationships/hyperlink" Target="https://nconnect.nicmar.ac.in/storage/profile/ProfilePhoto_P25706016_356284.jpg" TargetMode="External"/><Relationship Id="rId_hyperlink_1057" Type="http://schemas.openxmlformats.org/officeDocument/2006/relationships/hyperlink" Target="https://nconnect.nicmar.ac.in/storage/profile/ProfilePhoto_P25706017_423976.jpg" TargetMode="External"/><Relationship Id="rId_hyperlink_1058" Type="http://schemas.openxmlformats.org/officeDocument/2006/relationships/hyperlink" Target="https://nconnect.nicmar.ac.in/storage/profile/ProfilePhoto_P25706018_657438.jpg" TargetMode="External"/><Relationship Id="rId_hyperlink_1059" Type="http://schemas.openxmlformats.org/officeDocument/2006/relationships/hyperlink" Target="https://nconnect.nicmar.ac.in/storage/profile/ProfilePhoto_P25706019_479825.jpg" TargetMode="External"/><Relationship Id="rId_hyperlink_1060" Type="http://schemas.openxmlformats.org/officeDocument/2006/relationships/hyperlink" Target="https://nconnect.nicmar.ac.in/storage/profile/ProfilePhoto_P25706020_473619.jpg" TargetMode="External"/><Relationship Id="rId_hyperlink_1061" Type="http://schemas.openxmlformats.org/officeDocument/2006/relationships/hyperlink" Target="https://nconnect.nicmar.ac.in/storage/profile/ProfilePhoto_P25706021_165279.jpg" TargetMode="External"/><Relationship Id="rId_hyperlink_1062" Type="http://schemas.openxmlformats.org/officeDocument/2006/relationships/hyperlink" Target="https://nconnect.nicmar.ac.in/storage/profile/ProfilePhoto_P25706022_813754.jpg" TargetMode="External"/><Relationship Id="rId_hyperlink_1063" Type="http://schemas.openxmlformats.org/officeDocument/2006/relationships/hyperlink" Target="https://nconnect.nicmar.ac.in/storage/profile/ProfilePhoto_P25706023_352879.jpg" TargetMode="External"/><Relationship Id="rId_hyperlink_1064" Type="http://schemas.openxmlformats.org/officeDocument/2006/relationships/hyperlink" Target="https://nconnect.nicmar.ac.in/storage/profile/ProfilePhoto_P25706024_261895.jpg" TargetMode="External"/><Relationship Id="rId_hyperlink_1065" Type="http://schemas.openxmlformats.org/officeDocument/2006/relationships/hyperlink" Target="https://nconnect.nicmar.ac.in/storage/profile/ProfilePhoto_P25706025_139682.jpg" TargetMode="External"/><Relationship Id="rId_hyperlink_1066" Type="http://schemas.openxmlformats.org/officeDocument/2006/relationships/hyperlink" Target="https://nconnect.nicmar.ac.in/storage/profile/ProfilePhoto_P25706026_736918.jpg" TargetMode="External"/><Relationship Id="rId_hyperlink_1067" Type="http://schemas.openxmlformats.org/officeDocument/2006/relationships/hyperlink" Target="https://nconnect.nicmar.ac.in/storage/profile/ProfilePhoto_P25701001_763985.jpg" TargetMode="External"/><Relationship Id="rId_hyperlink_1068" Type="http://schemas.openxmlformats.org/officeDocument/2006/relationships/hyperlink" Target="https://nconnect.nicmar.ac.in/storage/profile/ProfilePhoto_P25701002_568417.jpg" TargetMode="External"/><Relationship Id="rId_hyperlink_1069" Type="http://schemas.openxmlformats.org/officeDocument/2006/relationships/hyperlink" Target="https://nconnect.nicmar.ac.in/storage/profile/ProfilePhoto_P25701003_852167.jpg" TargetMode="External"/><Relationship Id="rId_hyperlink_1070" Type="http://schemas.openxmlformats.org/officeDocument/2006/relationships/hyperlink" Target="https://nconnect.nicmar.ac.in/storage/profile/ProfilePhoto_P25701004_384192.jpg" TargetMode="External"/><Relationship Id="rId_hyperlink_1071" Type="http://schemas.openxmlformats.org/officeDocument/2006/relationships/hyperlink" Target="https://nconnect.nicmar.ac.in/storage/profile/ProfilePhoto_P25701005_496138.jpg" TargetMode="External"/><Relationship Id="rId_hyperlink_1072" Type="http://schemas.openxmlformats.org/officeDocument/2006/relationships/hyperlink" Target="https://nconnect.nicmar.ac.in/storage/profile/ProfilePhoto_P25701007_349827.jpg" TargetMode="External"/><Relationship Id="rId_hyperlink_1073" Type="http://schemas.openxmlformats.org/officeDocument/2006/relationships/hyperlink" Target="https://nconnect.nicmar.ac.in/storage/profile/ProfilePhoto_P25701008_873691.jpg" TargetMode="External"/><Relationship Id="rId_hyperlink_1074" Type="http://schemas.openxmlformats.org/officeDocument/2006/relationships/hyperlink" Target="https://nconnect.nicmar.ac.in/storage/profile/ProfilePhoto_P25701009_968471.jpg" TargetMode="External"/><Relationship Id="rId_hyperlink_1075" Type="http://schemas.openxmlformats.org/officeDocument/2006/relationships/hyperlink" Target="https://nconnect.nicmar.ac.in/storage/profile/ProfilePhoto_P25701010_479156.jpg" TargetMode="External"/><Relationship Id="rId_hyperlink_1076" Type="http://schemas.openxmlformats.org/officeDocument/2006/relationships/hyperlink" Target="https://nconnect.nicmar.ac.in/storage/profile/ProfilePhoto_P25701011_932476.jpg" TargetMode="External"/><Relationship Id="rId_hyperlink_1077" Type="http://schemas.openxmlformats.org/officeDocument/2006/relationships/hyperlink" Target="https://nconnect.nicmar.ac.in/storage/profile/ProfilePhoto_P25701013_148267.jpg" TargetMode="External"/><Relationship Id="rId_hyperlink_1078" Type="http://schemas.openxmlformats.org/officeDocument/2006/relationships/hyperlink" Target="https://nconnect.nicmar.ac.in/storage/profile/ProfilePhoto_P25701014_782496.jpg" TargetMode="External"/><Relationship Id="rId_hyperlink_1079" Type="http://schemas.openxmlformats.org/officeDocument/2006/relationships/hyperlink" Target="https://nconnect.nicmar.ac.in/storage/profile/ProfilePhoto_P25701015_578136.jpg" TargetMode="External"/><Relationship Id="rId_hyperlink_1080" Type="http://schemas.openxmlformats.org/officeDocument/2006/relationships/hyperlink" Target="https://nconnect.nicmar.ac.in/storage/profile/ProfilePhoto_P25701016_248953.jpg" TargetMode="External"/><Relationship Id="rId_hyperlink_1081" Type="http://schemas.openxmlformats.org/officeDocument/2006/relationships/hyperlink" Target="https://nconnect.nicmar.ac.in/storage/profile/ProfilePhoto_P25701017_283697.jpg" TargetMode="External"/><Relationship Id="rId_hyperlink_1082" Type="http://schemas.openxmlformats.org/officeDocument/2006/relationships/hyperlink" Target="https://nconnect.nicmar.ac.in/storage/profile/ProfilePhoto_P25701018_163478.jpg" TargetMode="External"/><Relationship Id="rId_hyperlink_1083" Type="http://schemas.openxmlformats.org/officeDocument/2006/relationships/hyperlink" Target="https://nconnect.nicmar.ac.in/storage/profile/ProfilePhoto_P25701020_926453.jpg" TargetMode="External"/><Relationship Id="rId_hyperlink_1084" Type="http://schemas.openxmlformats.org/officeDocument/2006/relationships/hyperlink" Target="https://nconnect.nicmar.ac.in/storage/profile/ProfilePhoto_P25701021_792318.jpg" TargetMode="External"/><Relationship Id="rId_hyperlink_1085" Type="http://schemas.openxmlformats.org/officeDocument/2006/relationships/hyperlink" Target="https://nconnect.nicmar.ac.in/storage/profile/ProfilePhoto_P25701022_635789.jpg" TargetMode="External"/><Relationship Id="rId_hyperlink_1086" Type="http://schemas.openxmlformats.org/officeDocument/2006/relationships/hyperlink" Target="https://nconnect.nicmar.ac.in/storage/profile/ProfilePhoto_P25701024_187362.jpg" TargetMode="External"/><Relationship Id="rId_hyperlink_1087" Type="http://schemas.openxmlformats.org/officeDocument/2006/relationships/hyperlink" Target="https://nconnect.nicmar.ac.in/storage/profile/ProfilePhoto_P25701025_745183.jpg" TargetMode="External"/><Relationship Id="rId_hyperlink_1088" Type="http://schemas.openxmlformats.org/officeDocument/2006/relationships/hyperlink" Target="https://nconnect.nicmar.ac.in/storage/profile/ProfilePhoto_P25701026_834126.jpg" TargetMode="External"/><Relationship Id="rId_hyperlink_1089" Type="http://schemas.openxmlformats.org/officeDocument/2006/relationships/hyperlink" Target="https://nconnect.nicmar.ac.in/storage/profile/ProfilePhoto_P25701027_634982.jpg" TargetMode="External"/><Relationship Id="rId_hyperlink_1090" Type="http://schemas.openxmlformats.org/officeDocument/2006/relationships/hyperlink" Target="https://nconnect.nicmar.ac.in/storage/profile/ProfilePhoto_P25701028_358741.jpg" TargetMode="External"/><Relationship Id="rId_hyperlink_1091" Type="http://schemas.openxmlformats.org/officeDocument/2006/relationships/hyperlink" Target="https://nconnect.nicmar.ac.in/storage/profile/ProfilePhoto_P25701029_843927.jpg" TargetMode="External"/><Relationship Id="rId_hyperlink_1092" Type="http://schemas.openxmlformats.org/officeDocument/2006/relationships/hyperlink" Target="https://nconnect.nicmar.ac.in/storage/profile/ProfilePhoto_P25701030_785132.jpg" TargetMode="External"/><Relationship Id="rId_hyperlink_1093" Type="http://schemas.openxmlformats.org/officeDocument/2006/relationships/hyperlink" Target="https://nconnect.nicmar.ac.in/storage/profile/ProfilePhoto_P25701031_957842.jpg" TargetMode="External"/><Relationship Id="rId_hyperlink_1094" Type="http://schemas.openxmlformats.org/officeDocument/2006/relationships/hyperlink" Target="https://nconnect.nicmar.ac.in/storage/profile/ProfilePhoto_P25701032_539862.jpg" TargetMode="External"/><Relationship Id="rId_hyperlink_1095" Type="http://schemas.openxmlformats.org/officeDocument/2006/relationships/hyperlink" Target="https://nconnect.nicmar.ac.in/storage/profile/ProfilePhoto_P25701033_941258.jpg" TargetMode="External"/><Relationship Id="rId_hyperlink_1096" Type="http://schemas.openxmlformats.org/officeDocument/2006/relationships/hyperlink" Target="https://nconnect.nicmar.ac.in/storage/profile/ProfilePhoto_P25701034_463527.jpg" TargetMode="External"/><Relationship Id="rId_hyperlink_1097" Type="http://schemas.openxmlformats.org/officeDocument/2006/relationships/hyperlink" Target="https://nconnect.nicmar.ac.in/storage/profile/ProfilePhoto_P25701035_827956.jpg" TargetMode="External"/><Relationship Id="rId_hyperlink_1098" Type="http://schemas.openxmlformats.org/officeDocument/2006/relationships/hyperlink" Target="https://nconnect.nicmar.ac.in/storage/profile/ProfilePhoto_P25701036_451738.jpg" TargetMode="External"/><Relationship Id="rId_hyperlink_1099" Type="http://schemas.openxmlformats.org/officeDocument/2006/relationships/hyperlink" Target="https://nconnect.nicmar.ac.in/storage/profile/ProfilePhoto_P25701037_823671.jpg" TargetMode="External"/><Relationship Id="rId_hyperlink_1100" Type="http://schemas.openxmlformats.org/officeDocument/2006/relationships/hyperlink" Target="https://nconnect.nicmar.ac.in/storage/profile/ProfilePhoto_P25701038_647513.jpg" TargetMode="External"/><Relationship Id="rId_hyperlink_1101" Type="http://schemas.openxmlformats.org/officeDocument/2006/relationships/hyperlink" Target="https://nconnect.nicmar.ac.in/storage/profile/ProfilePhoto_P25701040_275319.jpg" TargetMode="External"/><Relationship Id="rId_hyperlink_1102" Type="http://schemas.openxmlformats.org/officeDocument/2006/relationships/hyperlink" Target="https://nconnect.nicmar.ac.in/storage/profile/ProfilePhoto_P25701041_738129.jpg" TargetMode="External"/><Relationship Id="rId_hyperlink_1103" Type="http://schemas.openxmlformats.org/officeDocument/2006/relationships/hyperlink" Target="https://nconnect.nicmar.ac.in/storage/profile/ProfilePhoto_P25701042_567892.jpg" TargetMode="External"/><Relationship Id="rId_hyperlink_1104" Type="http://schemas.openxmlformats.org/officeDocument/2006/relationships/hyperlink" Target="https://nconnect.nicmar.ac.in/storage/profile/ProfilePhoto_P25701043_584167.jpg" TargetMode="External"/><Relationship Id="rId_hyperlink_1105" Type="http://schemas.openxmlformats.org/officeDocument/2006/relationships/hyperlink" Target="https://nconnect.nicmar.ac.in/storage/profile/ProfilePhoto_P25701044_378594.jpg" TargetMode="External"/><Relationship Id="rId_hyperlink_1106" Type="http://schemas.openxmlformats.org/officeDocument/2006/relationships/hyperlink" Target="https://nconnect.nicmar.ac.in/storage/profile/ProfilePhoto_P25701045_798341.jpg" TargetMode="External"/><Relationship Id="rId_hyperlink_1107" Type="http://schemas.openxmlformats.org/officeDocument/2006/relationships/hyperlink" Target="https://nconnect.nicmar.ac.in/storage/profile/ProfilePhoto_P25701047_179582.jpg" TargetMode="External"/><Relationship Id="rId_hyperlink_1108" Type="http://schemas.openxmlformats.org/officeDocument/2006/relationships/hyperlink" Target="https://nconnect.nicmar.ac.in/storage/profile/ProfilePhoto_P25701048_947136.jpg" TargetMode="External"/><Relationship Id="rId_hyperlink_1109" Type="http://schemas.openxmlformats.org/officeDocument/2006/relationships/hyperlink" Target="https://nconnect.nicmar.ac.in/storage/profile/ProfilePhoto_P25701049_942516.jpg" TargetMode="External"/><Relationship Id="rId_hyperlink_1110" Type="http://schemas.openxmlformats.org/officeDocument/2006/relationships/hyperlink" Target="https://nconnect.nicmar.ac.in/storage/profile/ProfilePhoto_P25701050_146523.jpg" TargetMode="External"/><Relationship Id="rId_hyperlink_1111" Type="http://schemas.openxmlformats.org/officeDocument/2006/relationships/hyperlink" Target="https://nconnect.nicmar.ac.in/storage/profile/ProfilePhoto_P25701051_864915.jpg" TargetMode="External"/><Relationship Id="rId_hyperlink_1112" Type="http://schemas.openxmlformats.org/officeDocument/2006/relationships/hyperlink" Target="https://nconnect.nicmar.ac.in/storage/profile/ProfilePhoto_P25701052_917684.jpg" TargetMode="External"/><Relationship Id="rId_hyperlink_1113" Type="http://schemas.openxmlformats.org/officeDocument/2006/relationships/hyperlink" Target="https://nconnect.nicmar.ac.in/storage/profile/ProfilePhoto_P25701053_372945.jpg" TargetMode="External"/><Relationship Id="rId_hyperlink_1114" Type="http://schemas.openxmlformats.org/officeDocument/2006/relationships/hyperlink" Target="https://nconnect.nicmar.ac.in/storage/profile/ProfilePhoto_P25701054_928375.jpg" TargetMode="External"/><Relationship Id="rId_hyperlink_1115" Type="http://schemas.openxmlformats.org/officeDocument/2006/relationships/hyperlink" Target="https://nconnect.nicmar.ac.in/storage/profile/ProfilePhoto_P25701055_348719.jpg" TargetMode="External"/><Relationship Id="rId_hyperlink_1116" Type="http://schemas.openxmlformats.org/officeDocument/2006/relationships/hyperlink" Target="https://nconnect.nicmar.ac.in/storage/profile/ProfilePhoto_P25701056_321589.jpg" TargetMode="External"/><Relationship Id="rId_hyperlink_1117" Type="http://schemas.openxmlformats.org/officeDocument/2006/relationships/hyperlink" Target="https://nconnect.nicmar.ac.in/storage/profile/ProfilePhoto_P25701057_742385.jpg" TargetMode="External"/><Relationship Id="rId_hyperlink_1118" Type="http://schemas.openxmlformats.org/officeDocument/2006/relationships/hyperlink" Target="https://nconnect.nicmar.ac.in/storage/profile/ProfilePhoto_P25701058_382415.jpg" TargetMode="External"/><Relationship Id="rId_hyperlink_1119" Type="http://schemas.openxmlformats.org/officeDocument/2006/relationships/hyperlink" Target="https://nconnect.nicmar.ac.in/storage/profile/ProfilePhoto_P25701059_618749.jpg" TargetMode="External"/><Relationship Id="rId_hyperlink_1120" Type="http://schemas.openxmlformats.org/officeDocument/2006/relationships/hyperlink" Target="https://nconnect.nicmar.ac.in/storage/profile/ProfilePhoto_P25701060_532694.jpg" TargetMode="External"/><Relationship Id="rId_hyperlink_1121" Type="http://schemas.openxmlformats.org/officeDocument/2006/relationships/hyperlink" Target="https://nconnect.nicmar.ac.in/storage/profile/ProfilePhoto_P25701061_738146.jpg" TargetMode="External"/><Relationship Id="rId_hyperlink_1122" Type="http://schemas.openxmlformats.org/officeDocument/2006/relationships/hyperlink" Target="https://nconnect.nicmar.ac.in/storage/profile/ProfilePhoto_P25701062_418765.jpg" TargetMode="External"/><Relationship Id="rId_hyperlink_1123" Type="http://schemas.openxmlformats.org/officeDocument/2006/relationships/hyperlink" Target="https://nconnect.nicmar.ac.in/storage/profile/ProfilePhoto_P25701063_213945.jpg" TargetMode="External"/><Relationship Id="rId_hyperlink_1124" Type="http://schemas.openxmlformats.org/officeDocument/2006/relationships/hyperlink" Target="https://nconnect.nicmar.ac.in/storage/profile/ProfilePhoto_P25701064_689127.jpg" TargetMode="External"/><Relationship Id="rId_hyperlink_1125" Type="http://schemas.openxmlformats.org/officeDocument/2006/relationships/hyperlink" Target="https://nconnect.nicmar.ac.in/storage/profile/ProfilePhoto_P25701065_158739.jpg" TargetMode="External"/><Relationship Id="rId_hyperlink_1126" Type="http://schemas.openxmlformats.org/officeDocument/2006/relationships/hyperlink" Target="https://nconnect.nicmar.ac.in/storage/profile/ProfilePhoto_P25701066_926834.jpg" TargetMode="External"/><Relationship Id="rId_hyperlink_1127" Type="http://schemas.openxmlformats.org/officeDocument/2006/relationships/hyperlink" Target="https://nconnect.nicmar.ac.in/storage/profile/ProfilePhoto_P25701067_261389.jpg" TargetMode="External"/><Relationship Id="rId_hyperlink_1128" Type="http://schemas.openxmlformats.org/officeDocument/2006/relationships/hyperlink" Target="https://nconnect.nicmar.ac.in/storage/profile/ProfilePhoto_P25701068_489276.jpg" TargetMode="External"/><Relationship Id="rId_hyperlink_1129" Type="http://schemas.openxmlformats.org/officeDocument/2006/relationships/hyperlink" Target="https://nconnect.nicmar.ac.in/storage/profile/ProfilePhoto_P25701070_249536.jpg" TargetMode="External"/><Relationship Id="rId_hyperlink_1130" Type="http://schemas.openxmlformats.org/officeDocument/2006/relationships/hyperlink" Target="https://nconnect.nicmar.ac.in/storage/profile/ProfilePhoto_P25701071_961527.jpg" TargetMode="External"/><Relationship Id="rId_hyperlink_1131" Type="http://schemas.openxmlformats.org/officeDocument/2006/relationships/hyperlink" Target="https://nconnect.nicmar.ac.in/storage/profile/ProfilePhoto_P25701073_431986.jpg" TargetMode="External"/><Relationship Id="rId_hyperlink_1132" Type="http://schemas.openxmlformats.org/officeDocument/2006/relationships/hyperlink" Target="https://nconnect.nicmar.ac.in/storage/profile/ProfilePhoto_P25701074_918327.jpg" TargetMode="External"/><Relationship Id="rId_hyperlink_1133" Type="http://schemas.openxmlformats.org/officeDocument/2006/relationships/hyperlink" Target="https://nconnect.nicmar.ac.in/storage/profile/ProfilePhoto_P25701075_871349.jpg" TargetMode="External"/><Relationship Id="rId_hyperlink_1134" Type="http://schemas.openxmlformats.org/officeDocument/2006/relationships/hyperlink" Target="https://nconnect.nicmar.ac.in/storage/profile/ProfilePhoto_P25701076_837462.jpg" TargetMode="External"/><Relationship Id="rId_hyperlink_1135" Type="http://schemas.openxmlformats.org/officeDocument/2006/relationships/hyperlink" Target="https://nconnect.nicmar.ac.in/storage/profile/ProfilePhoto_P25701077_254678.jpg" TargetMode="External"/><Relationship Id="rId_hyperlink_1136" Type="http://schemas.openxmlformats.org/officeDocument/2006/relationships/hyperlink" Target="https://nconnect.nicmar.ac.in/storage/profile/ProfilePhoto_P25701078_946752.jpg" TargetMode="External"/><Relationship Id="rId_hyperlink_1137" Type="http://schemas.openxmlformats.org/officeDocument/2006/relationships/hyperlink" Target="https://nconnect.nicmar.ac.in/storage/profile/ProfilePhoto_P25701080_291384.jpg" TargetMode="External"/><Relationship Id="rId_hyperlink_1138" Type="http://schemas.openxmlformats.org/officeDocument/2006/relationships/hyperlink" Target="https://nconnect.nicmar.ac.in/storage/profile/ProfilePhoto_P25701082_517926.jpg" TargetMode="External"/><Relationship Id="rId_hyperlink_1139" Type="http://schemas.openxmlformats.org/officeDocument/2006/relationships/hyperlink" Target="https://nconnect.nicmar.ac.in/storage/profile/ProfilePhoto_P25701083_263178.jpg" TargetMode="External"/><Relationship Id="rId_hyperlink_1140" Type="http://schemas.openxmlformats.org/officeDocument/2006/relationships/hyperlink" Target="https://nconnect.nicmar.ac.in/storage/profile/ProfilePhoto_P25701084_612374.jpg" TargetMode="External"/><Relationship Id="rId_hyperlink_1141" Type="http://schemas.openxmlformats.org/officeDocument/2006/relationships/hyperlink" Target="https://nconnect.nicmar.ac.in/storage/profile/ProfilePhoto_P25701085_372584.jpg" TargetMode="External"/><Relationship Id="rId_hyperlink_1142" Type="http://schemas.openxmlformats.org/officeDocument/2006/relationships/hyperlink" Target="https://nconnect.nicmar.ac.in/storage/profile/ProfilePhoto_P25701087_365981.jpg" TargetMode="External"/><Relationship Id="rId_hyperlink_1143" Type="http://schemas.openxmlformats.org/officeDocument/2006/relationships/hyperlink" Target="https://nconnect.nicmar.ac.in/storage/profile/ProfilePhoto_P25701088_378519.jpg" TargetMode="External"/><Relationship Id="rId_hyperlink_1144" Type="http://schemas.openxmlformats.org/officeDocument/2006/relationships/hyperlink" Target="https://nconnect.nicmar.ac.in/storage/profile/ProfilePhoto_P25701089_251937.jpg" TargetMode="External"/><Relationship Id="rId_hyperlink_1145" Type="http://schemas.openxmlformats.org/officeDocument/2006/relationships/hyperlink" Target="https://nconnect.nicmar.ac.in/storage/profile/ProfilePhoto_P25701090_859126.jpg" TargetMode="External"/><Relationship Id="rId_hyperlink_1146" Type="http://schemas.openxmlformats.org/officeDocument/2006/relationships/hyperlink" Target="https://nconnect.nicmar.ac.in/storage/profile/ProfilePhoto_P25701091_628517.jpg" TargetMode="External"/><Relationship Id="rId_hyperlink_1147" Type="http://schemas.openxmlformats.org/officeDocument/2006/relationships/hyperlink" Target="https://nconnect.nicmar.ac.in/storage/profile/ProfilePhoto_P25701092_936487.jpg" TargetMode="External"/><Relationship Id="rId_hyperlink_1148" Type="http://schemas.openxmlformats.org/officeDocument/2006/relationships/hyperlink" Target="https://nconnect.nicmar.ac.in/storage/profile/ProfilePhoto_P25701093_486973.jpg" TargetMode="External"/><Relationship Id="rId_hyperlink_1149" Type="http://schemas.openxmlformats.org/officeDocument/2006/relationships/hyperlink" Target="https://nconnect.nicmar.ac.in/storage/profile/ProfilePhoto_P25701094_546218.jpg" TargetMode="External"/><Relationship Id="rId_hyperlink_1150" Type="http://schemas.openxmlformats.org/officeDocument/2006/relationships/hyperlink" Target="https://nconnect.nicmar.ac.in/storage/profile/ProfilePhoto_P25701095_712486.jpg" TargetMode="External"/><Relationship Id="rId_hyperlink_1151" Type="http://schemas.openxmlformats.org/officeDocument/2006/relationships/hyperlink" Target="https://nconnect.nicmar.ac.in/storage/profile/ProfilePhoto_P25701097_691845.jpg" TargetMode="External"/><Relationship Id="rId_hyperlink_1152" Type="http://schemas.openxmlformats.org/officeDocument/2006/relationships/hyperlink" Target="https://nconnect.nicmar.ac.in/storage/profile/ProfilePhoto_P25701098_726394.jpg" TargetMode="External"/><Relationship Id="rId_hyperlink_1153" Type="http://schemas.openxmlformats.org/officeDocument/2006/relationships/hyperlink" Target="https://nconnect.nicmar.ac.in/storage/profile/ProfilePhoto_P25701099_675183.jpg" TargetMode="External"/><Relationship Id="rId_hyperlink_1154" Type="http://schemas.openxmlformats.org/officeDocument/2006/relationships/hyperlink" Target="https://nconnect.nicmar.ac.in/storage/profile/ProfilePhoto_P25701100_954627.jpg" TargetMode="External"/><Relationship Id="rId_hyperlink_1155" Type="http://schemas.openxmlformats.org/officeDocument/2006/relationships/hyperlink" Target="https://nconnect.nicmar.ac.in/storage/profile/ProfilePhoto_P25701101_637518.jpg" TargetMode="External"/><Relationship Id="rId_hyperlink_1156" Type="http://schemas.openxmlformats.org/officeDocument/2006/relationships/hyperlink" Target="https://nconnect.nicmar.ac.in/storage/profile/ProfilePhoto_P25701102_496235.jpg" TargetMode="External"/><Relationship Id="rId_hyperlink_1157" Type="http://schemas.openxmlformats.org/officeDocument/2006/relationships/hyperlink" Target="https://nconnect.nicmar.ac.in/storage/profile/ProfilePhoto_P25701106_756483.jpg" TargetMode="External"/><Relationship Id="rId_hyperlink_1158" Type="http://schemas.openxmlformats.org/officeDocument/2006/relationships/hyperlink" Target="https://nconnect.nicmar.ac.in/storage/profile/ProfilePhoto_P25701107_574683.jpg" TargetMode="External"/><Relationship Id="rId_hyperlink_1159" Type="http://schemas.openxmlformats.org/officeDocument/2006/relationships/hyperlink" Target="https://nconnect.nicmar.ac.in/storage/profile/ProfilePhoto_P25701108_691235.jpg" TargetMode="External"/><Relationship Id="rId_hyperlink_1160" Type="http://schemas.openxmlformats.org/officeDocument/2006/relationships/hyperlink" Target="https://nconnect.nicmar.ac.in/storage/profile/ProfilePhoto_P25701109_872635.jpg" TargetMode="External"/><Relationship Id="rId_hyperlink_1161" Type="http://schemas.openxmlformats.org/officeDocument/2006/relationships/hyperlink" Target="https://nconnect.nicmar.ac.in/storage/profile/ProfilePhoto_P25701110_927538.jpg" TargetMode="External"/><Relationship Id="rId_hyperlink_1162" Type="http://schemas.openxmlformats.org/officeDocument/2006/relationships/hyperlink" Target="https://nconnect.nicmar.ac.in/storage/profile/ProfilePhoto_P25701111_263478.jpg" TargetMode="External"/><Relationship Id="rId_hyperlink_1163" Type="http://schemas.openxmlformats.org/officeDocument/2006/relationships/hyperlink" Target="https://nconnect.nicmar.ac.in/storage/profile/ProfilePhoto_P25701112_923457.jpg" TargetMode="External"/><Relationship Id="rId_hyperlink_1164" Type="http://schemas.openxmlformats.org/officeDocument/2006/relationships/hyperlink" Target="https://nconnect.nicmar.ac.in/storage/profile/ProfilePhoto_P25701113_867329.jpg" TargetMode="External"/><Relationship Id="rId_hyperlink_1165" Type="http://schemas.openxmlformats.org/officeDocument/2006/relationships/hyperlink" Target="https://nconnect.nicmar.ac.in/storage/profile/ProfilePhoto_P25701114_583712.jpg" TargetMode="External"/><Relationship Id="rId_hyperlink_1166" Type="http://schemas.openxmlformats.org/officeDocument/2006/relationships/hyperlink" Target="https://nconnect.nicmar.ac.in/storage/profile/ProfilePhoto_P25701115_284369.jpg" TargetMode="External"/><Relationship Id="rId_hyperlink_1167" Type="http://schemas.openxmlformats.org/officeDocument/2006/relationships/hyperlink" Target="https://nconnect.nicmar.ac.in/storage/profile/ProfilePhoto_P25701116_873219.jpg" TargetMode="External"/><Relationship Id="rId_hyperlink_1168" Type="http://schemas.openxmlformats.org/officeDocument/2006/relationships/hyperlink" Target="https://nconnect.nicmar.ac.in/storage/profile/ProfilePhoto_P25701117_619824.jpg" TargetMode="External"/><Relationship Id="rId_hyperlink_1169" Type="http://schemas.openxmlformats.org/officeDocument/2006/relationships/hyperlink" Target="https://nconnect.nicmar.ac.in/storage/profile/ProfilePhoto_P25701118_392456.jpg" TargetMode="External"/><Relationship Id="rId_hyperlink_1170" Type="http://schemas.openxmlformats.org/officeDocument/2006/relationships/hyperlink" Target="https://nconnect.nicmar.ac.in/storage/profile/ProfilePhoto_P25701119_274135.jpg" TargetMode="External"/><Relationship Id="rId_hyperlink_1171" Type="http://schemas.openxmlformats.org/officeDocument/2006/relationships/hyperlink" Target="https://nconnect.nicmar.ac.in/storage/profile/ProfilePhoto_P25701120_461395.jpg" TargetMode="External"/><Relationship Id="rId_hyperlink_1172" Type="http://schemas.openxmlformats.org/officeDocument/2006/relationships/hyperlink" Target="https://nconnect.nicmar.ac.in/storage/profile/ProfilePhoto_P25701121_753814.jpg" TargetMode="External"/><Relationship Id="rId_hyperlink_1173" Type="http://schemas.openxmlformats.org/officeDocument/2006/relationships/hyperlink" Target="https://nconnect.nicmar.ac.in/storage/profile/ProfilePhoto_P25701122_936541.jpg" TargetMode="External"/><Relationship Id="rId_hyperlink_1174" Type="http://schemas.openxmlformats.org/officeDocument/2006/relationships/hyperlink" Target="https://nconnect.nicmar.ac.in/storage/profile/ProfilePhoto_P25701123_957821.jpg" TargetMode="External"/><Relationship Id="rId_hyperlink_1175" Type="http://schemas.openxmlformats.org/officeDocument/2006/relationships/hyperlink" Target="https://nconnect.nicmar.ac.in/storage/profile/ProfilePhoto_P25701124_429365.jpg" TargetMode="External"/><Relationship Id="rId_hyperlink_1176" Type="http://schemas.openxmlformats.org/officeDocument/2006/relationships/hyperlink" Target="https://nconnect.nicmar.ac.in/storage/profile/ProfilePhoto_P25701125_465728.jpg" TargetMode="External"/><Relationship Id="rId_hyperlink_1177" Type="http://schemas.openxmlformats.org/officeDocument/2006/relationships/hyperlink" Target="https://nconnect.nicmar.ac.in/storage/profile/ProfilePhoto_P25701126_826341.jpg" TargetMode="External"/><Relationship Id="rId_hyperlink_1178" Type="http://schemas.openxmlformats.org/officeDocument/2006/relationships/hyperlink" Target="https://nconnect.nicmar.ac.in/storage/profile/ProfilePhoto_P25701127_942376.jpg" TargetMode="External"/><Relationship Id="rId_hyperlink_1179" Type="http://schemas.openxmlformats.org/officeDocument/2006/relationships/hyperlink" Target="https://nconnect.nicmar.ac.in/storage/profile/ProfilePhoto_P25701128_269574.jpg" TargetMode="External"/><Relationship Id="rId_hyperlink_1180" Type="http://schemas.openxmlformats.org/officeDocument/2006/relationships/hyperlink" Target="https://nconnect.nicmar.ac.in/storage/profile/ProfilePhoto_P25701129_129463.jpg" TargetMode="External"/><Relationship Id="rId_hyperlink_1181" Type="http://schemas.openxmlformats.org/officeDocument/2006/relationships/hyperlink" Target="https://nconnect.nicmar.ac.in/storage/profile/ProfilePhoto_P25701130_516472.jpg" TargetMode="External"/><Relationship Id="rId_hyperlink_1182" Type="http://schemas.openxmlformats.org/officeDocument/2006/relationships/hyperlink" Target="https://nconnect.nicmar.ac.in/storage/profile/ProfilePhoto_P25701131_359184.jpg" TargetMode="External"/><Relationship Id="rId_hyperlink_1183" Type="http://schemas.openxmlformats.org/officeDocument/2006/relationships/hyperlink" Target="https://nconnect.nicmar.ac.in/storage/profile/ProfilePhoto_P25701132_857361.jpg" TargetMode="External"/><Relationship Id="rId_hyperlink_1184" Type="http://schemas.openxmlformats.org/officeDocument/2006/relationships/hyperlink" Target="https://nconnect.nicmar.ac.in/storage/profile/ProfilePhoto_P25701133_312596.jpg" TargetMode="External"/><Relationship Id="rId_hyperlink_1185" Type="http://schemas.openxmlformats.org/officeDocument/2006/relationships/hyperlink" Target="https://nconnect.nicmar.ac.in/storage/profile/ProfilePhoto_P25701134_183274.jpg" TargetMode="External"/><Relationship Id="rId_hyperlink_1186" Type="http://schemas.openxmlformats.org/officeDocument/2006/relationships/hyperlink" Target="https://nconnect.nicmar.ac.in/storage/profile/ProfilePhoto_P25701135_748916.jpg" TargetMode="External"/><Relationship Id="rId_hyperlink_1187" Type="http://schemas.openxmlformats.org/officeDocument/2006/relationships/hyperlink" Target="https://nconnect.nicmar.ac.in/storage/profile/ProfilePhoto_P25701136_172468.jpg" TargetMode="External"/><Relationship Id="rId_hyperlink_1188" Type="http://schemas.openxmlformats.org/officeDocument/2006/relationships/hyperlink" Target="https://nconnect.nicmar.ac.in/storage/profile/ProfilePhoto_P25701137_312786.jpg" TargetMode="External"/><Relationship Id="rId_hyperlink_1189" Type="http://schemas.openxmlformats.org/officeDocument/2006/relationships/hyperlink" Target="https://nconnect.nicmar.ac.in/storage/profile/ProfilePhoto_P25701138_614237.jpg" TargetMode="External"/><Relationship Id="rId_hyperlink_1190" Type="http://schemas.openxmlformats.org/officeDocument/2006/relationships/hyperlink" Target="https://nconnect.nicmar.ac.in/storage/profile/ProfilePhoto_P25701139_685329.jpg" TargetMode="External"/><Relationship Id="rId_hyperlink_1191" Type="http://schemas.openxmlformats.org/officeDocument/2006/relationships/hyperlink" Target="https://nconnect.nicmar.ac.in/storage/profile/ProfilePhoto_P25701140_987256.jpg" TargetMode="External"/><Relationship Id="rId_hyperlink_1192" Type="http://schemas.openxmlformats.org/officeDocument/2006/relationships/hyperlink" Target="https://nconnect.nicmar.ac.in/storage/profile/ProfilePhoto_P25701141_658723.jpg" TargetMode="External"/><Relationship Id="rId_hyperlink_1193" Type="http://schemas.openxmlformats.org/officeDocument/2006/relationships/hyperlink" Target="https://nconnect.nicmar.ac.in/storage/profile/ProfilePhoto_P25701142_867349.jpg" TargetMode="External"/><Relationship Id="rId_hyperlink_1194" Type="http://schemas.openxmlformats.org/officeDocument/2006/relationships/hyperlink" Target="https://nconnect.nicmar.ac.in/storage/profile/ProfilePhoto_P25701143_256148.jpg" TargetMode="External"/><Relationship Id="rId_hyperlink_1195" Type="http://schemas.openxmlformats.org/officeDocument/2006/relationships/hyperlink" Target="https://nconnect.nicmar.ac.in/storage/profile/ProfilePhoto_P25701144_961284.jpg" TargetMode="External"/><Relationship Id="rId_hyperlink_1196" Type="http://schemas.openxmlformats.org/officeDocument/2006/relationships/hyperlink" Target="https://nconnect.nicmar.ac.in/storage/profile/ProfilePhoto_P25701145_172436.jpg" TargetMode="External"/><Relationship Id="rId_hyperlink_1197" Type="http://schemas.openxmlformats.org/officeDocument/2006/relationships/hyperlink" Target="https://nconnect.nicmar.ac.in/storage/profile/ProfilePhoto_P25701147_438629.jpg" TargetMode="External"/><Relationship Id="rId_hyperlink_1198" Type="http://schemas.openxmlformats.org/officeDocument/2006/relationships/hyperlink" Target="https://nconnect.nicmar.ac.in/storage/profile/ProfilePhoto_P25701148_372981.jpg" TargetMode="External"/><Relationship Id="rId_hyperlink_1199" Type="http://schemas.openxmlformats.org/officeDocument/2006/relationships/hyperlink" Target="https://nconnect.nicmar.ac.in/storage/profile/ProfilePhoto_P25701149_837291.jpg" TargetMode="External"/><Relationship Id="rId_hyperlink_1200" Type="http://schemas.openxmlformats.org/officeDocument/2006/relationships/hyperlink" Target="https://nconnect.nicmar.ac.in/storage/profile/ProfilePhoto_P25701151_132857.jpg" TargetMode="External"/><Relationship Id="rId_hyperlink_1201" Type="http://schemas.openxmlformats.org/officeDocument/2006/relationships/hyperlink" Target="https://nconnect.nicmar.ac.in/storage/profile/ProfilePhoto_P25701152_148367.jpg" TargetMode="External"/><Relationship Id="rId_hyperlink_1202" Type="http://schemas.openxmlformats.org/officeDocument/2006/relationships/hyperlink" Target="https://nconnect.nicmar.ac.in/storage/profile/ProfilePhoto_P25701103_576182.jpg" TargetMode="External"/><Relationship Id="rId_hyperlink_1203" Type="http://schemas.openxmlformats.org/officeDocument/2006/relationships/hyperlink" Target="https://nconnect.nicmar.ac.in/storage/profile/ProfilePhoto_P25701104_261935.jpg" TargetMode="External"/><Relationship Id="rId_hyperlink_1204" Type="http://schemas.openxmlformats.org/officeDocument/2006/relationships/hyperlink" Target="https://nconnect.nicmar.ac.in/storage/profile/ProfilePhoto_P25704001_327986.jpg" TargetMode="External"/><Relationship Id="rId_hyperlink_1205" Type="http://schemas.openxmlformats.org/officeDocument/2006/relationships/hyperlink" Target="https://nconnect.nicmar.ac.in/storage/profile/ProfilePhoto_P25704004_981675.jpg" TargetMode="External"/><Relationship Id="rId_hyperlink_1206" Type="http://schemas.openxmlformats.org/officeDocument/2006/relationships/hyperlink" Target="https://nconnect.nicmar.ac.in/storage/profile/ProfilePhoto_P25704005_592674.jpg" TargetMode="External"/><Relationship Id="rId_hyperlink_1207" Type="http://schemas.openxmlformats.org/officeDocument/2006/relationships/hyperlink" Target="https://nconnect.nicmar.ac.in/storage/profile/ProfilePhoto_P25704006_537618.jpg" TargetMode="External"/><Relationship Id="rId_hyperlink_1208" Type="http://schemas.openxmlformats.org/officeDocument/2006/relationships/hyperlink" Target="https://nconnect.nicmar.ac.in/storage/profile/ProfilePhoto_P25704007_382496.jpg" TargetMode="External"/><Relationship Id="rId_hyperlink_1209" Type="http://schemas.openxmlformats.org/officeDocument/2006/relationships/hyperlink" Target="https://nconnect.nicmar.ac.in/storage/profile/ProfilePhoto_P25704008_732964.jpg" TargetMode="External"/><Relationship Id="rId_hyperlink_1210" Type="http://schemas.openxmlformats.org/officeDocument/2006/relationships/hyperlink" Target="https://nconnect.nicmar.ac.in/storage/profile/ProfilePhoto_P25704010_926485.jpg" TargetMode="External"/><Relationship Id="rId_hyperlink_1211" Type="http://schemas.openxmlformats.org/officeDocument/2006/relationships/hyperlink" Target="https://nconnect.nicmar.ac.in/storage/profile/ProfilePhoto_P25704011_741839.jpg" TargetMode="External"/><Relationship Id="rId_hyperlink_1212" Type="http://schemas.openxmlformats.org/officeDocument/2006/relationships/hyperlink" Target="https://nconnect.nicmar.ac.in/storage/profile/ProfilePhoto_P25704012_517239.jpg" TargetMode="External"/><Relationship Id="rId_hyperlink_1213" Type="http://schemas.openxmlformats.org/officeDocument/2006/relationships/hyperlink" Target="https://nconnect.nicmar.ac.in/storage/profile/ProfilePhoto_P25704014_271968.jpg" TargetMode="External"/><Relationship Id="rId_hyperlink_1214" Type="http://schemas.openxmlformats.org/officeDocument/2006/relationships/hyperlink" Target="https://nconnect.nicmar.ac.in/storage/profile/ProfilePhoto_P25704015_271856.jpg" TargetMode="External"/><Relationship Id="rId_hyperlink_1215" Type="http://schemas.openxmlformats.org/officeDocument/2006/relationships/hyperlink" Target="https://nconnect.nicmar.ac.in/storage/profile/ProfilePhoto_P25704016_615842.jpg" TargetMode="External"/><Relationship Id="rId_hyperlink_1216" Type="http://schemas.openxmlformats.org/officeDocument/2006/relationships/hyperlink" Target="https://nconnect.nicmar.ac.in/storage/profile/ProfilePhoto_P25704017_891326.jpg" TargetMode="External"/><Relationship Id="rId_hyperlink_1217" Type="http://schemas.openxmlformats.org/officeDocument/2006/relationships/hyperlink" Target="https://nconnect.nicmar.ac.in/storage/profile/ProfilePhoto_P25704018_982543.jpg" TargetMode="External"/><Relationship Id="rId_hyperlink_1218" Type="http://schemas.openxmlformats.org/officeDocument/2006/relationships/hyperlink" Target="https://nconnect.nicmar.ac.in/storage/profile/ProfilePhoto_P25704019_593674.jpg" TargetMode="External"/><Relationship Id="rId_hyperlink_1219" Type="http://schemas.openxmlformats.org/officeDocument/2006/relationships/hyperlink" Target="https://nconnect.nicmar.ac.in/storage/profile/ProfilePhoto_P25704020_278361.jpg" TargetMode="External"/><Relationship Id="rId_hyperlink_1220" Type="http://schemas.openxmlformats.org/officeDocument/2006/relationships/hyperlink" Target="https://nconnect.nicmar.ac.in/storage/profile/ProfilePhoto_P25704021_426987.jpg" TargetMode="External"/><Relationship Id="rId_hyperlink_1221" Type="http://schemas.openxmlformats.org/officeDocument/2006/relationships/hyperlink" Target="https://nconnect.nicmar.ac.in/storage/profile/ProfilePhoto_P25704022_561872.jpg" TargetMode="External"/><Relationship Id="rId_hyperlink_1222" Type="http://schemas.openxmlformats.org/officeDocument/2006/relationships/hyperlink" Target="https://nconnect.nicmar.ac.in/storage/profile/ProfilePhoto_P25704023_534962.jpg" TargetMode="External"/><Relationship Id="rId_hyperlink_1223" Type="http://schemas.openxmlformats.org/officeDocument/2006/relationships/hyperlink" Target="https://nconnect.nicmar.ac.in/storage/profile/ProfilePhoto_P25704024_853971.jpg" TargetMode="External"/><Relationship Id="rId_hyperlink_1224" Type="http://schemas.openxmlformats.org/officeDocument/2006/relationships/hyperlink" Target="https://nconnect.nicmar.ac.in/storage/profile/ProfilePhoto_P25704025_279518.jpg" TargetMode="External"/><Relationship Id="rId_hyperlink_1225" Type="http://schemas.openxmlformats.org/officeDocument/2006/relationships/hyperlink" Target="https://nconnect.nicmar.ac.in/storage/profile/ProfilePhoto_P25704026_986524.jpg" TargetMode="External"/><Relationship Id="rId_hyperlink_1226" Type="http://schemas.openxmlformats.org/officeDocument/2006/relationships/hyperlink" Target="https://nconnect.nicmar.ac.in/storage/profile/ProfilePhoto_P25704027_845267.jpg" TargetMode="External"/><Relationship Id="rId_hyperlink_1227" Type="http://schemas.openxmlformats.org/officeDocument/2006/relationships/hyperlink" Target="https://nconnect.nicmar.ac.in/storage/profile/ProfilePhoto_P25704028_759214.jpg" TargetMode="External"/><Relationship Id="rId_hyperlink_1228" Type="http://schemas.openxmlformats.org/officeDocument/2006/relationships/hyperlink" Target="https://nconnect.nicmar.ac.in/storage/profile/ProfilePhoto_P25704029_425917.jpg" TargetMode="External"/><Relationship Id="rId_hyperlink_1229" Type="http://schemas.openxmlformats.org/officeDocument/2006/relationships/hyperlink" Target="https://nconnect.nicmar.ac.in/storage/profile/ProfilePhoto_P25704030_279351.jpg" TargetMode="External"/><Relationship Id="rId_hyperlink_1230" Type="http://schemas.openxmlformats.org/officeDocument/2006/relationships/hyperlink" Target="https://nconnect.nicmar.ac.in/storage/profile/ProfilePhoto_P25704032_987163.jpg" TargetMode="External"/><Relationship Id="rId_hyperlink_1231" Type="http://schemas.openxmlformats.org/officeDocument/2006/relationships/hyperlink" Target="https://nconnect.nicmar.ac.in/storage/profile/ProfilePhoto_P25704033_491638.jpg" TargetMode="External"/><Relationship Id="rId_hyperlink_1232" Type="http://schemas.openxmlformats.org/officeDocument/2006/relationships/hyperlink" Target="https://nconnect.nicmar.ac.in/storage/profile/ProfilePhoto_P25704034_924785.jpg" TargetMode="External"/><Relationship Id="rId_hyperlink_1233" Type="http://schemas.openxmlformats.org/officeDocument/2006/relationships/hyperlink" Target="https://nconnect.nicmar.ac.in/storage/profile/ProfilePhoto_P25704035_451867.jpg" TargetMode="External"/><Relationship Id="rId_hyperlink_1234" Type="http://schemas.openxmlformats.org/officeDocument/2006/relationships/hyperlink" Target="https://nconnect.nicmar.ac.in/storage/profile/ProfilePhoto_P25704036_238451.jpg" TargetMode="External"/><Relationship Id="rId_hyperlink_1235" Type="http://schemas.openxmlformats.org/officeDocument/2006/relationships/hyperlink" Target="https://nconnect.nicmar.ac.in/storage/profile/ProfilePhoto_P25704038_832517.jp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R1241"/>
  <sheetViews>
    <sheetView tabSelected="1" workbookViewId="0" showGridLines="true" showRowColHeaders="1">
      <pane ySplit="1" topLeftCell="A2" activePane="bottomLeft" state="frozen"/>
      <selection pane="bottomLeft" activeCell="BR2" sqref="BR2:BR1241"/>
    </sheetView>
  </sheetViews>
  <sheetFormatPr defaultRowHeight="14.4" outlineLevelRow="0" outlineLevelCol="0"/>
  <cols>
    <col min="1" max="1" width="12.568" bestFit="true" customWidth="true" style="0"/>
    <col min="2" max="2" width="11.711" bestFit="true" customWidth="true" style="0"/>
    <col min="3" max="3" width="17.71" bestFit="true" customWidth="true" style="0"/>
    <col min="4" max="4" width="23.423" bestFit="true" customWidth="true" style="0"/>
    <col min="5" max="5" width="17.71" bestFit="true" customWidth="true" style="0"/>
    <col min="6" max="6" width="23.423" bestFit="true" customWidth="true" style="0"/>
    <col min="7" max="7" width="43.561" bestFit="true" customWidth="true" style="0"/>
    <col min="8" max="8" width="42.418" bestFit="true" customWidth="true" style="0"/>
    <col min="9" max="9" width="36.42" bestFit="true" customWidth="true" style="0"/>
    <col min="10" max="10" width="12.854" bestFit="true" customWidth="true" style="0"/>
    <col min="11" max="11" width="11.283" bestFit="true" customWidth="true" style="0"/>
    <col min="12" max="12" width="13.997" bestFit="true" customWidth="true" style="0"/>
    <col min="13" max="13" width="21.566" bestFit="true" customWidth="true" style="0"/>
    <col min="14" max="14" width="82.408" bestFit="true" customWidth="true" style="0"/>
    <col min="15" max="15" width="235.8" bestFit="true" customWidth="true" style="0"/>
    <col min="16" max="16" width="17.71" bestFit="true" customWidth="true" style="0"/>
    <col min="17" max="17" width="20.281" bestFit="true" customWidth="true" style="0"/>
    <col min="18" max="18" width="41.133" bestFit="true" customWidth="true" style="0"/>
    <col min="19" max="19" width="20.281" bestFit="true" customWidth="true" style="0"/>
    <col min="20" max="20" width="74.268" bestFit="true" customWidth="true" style="0"/>
    <col min="21" max="21" width="39.99" bestFit="true" customWidth="true" style="0"/>
    <col min="22" max="22" width="20.281" bestFit="true" customWidth="true" style="0"/>
    <col min="23" max="23" width="84.836" bestFit="true" customWidth="true" style="0"/>
    <col min="24" max="24" width="196.952" bestFit="true" customWidth="true" style="0"/>
    <col min="25" max="25" width="23.423" bestFit="true" customWidth="true" style="0"/>
    <col min="26" max="26" width="19.995" bestFit="true" customWidth="true" style="0"/>
    <col min="27" max="27" width="196.952" bestFit="true" customWidth="true" style="0"/>
    <col min="28" max="28" width="27.993" bestFit="true" customWidth="true" style="0"/>
    <col min="29" max="29" width="29.421" bestFit="true" customWidth="true" style="0"/>
    <col min="30" max="30" width="19.138" bestFit="true" customWidth="true" style="0"/>
    <col min="31" max="31" width="12.568" bestFit="true" customWidth="true" style="0"/>
    <col min="32" max="32" width="106.117" bestFit="true" customWidth="true" style="0"/>
    <col min="33" max="33" width="162.675" bestFit="true" customWidth="true" style="0"/>
    <col min="34" max="34" width="24.28" bestFit="true" customWidth="true" style="0"/>
    <col min="35" max="35" width="24.28" bestFit="true" customWidth="true" style="0"/>
    <col min="36" max="36" width="15.139" bestFit="true" customWidth="true" style="0"/>
    <col min="37" max="37" width="13.997" bestFit="true" customWidth="true" style="0"/>
    <col min="38" max="38" width="139.109" bestFit="true" customWidth="true" style="0"/>
    <col min="39" max="39" width="126.112" bestFit="true" customWidth="true" style="0"/>
    <col min="40" max="40" width="24.28" bestFit="true" customWidth="true" style="0"/>
    <col min="41" max="41" width="24.28" bestFit="true" customWidth="true" style="0"/>
    <col min="42" max="42" width="15.139" bestFit="true" customWidth="true" style="0"/>
    <col min="43" max="43" width="13.997" bestFit="true" customWidth="true" style="0"/>
    <col min="44" max="44" width="55.272" bestFit="true" customWidth="true" style="0"/>
    <col min="45" max="45" width="104.832" bestFit="true" customWidth="true" style="0"/>
    <col min="46" max="46" width="29.421" bestFit="true" customWidth="true" style="0"/>
    <col min="47" max="47" width="29.421" bestFit="true" customWidth="true" style="0"/>
    <col min="48" max="48" width="20.281" bestFit="true" customWidth="true" style="0"/>
    <col min="49" max="49" width="19.138" bestFit="true" customWidth="true" style="0"/>
    <col min="50" max="50" width="117.828" bestFit="true" customWidth="true" style="0"/>
    <col min="51" max="51" width="128.54" bestFit="true" customWidth="true" style="0"/>
    <col min="52" max="52" width="33.135" bestFit="true" customWidth="true" style="0"/>
    <col min="53" max="53" width="33.135" bestFit="true" customWidth="true" style="0"/>
    <col min="54" max="54" width="24.28" bestFit="true" customWidth="true" style="0"/>
    <col min="55" max="55" width="22.852" bestFit="true" customWidth="true" style="0"/>
    <col min="56" max="56" width="88.407" bestFit="true" customWidth="true" style="0"/>
    <col min="57" max="57" width="52.987" bestFit="true" customWidth="true" style="0"/>
    <col min="58" max="58" width="39.705" bestFit="true" customWidth="true" style="0"/>
    <col min="59" max="59" width="39.705" bestFit="true" customWidth="true" style="0"/>
    <col min="60" max="60" width="30.564" bestFit="true" customWidth="true" style="0"/>
    <col min="61" max="61" width="29.421" bestFit="true" customWidth="true" style="0"/>
    <col min="62" max="62" width="301.926" bestFit="true" customWidth="true" style="0"/>
    <col min="63" max="63" width="389.191" bestFit="true" customWidth="true" style="0"/>
    <col min="64" max="64" width="24.28" bestFit="true" customWidth="true" style="0"/>
    <col min="65" max="65" width="346.773" bestFit="true" customWidth="true" style="0"/>
    <col min="66" max="66" width="19.138" bestFit="true" customWidth="true" style="0"/>
    <col min="67" max="67" width="245.226" bestFit="true" customWidth="true" style="0"/>
    <col min="68" max="68" width="22.852" bestFit="true" customWidth="true" style="0"/>
    <col min="69" max="69" width="21.566" bestFit="true" customWidth="true" style="0"/>
    <col min="70" max="70" width="17.71" bestFit="true" customWidth="true" style="0"/>
  </cols>
  <sheetData>
    <row r="1" spans="1:70" customHeight="1" ht="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row>
    <row r="2" spans="1:70">
      <c r="A2" s="1" t="s">
        <v>70</v>
      </c>
      <c r="B2" s="1" t="s">
        <v>71</v>
      </c>
      <c r="C2" s="1" t="s">
        <v>72</v>
      </c>
      <c r="D2" s="1" t="s">
        <v>73</v>
      </c>
      <c r="E2" s="1" t="s">
        <v>74</v>
      </c>
      <c r="F2" s="1" t="s">
        <v>75</v>
      </c>
      <c r="G2" s="1" t="s">
        <v>76</v>
      </c>
      <c r="H2" s="1" t="s">
        <v>77</v>
      </c>
      <c r="I2" s="1" t="s">
        <v>78</v>
      </c>
      <c r="J2" s="1">
        <v>7397934069</v>
      </c>
      <c r="K2" s="1" t="s">
        <v>79</v>
      </c>
      <c r="L2" s="1" t="s">
        <v>80</v>
      </c>
      <c r="M2" s="1" t="s">
        <v>81</v>
      </c>
      <c r="N2" s="1" t="s">
        <v>82</v>
      </c>
      <c r="O2" s="1" t="s">
        <v>83</v>
      </c>
      <c r="P2" s="1" t="s">
        <v>84</v>
      </c>
      <c r="Q2" s="1" t="s">
        <v>85</v>
      </c>
      <c r="R2" s="1" t="s">
        <v>86</v>
      </c>
      <c r="S2" s="1">
        <v>9422230619</v>
      </c>
      <c r="T2" s="1" t="s">
        <v>87</v>
      </c>
      <c r="U2" s="1" t="s">
        <v>88</v>
      </c>
      <c r="V2" s="1">
        <v>9423653241</v>
      </c>
      <c r="W2" s="1" t="s">
        <v>89</v>
      </c>
      <c r="X2" s="1" t="s">
        <v>90</v>
      </c>
      <c r="Y2" s="1" t="s">
        <v>91</v>
      </c>
      <c r="Z2" s="1" t="s">
        <v>92</v>
      </c>
      <c r="AA2" s="1" t="s">
        <v>90</v>
      </c>
      <c r="AB2" s="1" t="s">
        <v>91</v>
      </c>
      <c r="AC2" s="1" t="s">
        <v>92</v>
      </c>
      <c r="AD2" s="1" t="s">
        <v>93</v>
      </c>
      <c r="AE2" s="1" t="s">
        <v>93</v>
      </c>
      <c r="AF2" s="1" t="s">
        <v>94</v>
      </c>
      <c r="AG2" s="1" t="s">
        <v>95</v>
      </c>
      <c r="AH2" s="1" t="s">
        <v>96</v>
      </c>
      <c r="AI2" s="1" t="s">
        <v>97</v>
      </c>
      <c r="AJ2" s="1">
        <v>79.8</v>
      </c>
      <c r="AK2" s="1"/>
      <c r="AL2" s="1"/>
      <c r="AM2" s="1"/>
      <c r="AN2" s="1"/>
      <c r="AO2" s="1"/>
      <c r="AP2" s="1"/>
      <c r="AQ2" s="1"/>
      <c r="AR2" s="1" t="s">
        <v>98</v>
      </c>
      <c r="AS2" s="1" t="s">
        <v>99</v>
      </c>
      <c r="AT2" s="1" t="s">
        <v>100</v>
      </c>
      <c r="AU2" s="1" t="s">
        <v>101</v>
      </c>
      <c r="AV2" s="1">
        <v>60.06</v>
      </c>
      <c r="AW2" s="1"/>
      <c r="AX2" s="1" t="s">
        <v>102</v>
      </c>
      <c r="AY2" s="1" t="s">
        <v>103</v>
      </c>
      <c r="AZ2" s="1" t="s">
        <v>104</v>
      </c>
      <c r="BA2" s="1" t="s">
        <v>105</v>
      </c>
      <c r="BB2" s="1">
        <v>82.27</v>
      </c>
      <c r="BC2" s="1"/>
      <c r="BD2" s="1"/>
      <c r="BE2" s="1"/>
      <c r="BF2" s="1"/>
      <c r="BG2" s="1"/>
      <c r="BH2" s="1"/>
      <c r="BI2" s="1"/>
      <c r="BJ2" s="1" t="s">
        <v>106</v>
      </c>
      <c r="BK2" s="1"/>
      <c r="BL2" s="1"/>
      <c r="BM2" s="1" t="s">
        <v>107</v>
      </c>
      <c r="BN2" s="1">
        <v>12</v>
      </c>
      <c r="BO2" s="1" t="s">
        <v>108</v>
      </c>
      <c r="BP2" s="1" t="str">
        <f>HYPERLINK("https://nconnect.nicmar.ac.in/storage/profile/6a186e8559d6d.png","Download")</f>
        <v>0</v>
      </c>
      <c r="BQ2" s="3"/>
      <c r="BR2" s="3"/>
    </row>
    <row r="3" spans="1:70">
      <c r="A3" s="1" t="s">
        <v>70</v>
      </c>
      <c r="B3" s="1" t="s">
        <v>71</v>
      </c>
      <c r="C3" s="1" t="s">
        <v>109</v>
      </c>
      <c r="D3" s="1" t="s">
        <v>110</v>
      </c>
      <c r="E3" s="1" t="s">
        <v>111</v>
      </c>
      <c r="F3" s="1" t="s">
        <v>112</v>
      </c>
      <c r="G3" s="1" t="s">
        <v>113</v>
      </c>
      <c r="H3" s="1" t="s">
        <v>114</v>
      </c>
      <c r="I3" s="1" t="s">
        <v>114</v>
      </c>
      <c r="J3" s="1">
        <v>9656425242</v>
      </c>
      <c r="K3" s="1" t="s">
        <v>79</v>
      </c>
      <c r="L3" s="1" t="s">
        <v>115</v>
      </c>
      <c r="M3" s="1" t="s">
        <v>81</v>
      </c>
      <c r="N3" s="1" t="s">
        <v>116</v>
      </c>
      <c r="O3" s="1" t="s">
        <v>83</v>
      </c>
      <c r="P3" s="1" t="s">
        <v>117</v>
      </c>
      <c r="Q3" s="1" t="s">
        <v>118</v>
      </c>
      <c r="R3" s="1" t="s">
        <v>119</v>
      </c>
      <c r="S3" s="1">
        <v>9495845773</v>
      </c>
      <c r="T3" s="1" t="s">
        <v>120</v>
      </c>
      <c r="U3" s="1" t="s">
        <v>121</v>
      </c>
      <c r="V3" s="1">
        <v>9562891610</v>
      </c>
      <c r="W3" s="1" t="s">
        <v>122</v>
      </c>
      <c r="X3" s="1" t="s">
        <v>123</v>
      </c>
      <c r="Y3" s="1" t="s">
        <v>124</v>
      </c>
      <c r="Z3" s="1" t="s">
        <v>125</v>
      </c>
      <c r="AA3" s="1" t="s">
        <v>123</v>
      </c>
      <c r="AB3" s="1" t="s">
        <v>124</v>
      </c>
      <c r="AC3" s="1" t="s">
        <v>125</v>
      </c>
      <c r="AD3" s="1" t="s">
        <v>93</v>
      </c>
      <c r="AE3" s="1" t="s">
        <v>93</v>
      </c>
      <c r="AF3" s="1" t="s">
        <v>126</v>
      </c>
      <c r="AG3" s="1" t="s">
        <v>127</v>
      </c>
      <c r="AH3" s="1" t="s">
        <v>128</v>
      </c>
      <c r="AI3" s="1" t="s">
        <v>129</v>
      </c>
      <c r="AJ3" s="1">
        <v>93.1</v>
      </c>
      <c r="AK3" s="1">
        <v>9.8</v>
      </c>
      <c r="AL3" s="1" t="s">
        <v>126</v>
      </c>
      <c r="AM3" s="1" t="s">
        <v>127</v>
      </c>
      <c r="AN3" s="1" t="s">
        <v>130</v>
      </c>
      <c r="AO3" s="1" t="s">
        <v>131</v>
      </c>
      <c r="AP3" s="1">
        <v>91</v>
      </c>
      <c r="AQ3" s="1"/>
      <c r="AR3" s="1"/>
      <c r="AS3" s="1"/>
      <c r="AT3" s="1"/>
      <c r="AU3" s="1"/>
      <c r="AV3" s="1"/>
      <c r="AW3" s="1"/>
      <c r="AX3" s="1" t="s">
        <v>132</v>
      </c>
      <c r="AY3" s="1" t="s">
        <v>133</v>
      </c>
      <c r="AZ3" s="1" t="s">
        <v>134</v>
      </c>
      <c r="BA3" s="1" t="s">
        <v>135</v>
      </c>
      <c r="BB3" s="1">
        <v>72.2</v>
      </c>
      <c r="BC3" s="1">
        <v>7.22</v>
      </c>
      <c r="BD3" s="1" t="s">
        <v>132</v>
      </c>
      <c r="BE3" s="1" t="s">
        <v>133</v>
      </c>
      <c r="BF3" s="1" t="s">
        <v>134</v>
      </c>
      <c r="BG3" s="1" t="s">
        <v>135</v>
      </c>
      <c r="BH3" s="1">
        <v>72.2</v>
      </c>
      <c r="BI3" s="1">
        <v>7.22</v>
      </c>
      <c r="BJ3" s="1" t="s">
        <v>136</v>
      </c>
      <c r="BK3" s="1" t="s">
        <v>137</v>
      </c>
      <c r="BL3" s="1" t="s">
        <v>138</v>
      </c>
      <c r="BM3" s="1" t="s">
        <v>139</v>
      </c>
      <c r="BN3" s="1">
        <v>8</v>
      </c>
      <c r="BO3" s="1" t="s">
        <v>140</v>
      </c>
      <c r="BP3" s="1" t="str">
        <f>HYPERLINK("https://nconnect.nicmar.ac.in/storage/profile/6a196fd27d491.png","Download")</f>
        <v>0</v>
      </c>
      <c r="BQ3" s="3"/>
      <c r="BR3" s="3"/>
    </row>
    <row r="4" spans="1:70">
      <c r="A4" s="1" t="s">
        <v>70</v>
      </c>
      <c r="B4" s="1" t="s">
        <v>71</v>
      </c>
      <c r="C4" s="1" t="s">
        <v>141</v>
      </c>
      <c r="D4" s="1" t="s">
        <v>142</v>
      </c>
      <c r="E4" s="1" t="s">
        <v>143</v>
      </c>
      <c r="F4" s="1" t="s">
        <v>144</v>
      </c>
      <c r="G4" s="1" t="s">
        <v>145</v>
      </c>
      <c r="H4" s="1" t="s">
        <v>146</v>
      </c>
      <c r="I4" s="1" t="s">
        <v>147</v>
      </c>
      <c r="J4" s="1">
        <v>9325534311</v>
      </c>
      <c r="K4" s="1" t="s">
        <v>148</v>
      </c>
      <c r="L4" s="1" t="s">
        <v>149</v>
      </c>
      <c r="M4" s="1" t="s">
        <v>150</v>
      </c>
      <c r="N4" s="1" t="s">
        <v>151</v>
      </c>
      <c r="O4" s="1" t="s">
        <v>152</v>
      </c>
      <c r="P4" s="1" t="s">
        <v>117</v>
      </c>
      <c r="Q4" s="1" t="s">
        <v>153</v>
      </c>
      <c r="R4" s="1" t="s">
        <v>144</v>
      </c>
      <c r="S4" s="1">
        <v>9922217792</v>
      </c>
      <c r="T4" s="1" t="s">
        <v>154</v>
      </c>
      <c r="U4" s="1" t="s">
        <v>155</v>
      </c>
      <c r="V4" s="1">
        <v>7499066533</v>
      </c>
      <c r="W4" s="1" t="s">
        <v>156</v>
      </c>
      <c r="X4" s="1" t="s">
        <v>157</v>
      </c>
      <c r="Y4" s="1" t="s">
        <v>158</v>
      </c>
      <c r="Z4" s="1" t="s">
        <v>92</v>
      </c>
      <c r="AA4" s="1" t="s">
        <v>157</v>
      </c>
      <c r="AB4" s="1" t="s">
        <v>158</v>
      </c>
      <c r="AC4" s="1" t="s">
        <v>92</v>
      </c>
      <c r="AD4" s="1" t="s">
        <v>93</v>
      </c>
      <c r="AE4" s="1" t="s">
        <v>93</v>
      </c>
      <c r="AF4" s="1" t="s">
        <v>159</v>
      </c>
      <c r="AG4" s="1" t="s">
        <v>160</v>
      </c>
      <c r="AH4" s="1" t="s">
        <v>161</v>
      </c>
      <c r="AI4" s="1" t="s">
        <v>162</v>
      </c>
      <c r="AJ4" s="1">
        <v>80.4</v>
      </c>
      <c r="AK4" s="1"/>
      <c r="AL4" s="1" t="s">
        <v>163</v>
      </c>
      <c r="AM4" s="1" t="s">
        <v>164</v>
      </c>
      <c r="AN4" s="1" t="s">
        <v>165</v>
      </c>
      <c r="AO4" s="1" t="s">
        <v>166</v>
      </c>
      <c r="AP4" s="1">
        <v>51.54</v>
      </c>
      <c r="AQ4" s="1"/>
      <c r="AR4" s="1" t="s">
        <v>167</v>
      </c>
      <c r="AS4" s="1" t="s">
        <v>168</v>
      </c>
      <c r="AT4" s="1" t="s">
        <v>169</v>
      </c>
      <c r="AU4" s="1" t="s">
        <v>170</v>
      </c>
      <c r="AV4" s="1">
        <v>83.89</v>
      </c>
      <c r="AW4" s="1"/>
      <c r="AX4" s="1" t="s">
        <v>171</v>
      </c>
      <c r="AY4" s="1" t="s">
        <v>172</v>
      </c>
      <c r="AZ4" s="1" t="s">
        <v>173</v>
      </c>
      <c r="BA4" s="1" t="s">
        <v>174</v>
      </c>
      <c r="BB4" s="1">
        <v>79.18</v>
      </c>
      <c r="BC4" s="1">
        <v>9.17</v>
      </c>
      <c r="BD4" s="1"/>
      <c r="BE4" s="1"/>
      <c r="BF4" s="1"/>
      <c r="BG4" s="1"/>
      <c r="BH4" s="1"/>
      <c r="BI4" s="1"/>
      <c r="BJ4" s="1" t="s">
        <v>175</v>
      </c>
      <c r="BK4" s="1"/>
      <c r="BL4" s="1"/>
      <c r="BM4" s="1" t="s">
        <v>176</v>
      </c>
      <c r="BN4" s="1">
        <v>8</v>
      </c>
      <c r="BO4" s="1" t="s">
        <v>177</v>
      </c>
      <c r="BP4" s="1" t="str">
        <f>HYPERLINK("https://nconnect.nicmar.ac.in/storage/profile/6a1ad19432c21.png","Download")</f>
        <v>0</v>
      </c>
      <c r="BQ4" s="3"/>
      <c r="BR4" s="3"/>
    </row>
    <row r="5" spans="1:70">
      <c r="A5" s="1" t="s">
        <v>70</v>
      </c>
      <c r="B5" s="1" t="s">
        <v>71</v>
      </c>
      <c r="C5" s="1" t="s">
        <v>178</v>
      </c>
      <c r="D5" s="1" t="s">
        <v>179</v>
      </c>
      <c r="E5" s="1" t="s">
        <v>180</v>
      </c>
      <c r="F5" s="1" t="s">
        <v>181</v>
      </c>
      <c r="G5" s="1" t="s">
        <v>182</v>
      </c>
      <c r="H5" s="1" t="s">
        <v>183</v>
      </c>
      <c r="I5" s="1" t="s">
        <v>183</v>
      </c>
      <c r="J5" s="1">
        <v>9765175253</v>
      </c>
      <c r="K5" s="1" t="s">
        <v>79</v>
      </c>
      <c r="L5" s="1" t="s">
        <v>184</v>
      </c>
      <c r="M5" s="1" t="s">
        <v>81</v>
      </c>
      <c r="N5" s="1" t="s">
        <v>185</v>
      </c>
      <c r="O5" s="1" t="s">
        <v>186</v>
      </c>
      <c r="P5" s="1" t="s">
        <v>84</v>
      </c>
      <c r="Q5" s="1" t="s">
        <v>187</v>
      </c>
      <c r="R5" s="1" t="s">
        <v>188</v>
      </c>
      <c r="S5" s="1">
        <v>9890083484</v>
      </c>
      <c r="T5" s="1" t="s">
        <v>154</v>
      </c>
      <c r="U5" s="1" t="s">
        <v>189</v>
      </c>
      <c r="V5" s="1">
        <v>9890083484</v>
      </c>
      <c r="W5" s="1" t="s">
        <v>156</v>
      </c>
      <c r="X5" s="1" t="s">
        <v>190</v>
      </c>
      <c r="Y5" s="1" t="s">
        <v>191</v>
      </c>
      <c r="Z5" s="1" t="s">
        <v>92</v>
      </c>
      <c r="AA5" s="1" t="s">
        <v>192</v>
      </c>
      <c r="AB5" s="1" t="s">
        <v>191</v>
      </c>
      <c r="AC5" s="1" t="s">
        <v>92</v>
      </c>
      <c r="AD5" s="1" t="s">
        <v>93</v>
      </c>
      <c r="AE5" s="1" t="s">
        <v>93</v>
      </c>
      <c r="AF5" s="1" t="s">
        <v>193</v>
      </c>
      <c r="AG5" s="1" t="s">
        <v>194</v>
      </c>
      <c r="AH5" s="1" t="s">
        <v>162</v>
      </c>
      <c r="AI5" s="1" t="s">
        <v>195</v>
      </c>
      <c r="AJ5" s="1">
        <v>85.8</v>
      </c>
      <c r="AK5" s="1"/>
      <c r="AL5" s="1" t="s">
        <v>196</v>
      </c>
      <c r="AM5" s="1" t="s">
        <v>197</v>
      </c>
      <c r="AN5" s="1" t="s">
        <v>101</v>
      </c>
      <c r="AO5" s="1" t="s">
        <v>198</v>
      </c>
      <c r="AP5" s="1">
        <v>62.92</v>
      </c>
      <c r="AQ5" s="1"/>
      <c r="AR5" s="1"/>
      <c r="AS5" s="1"/>
      <c r="AT5" s="1"/>
      <c r="AU5" s="1"/>
      <c r="AV5" s="1"/>
      <c r="AW5" s="1"/>
      <c r="AX5" s="1" t="s">
        <v>199</v>
      </c>
      <c r="AY5" s="1" t="s">
        <v>200</v>
      </c>
      <c r="AZ5" s="1" t="s">
        <v>201</v>
      </c>
      <c r="BA5" s="1" t="s">
        <v>202</v>
      </c>
      <c r="BB5" s="1">
        <v>68.8</v>
      </c>
      <c r="BC5" s="1">
        <v>7.63</v>
      </c>
      <c r="BD5" s="1"/>
      <c r="BE5" s="1"/>
      <c r="BF5" s="1"/>
      <c r="BG5" s="1"/>
      <c r="BH5" s="1"/>
      <c r="BI5" s="1"/>
      <c r="BJ5" s="1" t="s">
        <v>203</v>
      </c>
      <c r="BK5" s="1"/>
      <c r="BL5" s="1"/>
      <c r="BM5" s="1" t="s">
        <v>204</v>
      </c>
      <c r="BN5" s="1">
        <v>40</v>
      </c>
      <c r="BO5" s="1" t="s">
        <v>205</v>
      </c>
      <c r="BP5" s="1" t="str">
        <f>HYPERLINK("https://nconnect.nicmar.ac.in/storage/profile/6a1d16cec8cd8.png","Download")</f>
        <v>0</v>
      </c>
      <c r="BQ5" s="3"/>
      <c r="BR5" s="3"/>
    </row>
    <row r="6" spans="1:70">
      <c r="A6" s="1" t="s">
        <v>70</v>
      </c>
      <c r="B6" s="1" t="s">
        <v>71</v>
      </c>
      <c r="C6" s="1" t="s">
        <v>206</v>
      </c>
      <c r="D6" s="1" t="s">
        <v>207</v>
      </c>
      <c r="E6" s="1" t="s">
        <v>208</v>
      </c>
      <c r="F6" s="1" t="s">
        <v>209</v>
      </c>
      <c r="G6" s="1" t="s">
        <v>210</v>
      </c>
      <c r="H6" s="1" t="s">
        <v>211</v>
      </c>
      <c r="I6" s="1" t="s">
        <v>211</v>
      </c>
      <c r="J6" s="1">
        <v>9545075998</v>
      </c>
      <c r="K6" s="1" t="s">
        <v>79</v>
      </c>
      <c r="L6" s="1" t="s">
        <v>212</v>
      </c>
      <c r="M6" s="1" t="s">
        <v>81</v>
      </c>
      <c r="N6" s="1" t="s">
        <v>213</v>
      </c>
      <c r="O6" s="1" t="s">
        <v>186</v>
      </c>
      <c r="P6" s="1" t="s">
        <v>214</v>
      </c>
      <c r="Q6" s="1" t="s">
        <v>215</v>
      </c>
      <c r="R6" s="1" t="s">
        <v>208</v>
      </c>
      <c r="S6" s="1">
        <v>9890983062</v>
      </c>
      <c r="T6" s="1" t="s">
        <v>216</v>
      </c>
      <c r="U6" s="1" t="s">
        <v>217</v>
      </c>
      <c r="V6" s="1">
        <v>8888661835</v>
      </c>
      <c r="W6" s="1" t="s">
        <v>216</v>
      </c>
      <c r="X6" s="1" t="s">
        <v>218</v>
      </c>
      <c r="Y6" s="1" t="s">
        <v>219</v>
      </c>
      <c r="Z6" s="1" t="s">
        <v>92</v>
      </c>
      <c r="AA6" s="1" t="s">
        <v>220</v>
      </c>
      <c r="AB6" s="1" t="s">
        <v>191</v>
      </c>
      <c r="AC6" s="1" t="s">
        <v>92</v>
      </c>
      <c r="AD6" s="1" t="s">
        <v>93</v>
      </c>
      <c r="AE6" s="1" t="s">
        <v>93</v>
      </c>
      <c r="AF6" s="1" t="s">
        <v>221</v>
      </c>
      <c r="AG6" s="1" t="s">
        <v>222</v>
      </c>
      <c r="AH6" s="1" t="s">
        <v>162</v>
      </c>
      <c r="AI6" s="1" t="s">
        <v>165</v>
      </c>
      <c r="AJ6" s="1">
        <v>81.8</v>
      </c>
      <c r="AK6" s="1"/>
      <c r="AL6" s="1"/>
      <c r="AM6" s="1"/>
      <c r="AN6" s="1"/>
      <c r="AO6" s="1"/>
      <c r="AP6" s="1"/>
      <c r="AQ6" s="1"/>
      <c r="AR6" s="1" t="s">
        <v>223</v>
      </c>
      <c r="AS6" s="1" t="s">
        <v>224</v>
      </c>
      <c r="AT6" s="1" t="s">
        <v>225</v>
      </c>
      <c r="AU6" s="1" t="s">
        <v>170</v>
      </c>
      <c r="AV6" s="1">
        <v>86.95</v>
      </c>
      <c r="AW6" s="1"/>
      <c r="AX6" s="1" t="s">
        <v>226</v>
      </c>
      <c r="AY6" s="1" t="s">
        <v>227</v>
      </c>
      <c r="AZ6" s="1" t="s">
        <v>228</v>
      </c>
      <c r="BA6" s="1" t="s">
        <v>229</v>
      </c>
      <c r="BB6" s="1">
        <v>80.66</v>
      </c>
      <c r="BC6" s="1">
        <v>9.36</v>
      </c>
      <c r="BD6" s="1"/>
      <c r="BE6" s="1"/>
      <c r="BF6" s="1"/>
      <c r="BG6" s="1"/>
      <c r="BH6" s="1"/>
      <c r="BI6" s="1"/>
      <c r="BJ6" s="1" t="s">
        <v>230</v>
      </c>
      <c r="BK6" s="1"/>
      <c r="BL6" s="1"/>
      <c r="BM6" s="1" t="s">
        <v>231</v>
      </c>
      <c r="BN6" s="1">
        <v>79</v>
      </c>
      <c r="BO6" s="1" t="s">
        <v>232</v>
      </c>
      <c r="BP6" s="1" t="str">
        <f>HYPERLINK("https://nconnect.nicmar.ac.in/storage/profile/6a1d1c679672f.png","Download")</f>
        <v>0</v>
      </c>
      <c r="BQ6" s="3"/>
      <c r="BR6" s="3"/>
    </row>
    <row r="7" spans="1:70">
      <c r="A7" s="1" t="s">
        <v>70</v>
      </c>
      <c r="B7" s="1" t="s">
        <v>71</v>
      </c>
      <c r="C7" s="1" t="s">
        <v>233</v>
      </c>
      <c r="D7" s="1" t="s">
        <v>234</v>
      </c>
      <c r="E7" s="1" t="s">
        <v>235</v>
      </c>
      <c r="F7" s="1" t="s">
        <v>236</v>
      </c>
      <c r="G7" s="1" t="s">
        <v>237</v>
      </c>
      <c r="H7" s="1" t="s">
        <v>238</v>
      </c>
      <c r="I7" s="1" t="s">
        <v>239</v>
      </c>
      <c r="J7" s="1">
        <v>8390278328</v>
      </c>
      <c r="K7" s="1" t="s">
        <v>79</v>
      </c>
      <c r="L7" s="1" t="s">
        <v>240</v>
      </c>
      <c r="M7" s="1" t="s">
        <v>81</v>
      </c>
      <c r="N7" s="1" t="s">
        <v>241</v>
      </c>
      <c r="O7" s="1" t="s">
        <v>152</v>
      </c>
      <c r="P7" s="1" t="s">
        <v>214</v>
      </c>
      <c r="Q7" s="1" t="s">
        <v>242</v>
      </c>
      <c r="R7" s="1" t="s">
        <v>243</v>
      </c>
      <c r="S7" s="1">
        <v>9604519865</v>
      </c>
      <c r="T7" s="1" t="s">
        <v>154</v>
      </c>
      <c r="U7" s="1" t="s">
        <v>244</v>
      </c>
      <c r="V7" s="1">
        <v>9370154343</v>
      </c>
      <c r="W7" s="1" t="s">
        <v>156</v>
      </c>
      <c r="X7" s="1" t="s">
        <v>245</v>
      </c>
      <c r="Y7" s="1" t="s">
        <v>246</v>
      </c>
      <c r="Z7" s="1" t="s">
        <v>92</v>
      </c>
      <c r="AA7" s="1" t="s">
        <v>245</v>
      </c>
      <c r="AB7" s="1" t="s">
        <v>246</v>
      </c>
      <c r="AC7" s="1" t="s">
        <v>92</v>
      </c>
      <c r="AD7" s="1" t="s">
        <v>93</v>
      </c>
      <c r="AE7" s="1" t="s">
        <v>93</v>
      </c>
      <c r="AF7" s="1" t="s">
        <v>247</v>
      </c>
      <c r="AG7" s="1" t="s">
        <v>248</v>
      </c>
      <c r="AH7" s="1" t="s">
        <v>249</v>
      </c>
      <c r="AI7" s="1" t="s">
        <v>96</v>
      </c>
      <c r="AJ7" s="1">
        <v>76</v>
      </c>
      <c r="AK7" s="1"/>
      <c r="AL7" s="1"/>
      <c r="AM7" s="1"/>
      <c r="AN7" s="1"/>
      <c r="AO7" s="1"/>
      <c r="AP7" s="1"/>
      <c r="AQ7" s="1"/>
      <c r="AR7" s="1" t="s">
        <v>250</v>
      </c>
      <c r="AS7" s="1" t="s">
        <v>251</v>
      </c>
      <c r="AT7" s="1" t="s">
        <v>252</v>
      </c>
      <c r="AU7" s="1" t="s">
        <v>165</v>
      </c>
      <c r="AV7" s="1">
        <v>77.53</v>
      </c>
      <c r="AW7" s="1"/>
      <c r="AX7" s="1" t="s">
        <v>253</v>
      </c>
      <c r="AY7" s="1" t="s">
        <v>254</v>
      </c>
      <c r="AZ7" s="1" t="s">
        <v>225</v>
      </c>
      <c r="BA7" s="1" t="s">
        <v>170</v>
      </c>
      <c r="BB7" s="1">
        <v>71.9</v>
      </c>
      <c r="BC7" s="1"/>
      <c r="BD7" s="1"/>
      <c r="BE7" s="1"/>
      <c r="BF7" s="1"/>
      <c r="BG7" s="1"/>
      <c r="BH7" s="1"/>
      <c r="BI7" s="1"/>
      <c r="BJ7" s="1" t="s">
        <v>255</v>
      </c>
      <c r="BK7" s="1" t="s">
        <v>256</v>
      </c>
      <c r="BL7" s="1" t="s">
        <v>138</v>
      </c>
      <c r="BM7" s="1" t="s">
        <v>257</v>
      </c>
      <c r="BN7" s="1">
        <v>17</v>
      </c>
      <c r="BO7" s="1" t="s">
        <v>258</v>
      </c>
      <c r="BP7" s="1" t="str">
        <f>HYPERLINK("https://nconnect.nicmar.ac.in/storage/profile/6a1b1b9e21425.png","Download")</f>
        <v>0</v>
      </c>
      <c r="BQ7" s="3"/>
      <c r="BR7" s="3"/>
    </row>
    <row r="8" spans="1:70">
      <c r="A8" s="1" t="s">
        <v>70</v>
      </c>
      <c r="B8" s="1" t="s">
        <v>71</v>
      </c>
      <c r="C8" s="1" t="s">
        <v>259</v>
      </c>
      <c r="D8" s="1" t="s">
        <v>260</v>
      </c>
      <c r="E8" s="1" t="s">
        <v>261</v>
      </c>
      <c r="F8" s="1" t="s">
        <v>262</v>
      </c>
      <c r="G8" s="1" t="s">
        <v>263</v>
      </c>
      <c r="H8" s="1" t="s">
        <v>264</v>
      </c>
      <c r="I8" s="1" t="s">
        <v>265</v>
      </c>
      <c r="J8" s="1">
        <v>6304174925</v>
      </c>
      <c r="K8" s="1" t="s">
        <v>79</v>
      </c>
      <c r="L8" s="1" t="s">
        <v>266</v>
      </c>
      <c r="M8" s="1" t="s">
        <v>81</v>
      </c>
      <c r="N8" s="1" t="s">
        <v>267</v>
      </c>
      <c r="O8" s="1" t="s">
        <v>268</v>
      </c>
      <c r="P8" s="1" t="s">
        <v>214</v>
      </c>
      <c r="Q8" s="1" t="s">
        <v>269</v>
      </c>
      <c r="R8" s="1" t="s">
        <v>270</v>
      </c>
      <c r="S8" s="1">
        <v>9949131676</v>
      </c>
      <c r="T8" s="1" t="s">
        <v>271</v>
      </c>
      <c r="U8" s="1" t="s">
        <v>272</v>
      </c>
      <c r="V8" s="1">
        <v>9133954535</v>
      </c>
      <c r="W8" s="1" t="s">
        <v>273</v>
      </c>
      <c r="X8" s="1" t="s">
        <v>274</v>
      </c>
      <c r="Y8" s="1" t="s">
        <v>275</v>
      </c>
      <c r="Z8" s="1" t="s">
        <v>276</v>
      </c>
      <c r="AA8" s="1" t="s">
        <v>274</v>
      </c>
      <c r="AB8" s="1" t="s">
        <v>275</v>
      </c>
      <c r="AC8" s="1" t="s">
        <v>276</v>
      </c>
      <c r="AD8" s="1" t="s">
        <v>93</v>
      </c>
      <c r="AE8" s="1" t="s">
        <v>93</v>
      </c>
      <c r="AF8" s="1" t="s">
        <v>277</v>
      </c>
      <c r="AG8" s="1" t="s">
        <v>278</v>
      </c>
      <c r="AH8" s="1" t="s">
        <v>161</v>
      </c>
      <c r="AI8" s="1" t="s">
        <v>279</v>
      </c>
      <c r="AJ8" s="1">
        <v>93.0</v>
      </c>
      <c r="AK8" s="1">
        <v>9.3</v>
      </c>
      <c r="AL8" s="1" t="s">
        <v>280</v>
      </c>
      <c r="AM8" s="1" t="s">
        <v>278</v>
      </c>
      <c r="AN8" s="1" t="s">
        <v>162</v>
      </c>
      <c r="AO8" s="1" t="s">
        <v>281</v>
      </c>
      <c r="AP8" s="1">
        <v>92.6</v>
      </c>
      <c r="AQ8" s="1"/>
      <c r="AR8" s="1"/>
      <c r="AS8" s="1"/>
      <c r="AT8" s="1"/>
      <c r="AU8" s="1"/>
      <c r="AV8" s="1"/>
      <c r="AW8" s="1"/>
      <c r="AX8" s="1" t="s">
        <v>282</v>
      </c>
      <c r="AY8" s="1" t="s">
        <v>283</v>
      </c>
      <c r="AZ8" s="1" t="s">
        <v>169</v>
      </c>
      <c r="BA8" s="1" t="s">
        <v>284</v>
      </c>
      <c r="BB8" s="1">
        <v>68.0</v>
      </c>
      <c r="BC8" s="1">
        <v>6.8</v>
      </c>
      <c r="BD8" s="1"/>
      <c r="BE8" s="1"/>
      <c r="BF8" s="1"/>
      <c r="BG8" s="1"/>
      <c r="BH8" s="1"/>
      <c r="BI8" s="1"/>
      <c r="BJ8" s="1" t="s">
        <v>285</v>
      </c>
      <c r="BK8" s="1" t="s">
        <v>286</v>
      </c>
      <c r="BL8" s="1" t="s">
        <v>287</v>
      </c>
      <c r="BM8" s="1" t="s">
        <v>288</v>
      </c>
      <c r="BN8" s="1">
        <v>8</v>
      </c>
      <c r="BO8" s="1" t="s">
        <v>289</v>
      </c>
      <c r="BP8" s="1" t="str">
        <f>HYPERLINK("https://nconnect.nicmar.ac.in/storage/profile/6a1bc2191055c.png","Download")</f>
        <v>0</v>
      </c>
      <c r="BQ8" s="3"/>
      <c r="BR8" s="3"/>
    </row>
    <row r="9" spans="1:70">
      <c r="A9" s="1" t="s">
        <v>70</v>
      </c>
      <c r="B9" s="1" t="s">
        <v>71</v>
      </c>
      <c r="C9" s="1" t="s">
        <v>290</v>
      </c>
      <c r="D9" s="1" t="s">
        <v>291</v>
      </c>
      <c r="E9" s="1"/>
      <c r="F9" s="1" t="s">
        <v>292</v>
      </c>
      <c r="G9" s="1" t="s">
        <v>293</v>
      </c>
      <c r="H9" s="1" t="s">
        <v>294</v>
      </c>
      <c r="I9" s="1" t="s">
        <v>295</v>
      </c>
      <c r="J9" s="1">
        <v>7666585576</v>
      </c>
      <c r="K9" s="1" t="s">
        <v>79</v>
      </c>
      <c r="L9" s="1" t="s">
        <v>296</v>
      </c>
      <c r="M9" s="1" t="s">
        <v>81</v>
      </c>
      <c r="N9" s="1" t="s">
        <v>297</v>
      </c>
      <c r="O9" s="1" t="s">
        <v>152</v>
      </c>
      <c r="P9" s="1" t="s">
        <v>214</v>
      </c>
      <c r="Q9" s="1" t="s">
        <v>298</v>
      </c>
      <c r="R9" s="1" t="s">
        <v>299</v>
      </c>
      <c r="S9" s="1">
        <v>8459914145</v>
      </c>
      <c r="T9" s="1" t="s">
        <v>300</v>
      </c>
      <c r="U9" s="1" t="s">
        <v>301</v>
      </c>
      <c r="V9" s="1">
        <v>9422974725</v>
      </c>
      <c r="W9" s="1" t="s">
        <v>302</v>
      </c>
      <c r="X9" s="1" t="s">
        <v>303</v>
      </c>
      <c r="Y9" s="1" t="s">
        <v>304</v>
      </c>
      <c r="Z9" s="1" t="s">
        <v>92</v>
      </c>
      <c r="AA9" s="1" t="s">
        <v>305</v>
      </c>
      <c r="AB9" s="1" t="s">
        <v>191</v>
      </c>
      <c r="AC9" s="1" t="s">
        <v>92</v>
      </c>
      <c r="AD9" s="1" t="s">
        <v>93</v>
      </c>
      <c r="AE9" s="1" t="s">
        <v>93</v>
      </c>
      <c r="AF9" s="1" t="s">
        <v>306</v>
      </c>
      <c r="AG9" s="1" t="s">
        <v>307</v>
      </c>
      <c r="AH9" s="1" t="s">
        <v>162</v>
      </c>
      <c r="AI9" s="1" t="s">
        <v>165</v>
      </c>
      <c r="AJ9" s="1">
        <v>84.8</v>
      </c>
      <c r="AK9" s="1">
        <v>9.2</v>
      </c>
      <c r="AL9" s="1" t="s">
        <v>306</v>
      </c>
      <c r="AM9" s="1" t="s">
        <v>307</v>
      </c>
      <c r="AN9" s="1" t="s">
        <v>101</v>
      </c>
      <c r="AO9" s="1" t="s">
        <v>308</v>
      </c>
      <c r="AP9" s="1">
        <v>71.8</v>
      </c>
      <c r="AQ9" s="1"/>
      <c r="AR9" s="1"/>
      <c r="AS9" s="1"/>
      <c r="AT9" s="1"/>
      <c r="AU9" s="1"/>
      <c r="AV9" s="1"/>
      <c r="AW9" s="1"/>
      <c r="AX9" s="1" t="s">
        <v>199</v>
      </c>
      <c r="AY9" s="1" t="s">
        <v>309</v>
      </c>
      <c r="AZ9" s="1" t="s">
        <v>310</v>
      </c>
      <c r="BA9" s="1" t="s">
        <v>202</v>
      </c>
      <c r="BB9" s="1">
        <v>63.81</v>
      </c>
      <c r="BC9" s="1">
        <v>7.17</v>
      </c>
      <c r="BD9" s="1"/>
      <c r="BE9" s="1"/>
      <c r="BF9" s="1"/>
      <c r="BG9" s="1"/>
      <c r="BH9" s="1"/>
      <c r="BI9" s="1"/>
      <c r="BJ9" s="1" t="s">
        <v>311</v>
      </c>
      <c r="BK9" s="1"/>
      <c r="BL9" s="1"/>
      <c r="BM9" s="1" t="s">
        <v>312</v>
      </c>
      <c r="BN9" s="1">
        <v>33</v>
      </c>
      <c r="BO9" s="1"/>
      <c r="BP9" s="1" t="str">
        <f>HYPERLINK("https://nconnect.nicmar.ac.in/storage/profile/6a1bc683727f9.png","Download")</f>
        <v>0</v>
      </c>
      <c r="BQ9" s="3"/>
      <c r="BR9" s="3"/>
    </row>
    <row r="10" spans="1:70">
      <c r="A10" s="1" t="s">
        <v>70</v>
      </c>
      <c r="B10" s="1" t="s">
        <v>71</v>
      </c>
      <c r="C10" s="1" t="s">
        <v>313</v>
      </c>
      <c r="D10" s="1" t="s">
        <v>314</v>
      </c>
      <c r="E10" s="1" t="s">
        <v>315</v>
      </c>
      <c r="F10" s="1" t="s">
        <v>316</v>
      </c>
      <c r="G10" s="1" t="s">
        <v>317</v>
      </c>
      <c r="H10" s="1" t="s">
        <v>318</v>
      </c>
      <c r="I10" s="1" t="s">
        <v>319</v>
      </c>
      <c r="J10" s="1">
        <v>8830758744</v>
      </c>
      <c r="K10" s="1" t="s">
        <v>79</v>
      </c>
      <c r="L10" s="1" t="s">
        <v>320</v>
      </c>
      <c r="M10" s="1" t="s">
        <v>81</v>
      </c>
      <c r="N10" s="1" t="s">
        <v>321</v>
      </c>
      <c r="O10" s="1" t="s">
        <v>322</v>
      </c>
      <c r="P10" s="1" t="s">
        <v>117</v>
      </c>
      <c r="Q10" s="1" t="s">
        <v>323</v>
      </c>
      <c r="R10" s="1" t="s">
        <v>324</v>
      </c>
      <c r="S10" s="1">
        <v>9579766668</v>
      </c>
      <c r="T10" s="1" t="s">
        <v>325</v>
      </c>
      <c r="U10" s="1" t="s">
        <v>326</v>
      </c>
      <c r="V10" s="1">
        <v>9579766668</v>
      </c>
      <c r="W10" s="1" t="s">
        <v>156</v>
      </c>
      <c r="X10" s="1" t="s">
        <v>327</v>
      </c>
      <c r="Y10" s="1" t="s">
        <v>328</v>
      </c>
      <c r="Z10" s="1" t="s">
        <v>92</v>
      </c>
      <c r="AA10" s="1" t="s">
        <v>327</v>
      </c>
      <c r="AB10" s="1" t="s">
        <v>328</v>
      </c>
      <c r="AC10" s="1" t="s">
        <v>92</v>
      </c>
      <c r="AD10" s="1" t="s">
        <v>93</v>
      </c>
      <c r="AE10" s="1" t="s">
        <v>93</v>
      </c>
      <c r="AF10" s="1" t="s">
        <v>329</v>
      </c>
      <c r="AG10" s="1" t="s">
        <v>330</v>
      </c>
      <c r="AH10" s="1" t="s">
        <v>331</v>
      </c>
      <c r="AI10" s="1" t="s">
        <v>332</v>
      </c>
      <c r="AJ10" s="1">
        <v>69.82</v>
      </c>
      <c r="AK10" s="1"/>
      <c r="AL10" s="1"/>
      <c r="AM10" s="1"/>
      <c r="AN10" s="1"/>
      <c r="AO10" s="1"/>
      <c r="AP10" s="1"/>
      <c r="AQ10" s="1"/>
      <c r="AR10" s="1" t="s">
        <v>98</v>
      </c>
      <c r="AS10" s="1" t="s">
        <v>333</v>
      </c>
      <c r="AT10" s="1" t="s">
        <v>334</v>
      </c>
      <c r="AU10" s="1" t="s">
        <v>161</v>
      </c>
      <c r="AV10" s="1">
        <v>60.68</v>
      </c>
      <c r="AW10" s="1"/>
      <c r="AX10" s="1" t="s">
        <v>335</v>
      </c>
      <c r="AY10" s="1" t="s">
        <v>336</v>
      </c>
      <c r="AZ10" s="1" t="s">
        <v>337</v>
      </c>
      <c r="BA10" s="1" t="s">
        <v>228</v>
      </c>
      <c r="BB10" s="1">
        <v>84.88</v>
      </c>
      <c r="BC10" s="1"/>
      <c r="BD10" s="1"/>
      <c r="BE10" s="1"/>
      <c r="BF10" s="1"/>
      <c r="BG10" s="1"/>
      <c r="BH10" s="1"/>
      <c r="BI10" s="1"/>
      <c r="BJ10" s="1" t="s">
        <v>338</v>
      </c>
      <c r="BK10" s="1" t="s">
        <v>339</v>
      </c>
      <c r="BL10" s="1" t="s">
        <v>340</v>
      </c>
      <c r="BM10" s="1" t="s">
        <v>341</v>
      </c>
      <c r="BN10" s="1">
        <v>8</v>
      </c>
      <c r="BO10" s="1"/>
      <c r="BP10" s="1" t="str">
        <f>HYPERLINK("https://nconnect.nicmar.ac.in/storage/profile/6a1c1d386b69b.png","Download")</f>
        <v>0</v>
      </c>
      <c r="BQ10" s="3"/>
      <c r="BR10" s="3"/>
    </row>
    <row r="11" spans="1:70">
      <c r="A11" s="1" t="s">
        <v>70</v>
      </c>
      <c r="B11" s="1" t="s">
        <v>71</v>
      </c>
      <c r="C11" s="1" t="s">
        <v>342</v>
      </c>
      <c r="D11" s="1" t="s">
        <v>343</v>
      </c>
      <c r="E11" s="1" t="s">
        <v>344</v>
      </c>
      <c r="F11" s="1" t="s">
        <v>345</v>
      </c>
      <c r="G11" s="1" t="s">
        <v>346</v>
      </c>
      <c r="H11" s="1" t="s">
        <v>347</v>
      </c>
      <c r="I11" s="1" t="s">
        <v>348</v>
      </c>
      <c r="J11" s="1">
        <v>9156060835</v>
      </c>
      <c r="K11" s="1" t="s">
        <v>79</v>
      </c>
      <c r="L11" s="1" t="s">
        <v>349</v>
      </c>
      <c r="M11" s="1" t="s">
        <v>81</v>
      </c>
      <c r="N11" s="1" t="s">
        <v>350</v>
      </c>
      <c r="O11" s="1" t="s">
        <v>152</v>
      </c>
      <c r="P11" s="1" t="s">
        <v>351</v>
      </c>
      <c r="Q11" s="1" t="s">
        <v>352</v>
      </c>
      <c r="R11" s="1" t="s">
        <v>344</v>
      </c>
      <c r="S11" s="1">
        <v>9766563605</v>
      </c>
      <c r="T11" s="1" t="s">
        <v>154</v>
      </c>
      <c r="U11" s="1" t="s">
        <v>353</v>
      </c>
      <c r="V11" s="1">
        <v>8308962991</v>
      </c>
      <c r="W11" s="1" t="s">
        <v>156</v>
      </c>
      <c r="X11" s="1" t="s">
        <v>354</v>
      </c>
      <c r="Y11" s="1" t="s">
        <v>158</v>
      </c>
      <c r="Z11" s="1" t="s">
        <v>92</v>
      </c>
      <c r="AA11" s="1" t="s">
        <v>354</v>
      </c>
      <c r="AB11" s="1" t="s">
        <v>158</v>
      </c>
      <c r="AC11" s="1" t="s">
        <v>92</v>
      </c>
      <c r="AD11" s="1" t="s">
        <v>93</v>
      </c>
      <c r="AE11" s="1" t="s">
        <v>93</v>
      </c>
      <c r="AF11" s="1" t="s">
        <v>355</v>
      </c>
      <c r="AG11" s="1" t="s">
        <v>356</v>
      </c>
      <c r="AH11" s="1" t="s">
        <v>165</v>
      </c>
      <c r="AI11" s="1" t="s">
        <v>281</v>
      </c>
      <c r="AJ11" s="1">
        <v>86.0</v>
      </c>
      <c r="AK11" s="1"/>
      <c r="AL11" s="1" t="s">
        <v>357</v>
      </c>
      <c r="AM11" s="1" t="s">
        <v>358</v>
      </c>
      <c r="AN11" s="1" t="s">
        <v>359</v>
      </c>
      <c r="AO11" s="1" t="s">
        <v>360</v>
      </c>
      <c r="AP11" s="1">
        <v>78.77</v>
      </c>
      <c r="AQ11" s="1"/>
      <c r="AR11" s="1"/>
      <c r="AS11" s="1"/>
      <c r="AT11" s="1"/>
      <c r="AU11" s="1"/>
      <c r="AV11" s="1"/>
      <c r="AW11" s="1"/>
      <c r="AX11" s="1" t="s">
        <v>361</v>
      </c>
      <c r="AY11" s="1" t="s">
        <v>362</v>
      </c>
      <c r="AZ11" s="1" t="s">
        <v>363</v>
      </c>
      <c r="BA11" s="1" t="s">
        <v>202</v>
      </c>
      <c r="BB11" s="1">
        <v>63.7</v>
      </c>
      <c r="BC11" s="1">
        <v>7.12</v>
      </c>
      <c r="BD11" s="1"/>
      <c r="BE11" s="1"/>
      <c r="BF11" s="1"/>
      <c r="BG11" s="1"/>
      <c r="BH11" s="1"/>
      <c r="BI11" s="1"/>
      <c r="BJ11" s="1" t="s">
        <v>364</v>
      </c>
      <c r="BK11" s="1"/>
      <c r="BL11" s="1"/>
      <c r="BM11" s="1" t="s">
        <v>365</v>
      </c>
      <c r="BN11" s="1">
        <v>8</v>
      </c>
      <c r="BO11" s="1"/>
      <c r="BP11" s="1" t="str">
        <f>HYPERLINK("https://nconnect.nicmar.ac.in/storage/profile/6a1c40dde72e1.png","Download")</f>
        <v>0</v>
      </c>
      <c r="BQ11" s="3"/>
      <c r="BR11" s="3"/>
    </row>
    <row r="12" spans="1:70">
      <c r="A12" s="1" t="s">
        <v>70</v>
      </c>
      <c r="B12" s="1" t="s">
        <v>71</v>
      </c>
      <c r="C12" s="1" t="s">
        <v>366</v>
      </c>
      <c r="D12" s="1" t="s">
        <v>367</v>
      </c>
      <c r="E12" s="1" t="s">
        <v>368</v>
      </c>
      <c r="F12" s="1" t="s">
        <v>369</v>
      </c>
      <c r="G12" s="1" t="s">
        <v>370</v>
      </c>
      <c r="H12" s="1" t="s">
        <v>371</v>
      </c>
      <c r="I12" s="1" t="s">
        <v>372</v>
      </c>
      <c r="J12" s="1">
        <v>8830517806</v>
      </c>
      <c r="K12" s="1" t="s">
        <v>79</v>
      </c>
      <c r="L12" s="1" t="s">
        <v>373</v>
      </c>
      <c r="M12" s="1" t="s">
        <v>81</v>
      </c>
      <c r="N12" s="1" t="s">
        <v>374</v>
      </c>
      <c r="O12" s="1" t="s">
        <v>375</v>
      </c>
      <c r="P12" s="1" t="s">
        <v>117</v>
      </c>
      <c r="Q12" s="1" t="s">
        <v>376</v>
      </c>
      <c r="R12" s="1" t="s">
        <v>368</v>
      </c>
      <c r="S12" s="1">
        <v>8208685186</v>
      </c>
      <c r="T12" s="1" t="s">
        <v>377</v>
      </c>
      <c r="U12" s="1" t="s">
        <v>217</v>
      </c>
      <c r="V12" s="1">
        <v>9767132068</v>
      </c>
      <c r="W12" s="1" t="s">
        <v>273</v>
      </c>
      <c r="X12" s="1" t="s">
        <v>378</v>
      </c>
      <c r="Y12" s="1" t="s">
        <v>379</v>
      </c>
      <c r="Z12" s="1" t="s">
        <v>92</v>
      </c>
      <c r="AA12" s="1" t="s">
        <v>378</v>
      </c>
      <c r="AB12" s="1" t="s">
        <v>379</v>
      </c>
      <c r="AC12" s="1" t="s">
        <v>92</v>
      </c>
      <c r="AD12" s="1" t="s">
        <v>93</v>
      </c>
      <c r="AE12" s="1" t="s">
        <v>93</v>
      </c>
      <c r="AF12" s="1" t="s">
        <v>380</v>
      </c>
      <c r="AG12" s="1" t="s">
        <v>381</v>
      </c>
      <c r="AH12" s="1" t="s">
        <v>162</v>
      </c>
      <c r="AI12" s="1" t="s">
        <v>165</v>
      </c>
      <c r="AJ12" s="1">
        <v>68.6</v>
      </c>
      <c r="AK12" s="1">
        <v>7.6</v>
      </c>
      <c r="AL12" s="1"/>
      <c r="AM12" s="1"/>
      <c r="AN12" s="1"/>
      <c r="AO12" s="1"/>
      <c r="AP12" s="1"/>
      <c r="AQ12" s="1"/>
      <c r="AR12" s="1" t="s">
        <v>223</v>
      </c>
      <c r="AS12" s="1" t="s">
        <v>382</v>
      </c>
      <c r="AT12" s="1" t="s">
        <v>383</v>
      </c>
      <c r="AU12" s="1" t="s">
        <v>173</v>
      </c>
      <c r="AV12" s="1">
        <v>85.32</v>
      </c>
      <c r="AW12" s="1"/>
      <c r="AX12" s="1" t="s">
        <v>384</v>
      </c>
      <c r="AY12" s="1" t="s">
        <v>385</v>
      </c>
      <c r="AZ12" s="1" t="s">
        <v>173</v>
      </c>
      <c r="BA12" s="1" t="s">
        <v>386</v>
      </c>
      <c r="BB12" s="1">
        <v>78.3</v>
      </c>
      <c r="BC12" s="1">
        <v>8.33</v>
      </c>
      <c r="BD12" s="1"/>
      <c r="BE12" s="1"/>
      <c r="BF12" s="1"/>
      <c r="BG12" s="1"/>
      <c r="BH12" s="1"/>
      <c r="BI12" s="1"/>
      <c r="BJ12" s="1" t="s">
        <v>387</v>
      </c>
      <c r="BK12" s="1"/>
      <c r="BL12" s="1"/>
      <c r="BM12" s="1" t="s">
        <v>388</v>
      </c>
      <c r="BN12" s="1">
        <v>60</v>
      </c>
      <c r="BO12" s="1" t="s">
        <v>389</v>
      </c>
      <c r="BP12" s="1" t="str">
        <f>HYPERLINK("https://nconnect.nicmar.ac.in/storage/profile/6a1c46dc90bab.png","Download")</f>
        <v>0</v>
      </c>
      <c r="BQ12" s="3"/>
      <c r="BR12" s="3"/>
    </row>
    <row r="13" spans="1:70">
      <c r="A13" s="1" t="s">
        <v>70</v>
      </c>
      <c r="B13" s="1" t="s">
        <v>71</v>
      </c>
      <c r="C13" s="1" t="s">
        <v>390</v>
      </c>
      <c r="D13" s="1" t="s">
        <v>391</v>
      </c>
      <c r="E13" s="1" t="s">
        <v>392</v>
      </c>
      <c r="F13" s="1" t="s">
        <v>393</v>
      </c>
      <c r="G13" s="1" t="s">
        <v>394</v>
      </c>
      <c r="H13" s="1" t="s">
        <v>395</v>
      </c>
      <c r="I13" s="1" t="s">
        <v>396</v>
      </c>
      <c r="J13" s="1">
        <v>8237843172</v>
      </c>
      <c r="K13" s="1" t="s">
        <v>79</v>
      </c>
      <c r="L13" s="1" t="s">
        <v>397</v>
      </c>
      <c r="M13" s="1" t="s">
        <v>81</v>
      </c>
      <c r="N13" s="1" t="s">
        <v>398</v>
      </c>
      <c r="O13" s="1" t="s">
        <v>399</v>
      </c>
      <c r="P13" s="1" t="s">
        <v>84</v>
      </c>
      <c r="Q13" s="1" t="s">
        <v>400</v>
      </c>
      <c r="R13" s="1" t="s">
        <v>401</v>
      </c>
      <c r="S13" s="1">
        <v>9822204403</v>
      </c>
      <c r="T13" s="1" t="s">
        <v>402</v>
      </c>
      <c r="U13" s="1" t="s">
        <v>403</v>
      </c>
      <c r="V13" s="1">
        <v>9822429888</v>
      </c>
      <c r="W13" s="1" t="s">
        <v>156</v>
      </c>
      <c r="X13" s="1" t="s">
        <v>404</v>
      </c>
      <c r="Y13" s="1" t="s">
        <v>405</v>
      </c>
      <c r="Z13" s="1" t="s">
        <v>92</v>
      </c>
      <c r="AA13" s="1" t="s">
        <v>404</v>
      </c>
      <c r="AB13" s="1" t="s">
        <v>405</v>
      </c>
      <c r="AC13" s="1" t="s">
        <v>92</v>
      </c>
      <c r="AD13" s="1" t="s">
        <v>93</v>
      </c>
      <c r="AE13" s="1" t="s">
        <v>93</v>
      </c>
      <c r="AF13" s="1" t="s">
        <v>406</v>
      </c>
      <c r="AG13" s="1" t="s">
        <v>407</v>
      </c>
      <c r="AH13" s="1" t="s">
        <v>195</v>
      </c>
      <c r="AI13" s="1" t="s">
        <v>281</v>
      </c>
      <c r="AJ13" s="1">
        <v>74.8</v>
      </c>
      <c r="AK13" s="1"/>
      <c r="AL13" s="1" t="s">
        <v>408</v>
      </c>
      <c r="AM13" s="1" t="s">
        <v>407</v>
      </c>
      <c r="AN13" s="1" t="s">
        <v>409</v>
      </c>
      <c r="AO13" s="1" t="s">
        <v>360</v>
      </c>
      <c r="AP13" s="1">
        <v>71.8</v>
      </c>
      <c r="AQ13" s="1"/>
      <c r="AR13" s="1"/>
      <c r="AS13" s="1"/>
      <c r="AT13" s="1"/>
      <c r="AU13" s="1"/>
      <c r="AV13" s="1"/>
      <c r="AW13" s="1"/>
      <c r="AX13" s="1" t="s">
        <v>410</v>
      </c>
      <c r="AY13" s="1" t="s">
        <v>411</v>
      </c>
      <c r="AZ13" s="1" t="s">
        <v>412</v>
      </c>
      <c r="BA13" s="1" t="s">
        <v>413</v>
      </c>
      <c r="BB13" s="1">
        <v>64.4</v>
      </c>
      <c r="BC13" s="1">
        <v>7.19</v>
      </c>
      <c r="BD13" s="1"/>
      <c r="BE13" s="1"/>
      <c r="BF13" s="1"/>
      <c r="BG13" s="1"/>
      <c r="BH13" s="1"/>
      <c r="BI13" s="1"/>
      <c r="BJ13" s="1" t="s">
        <v>414</v>
      </c>
      <c r="BK13" s="1"/>
      <c r="BL13" s="1"/>
      <c r="BM13" s="1" t="s">
        <v>415</v>
      </c>
      <c r="BN13" s="1">
        <v>24</v>
      </c>
      <c r="BO13" s="1"/>
      <c r="BP13" s="1" t="str">
        <f>HYPERLINK("https://nconnect.nicmar.ac.in/storage/profile/6a1c4c4fce923.png","Download")</f>
        <v>0</v>
      </c>
      <c r="BQ13" s="3"/>
      <c r="BR13" s="3"/>
    </row>
    <row r="14" spans="1:70">
      <c r="A14" s="1" t="s">
        <v>70</v>
      </c>
      <c r="B14" s="1" t="s">
        <v>71</v>
      </c>
      <c r="C14" s="1" t="s">
        <v>416</v>
      </c>
      <c r="D14" s="1" t="s">
        <v>417</v>
      </c>
      <c r="E14" s="1" t="s">
        <v>418</v>
      </c>
      <c r="F14" s="1" t="s">
        <v>419</v>
      </c>
      <c r="G14" s="1" t="s">
        <v>420</v>
      </c>
      <c r="H14" s="1" t="s">
        <v>421</v>
      </c>
      <c r="I14" s="1" t="s">
        <v>422</v>
      </c>
      <c r="J14" s="1">
        <v>9422720171</v>
      </c>
      <c r="K14" s="1" t="s">
        <v>148</v>
      </c>
      <c r="L14" s="1" t="s">
        <v>423</v>
      </c>
      <c r="M14" s="1" t="s">
        <v>81</v>
      </c>
      <c r="N14" s="1" t="s">
        <v>151</v>
      </c>
      <c r="O14" s="1" t="s">
        <v>424</v>
      </c>
      <c r="P14" s="1" t="s">
        <v>117</v>
      </c>
      <c r="Q14" s="1" t="s">
        <v>425</v>
      </c>
      <c r="R14" s="1" t="s">
        <v>426</v>
      </c>
      <c r="S14" s="1">
        <v>9404623871</v>
      </c>
      <c r="T14" s="1" t="s">
        <v>122</v>
      </c>
      <c r="U14" s="1" t="s">
        <v>427</v>
      </c>
      <c r="V14" s="1">
        <v>7972398377</v>
      </c>
      <c r="W14" s="1" t="s">
        <v>273</v>
      </c>
      <c r="X14" s="1" t="s">
        <v>428</v>
      </c>
      <c r="Y14" s="1" t="s">
        <v>429</v>
      </c>
      <c r="Z14" s="1" t="s">
        <v>92</v>
      </c>
      <c r="AA14" s="1" t="s">
        <v>428</v>
      </c>
      <c r="AB14" s="1" t="s">
        <v>429</v>
      </c>
      <c r="AC14" s="1" t="s">
        <v>92</v>
      </c>
      <c r="AD14" s="1" t="s">
        <v>93</v>
      </c>
      <c r="AE14" s="1" t="s">
        <v>93</v>
      </c>
      <c r="AF14" s="1" t="s">
        <v>430</v>
      </c>
      <c r="AG14" s="1" t="s">
        <v>431</v>
      </c>
      <c r="AH14" s="1" t="s">
        <v>162</v>
      </c>
      <c r="AI14" s="1" t="s">
        <v>165</v>
      </c>
      <c r="AJ14" s="1">
        <v>64.4</v>
      </c>
      <c r="AK14" s="1"/>
      <c r="AL14" s="1" t="s">
        <v>432</v>
      </c>
      <c r="AM14" s="1" t="s">
        <v>431</v>
      </c>
      <c r="AN14" s="1" t="s">
        <v>101</v>
      </c>
      <c r="AO14" s="1" t="s">
        <v>433</v>
      </c>
      <c r="AP14" s="1">
        <v>48.62</v>
      </c>
      <c r="AQ14" s="1"/>
      <c r="AR14" s="1" t="s">
        <v>434</v>
      </c>
      <c r="AS14" s="1" t="s">
        <v>435</v>
      </c>
      <c r="AT14" s="1" t="s">
        <v>310</v>
      </c>
      <c r="AU14" s="1" t="s">
        <v>436</v>
      </c>
      <c r="AV14" s="1">
        <v>91.42</v>
      </c>
      <c r="AW14" s="1"/>
      <c r="AX14" s="1" t="s">
        <v>437</v>
      </c>
      <c r="AY14" s="1" t="s">
        <v>438</v>
      </c>
      <c r="AZ14" s="1" t="s">
        <v>436</v>
      </c>
      <c r="BA14" s="1" t="s">
        <v>202</v>
      </c>
      <c r="BB14" s="1">
        <v>72.8</v>
      </c>
      <c r="BC14" s="1">
        <v>8.58</v>
      </c>
      <c r="BD14" s="1"/>
      <c r="BE14" s="1"/>
      <c r="BF14" s="1"/>
      <c r="BG14" s="1"/>
      <c r="BH14" s="1"/>
      <c r="BI14" s="1"/>
      <c r="BJ14" s="1" t="s">
        <v>439</v>
      </c>
      <c r="BK14" s="1"/>
      <c r="BL14" s="1"/>
      <c r="BM14" s="1" t="s">
        <v>440</v>
      </c>
      <c r="BN14" s="1">
        <v>10</v>
      </c>
      <c r="BO14" s="1"/>
      <c r="BP14" s="1" t="str">
        <f>HYPERLINK("https://nconnect.nicmar.ac.in/storage/profile/6a1c4ef70c260.png","Download")</f>
        <v>0</v>
      </c>
      <c r="BQ14" s="3"/>
      <c r="BR14" s="3"/>
    </row>
    <row r="15" spans="1:70">
      <c r="A15" s="1" t="s">
        <v>441</v>
      </c>
      <c r="B15" s="1" t="s">
        <v>71</v>
      </c>
      <c r="C15" s="1" t="s">
        <v>442</v>
      </c>
      <c r="D15" s="1" t="s">
        <v>443</v>
      </c>
      <c r="E15" s="1" t="s">
        <v>444</v>
      </c>
      <c r="F15" s="1" t="s">
        <v>445</v>
      </c>
      <c r="G15" s="1" t="s">
        <v>446</v>
      </c>
      <c r="H15" s="1" t="s">
        <v>447</v>
      </c>
      <c r="I15" s="1" t="s">
        <v>447</v>
      </c>
      <c r="J15" s="1">
        <v>9607410688</v>
      </c>
      <c r="K15" s="1" t="s">
        <v>79</v>
      </c>
      <c r="L15" s="1" t="s">
        <v>448</v>
      </c>
      <c r="M15" s="1" t="s">
        <v>81</v>
      </c>
      <c r="N15" s="1" t="s">
        <v>449</v>
      </c>
      <c r="O15" s="1" t="s">
        <v>152</v>
      </c>
      <c r="P15" s="1" t="s">
        <v>214</v>
      </c>
      <c r="Q15" s="1" t="s">
        <v>450</v>
      </c>
      <c r="R15" s="1" t="s">
        <v>451</v>
      </c>
      <c r="S15" s="1">
        <v>9405867527</v>
      </c>
      <c r="T15" s="1" t="s">
        <v>377</v>
      </c>
      <c r="U15" s="1" t="s">
        <v>452</v>
      </c>
      <c r="V15" s="1">
        <v>7038241116</v>
      </c>
      <c r="W15" s="1" t="s">
        <v>156</v>
      </c>
      <c r="X15" s="1" t="s">
        <v>453</v>
      </c>
      <c r="Y15" s="1" t="s">
        <v>191</v>
      </c>
      <c r="Z15" s="1" t="s">
        <v>92</v>
      </c>
      <c r="AA15" s="1" t="s">
        <v>453</v>
      </c>
      <c r="AB15" s="1" t="s">
        <v>191</v>
      </c>
      <c r="AC15" s="1" t="s">
        <v>92</v>
      </c>
      <c r="AD15" s="1" t="s">
        <v>93</v>
      </c>
      <c r="AE15" s="1" t="s">
        <v>93</v>
      </c>
      <c r="AF15" s="1" t="s">
        <v>454</v>
      </c>
      <c r="AG15" s="1" t="s">
        <v>455</v>
      </c>
      <c r="AH15" s="1" t="s">
        <v>161</v>
      </c>
      <c r="AI15" s="1" t="s">
        <v>456</v>
      </c>
      <c r="AJ15" s="1">
        <v>62.8</v>
      </c>
      <c r="AK15" s="1"/>
      <c r="AL15" s="1" t="s">
        <v>454</v>
      </c>
      <c r="AM15" s="1" t="s">
        <v>455</v>
      </c>
      <c r="AN15" s="1" t="s">
        <v>165</v>
      </c>
      <c r="AO15" s="1" t="s">
        <v>457</v>
      </c>
      <c r="AP15" s="1">
        <v>57.23</v>
      </c>
      <c r="AQ15" s="1"/>
      <c r="AR15" s="1"/>
      <c r="AS15" s="1"/>
      <c r="AT15" s="1"/>
      <c r="AU15" s="1"/>
      <c r="AV15" s="1"/>
      <c r="AW15" s="1"/>
      <c r="AX15" s="1" t="s">
        <v>361</v>
      </c>
      <c r="AY15" s="1" t="s">
        <v>458</v>
      </c>
      <c r="AZ15" s="1" t="s">
        <v>101</v>
      </c>
      <c r="BA15" s="1" t="s">
        <v>174</v>
      </c>
      <c r="BB15" s="1">
        <v>65.8</v>
      </c>
      <c r="BC15" s="1">
        <v>7.33</v>
      </c>
      <c r="BD15" s="1"/>
      <c r="BE15" s="1"/>
      <c r="BF15" s="1"/>
      <c r="BG15" s="1"/>
      <c r="BH15" s="1"/>
      <c r="BI15" s="1"/>
      <c r="BJ15" s="1" t="s">
        <v>459</v>
      </c>
      <c r="BK15" s="1"/>
      <c r="BL15" s="1"/>
      <c r="BM15" s="1" t="s">
        <v>460</v>
      </c>
      <c r="BN15" s="1">
        <v>29</v>
      </c>
      <c r="BO15" s="1" t="s">
        <v>461</v>
      </c>
      <c r="BP15" s="1" t="str">
        <f>HYPERLINK("https://nconnect.nicmar.ac.in/storage/profile/6a1eab79188f8.png","Download")</f>
        <v>0</v>
      </c>
      <c r="BQ15" s="3"/>
      <c r="BR15" s="3"/>
    </row>
    <row r="16" spans="1:70">
      <c r="A16" s="1" t="s">
        <v>441</v>
      </c>
      <c r="B16" s="1" t="s">
        <v>71</v>
      </c>
      <c r="C16" s="1" t="s">
        <v>462</v>
      </c>
      <c r="D16" s="1" t="s">
        <v>463</v>
      </c>
      <c r="E16" s="1" t="s">
        <v>464</v>
      </c>
      <c r="F16" s="1" t="s">
        <v>465</v>
      </c>
      <c r="G16" s="1" t="s">
        <v>466</v>
      </c>
      <c r="H16" s="1" t="s">
        <v>467</v>
      </c>
      <c r="I16" s="1" t="s">
        <v>467</v>
      </c>
      <c r="J16" s="1">
        <v>9284429255</v>
      </c>
      <c r="K16" s="1" t="s">
        <v>148</v>
      </c>
      <c r="L16" s="1" t="s">
        <v>468</v>
      </c>
      <c r="M16" s="1" t="s">
        <v>81</v>
      </c>
      <c r="N16" s="1" t="s">
        <v>469</v>
      </c>
      <c r="O16" s="1" t="s">
        <v>83</v>
      </c>
      <c r="P16" s="1" t="s">
        <v>214</v>
      </c>
      <c r="Q16" s="1" t="s">
        <v>470</v>
      </c>
      <c r="R16" s="1" t="s">
        <v>471</v>
      </c>
      <c r="S16" s="1">
        <v>9552573223</v>
      </c>
      <c r="T16" s="1" t="s">
        <v>472</v>
      </c>
      <c r="U16" s="1" t="s">
        <v>473</v>
      </c>
      <c r="V16" s="1">
        <v>9284980617</v>
      </c>
      <c r="W16" s="1" t="s">
        <v>156</v>
      </c>
      <c r="X16" s="1" t="s">
        <v>474</v>
      </c>
      <c r="Y16" s="1" t="s">
        <v>191</v>
      </c>
      <c r="Z16" s="1" t="s">
        <v>92</v>
      </c>
      <c r="AA16" s="1" t="s">
        <v>474</v>
      </c>
      <c r="AB16" s="1" t="s">
        <v>191</v>
      </c>
      <c r="AC16" s="1" t="s">
        <v>92</v>
      </c>
      <c r="AD16" s="1" t="s">
        <v>93</v>
      </c>
      <c r="AE16" s="1" t="s">
        <v>93</v>
      </c>
      <c r="AF16" s="1" t="s">
        <v>475</v>
      </c>
      <c r="AG16" s="1" t="s">
        <v>476</v>
      </c>
      <c r="AH16" s="1" t="s">
        <v>477</v>
      </c>
      <c r="AI16" s="1" t="s">
        <v>161</v>
      </c>
      <c r="AJ16" s="1">
        <v>89.2</v>
      </c>
      <c r="AK16" s="1">
        <v>9.38</v>
      </c>
      <c r="AL16" s="1" t="s">
        <v>478</v>
      </c>
      <c r="AM16" s="1" t="s">
        <v>476</v>
      </c>
      <c r="AN16" s="1" t="s">
        <v>279</v>
      </c>
      <c r="AO16" s="1" t="s">
        <v>479</v>
      </c>
      <c r="AP16" s="1">
        <v>78.46</v>
      </c>
      <c r="AQ16" s="1">
        <v>8.25</v>
      </c>
      <c r="AR16" s="1"/>
      <c r="AS16" s="1"/>
      <c r="AT16" s="1"/>
      <c r="AU16" s="1"/>
      <c r="AV16" s="1"/>
      <c r="AW16" s="1"/>
      <c r="AX16" s="1" t="s">
        <v>480</v>
      </c>
      <c r="AY16" s="1" t="s">
        <v>361</v>
      </c>
      <c r="AZ16" s="1" t="s">
        <v>225</v>
      </c>
      <c r="BA16" s="1" t="s">
        <v>481</v>
      </c>
      <c r="BB16" s="1">
        <v>80.36</v>
      </c>
      <c r="BC16" s="1">
        <v>8.78</v>
      </c>
      <c r="BD16" s="1"/>
      <c r="BE16" s="1"/>
      <c r="BF16" s="1"/>
      <c r="BG16" s="1"/>
      <c r="BH16" s="1"/>
      <c r="BI16" s="1"/>
      <c r="BJ16" s="1" t="s">
        <v>482</v>
      </c>
      <c r="BK16" s="1" t="s">
        <v>483</v>
      </c>
      <c r="BL16" s="1" t="s">
        <v>484</v>
      </c>
      <c r="BM16" s="1" t="s">
        <v>485</v>
      </c>
      <c r="BN16" s="1">
        <v>58</v>
      </c>
      <c r="BO16" s="1" t="s">
        <v>486</v>
      </c>
      <c r="BP16" s="1" t="str">
        <f>HYPERLINK("https://nconnect.nicmar.ac.in/storage/profile/6a1eba10eb6f1.png","Download")</f>
        <v>0</v>
      </c>
      <c r="BQ16" s="3"/>
      <c r="BR16" s="3"/>
    </row>
    <row r="17" spans="1:70">
      <c r="A17" s="1" t="s">
        <v>441</v>
      </c>
      <c r="B17" s="1" t="s">
        <v>71</v>
      </c>
      <c r="C17" s="1" t="s">
        <v>487</v>
      </c>
      <c r="D17" s="1" t="s">
        <v>488</v>
      </c>
      <c r="E17" s="1"/>
      <c r="F17" s="1" t="s">
        <v>489</v>
      </c>
      <c r="G17" s="1" t="s">
        <v>490</v>
      </c>
      <c r="H17" s="1" t="s">
        <v>491</v>
      </c>
      <c r="I17" s="1" t="s">
        <v>491</v>
      </c>
      <c r="J17" s="1">
        <v>9689474909</v>
      </c>
      <c r="K17" s="1" t="s">
        <v>79</v>
      </c>
      <c r="L17" s="1" t="s">
        <v>492</v>
      </c>
      <c r="M17" s="1" t="s">
        <v>81</v>
      </c>
      <c r="N17" s="1" t="s">
        <v>493</v>
      </c>
      <c r="O17" s="1" t="s">
        <v>83</v>
      </c>
      <c r="P17" s="1" t="s">
        <v>214</v>
      </c>
      <c r="Q17" s="1" t="s">
        <v>494</v>
      </c>
      <c r="R17" s="1" t="s">
        <v>495</v>
      </c>
      <c r="S17" s="1">
        <v>8796137585</v>
      </c>
      <c r="T17" s="1" t="s">
        <v>496</v>
      </c>
      <c r="U17" s="1" t="s">
        <v>497</v>
      </c>
      <c r="V17" s="1">
        <v>7350585979</v>
      </c>
      <c r="W17" s="1" t="s">
        <v>156</v>
      </c>
      <c r="X17" s="1" t="s">
        <v>498</v>
      </c>
      <c r="Y17" s="1" t="s">
        <v>499</v>
      </c>
      <c r="Z17" s="1" t="s">
        <v>500</v>
      </c>
      <c r="AA17" s="1" t="s">
        <v>498</v>
      </c>
      <c r="AB17" s="1" t="s">
        <v>499</v>
      </c>
      <c r="AC17" s="1" t="s">
        <v>500</v>
      </c>
      <c r="AD17" s="1" t="s">
        <v>93</v>
      </c>
      <c r="AE17" s="1" t="s">
        <v>93</v>
      </c>
      <c r="AF17" s="1" t="s">
        <v>501</v>
      </c>
      <c r="AG17" s="1" t="s">
        <v>502</v>
      </c>
      <c r="AH17" s="1" t="s">
        <v>503</v>
      </c>
      <c r="AI17" s="1" t="s">
        <v>456</v>
      </c>
      <c r="AJ17" s="1">
        <v>68.4</v>
      </c>
      <c r="AK17" s="1">
        <v>7.2</v>
      </c>
      <c r="AL17" s="1" t="s">
        <v>93</v>
      </c>
      <c r="AM17" s="1" t="s">
        <v>502</v>
      </c>
      <c r="AN17" s="1" t="s">
        <v>310</v>
      </c>
      <c r="AO17" s="1" t="s">
        <v>504</v>
      </c>
      <c r="AP17" s="1">
        <v>53.2</v>
      </c>
      <c r="AQ17" s="1"/>
      <c r="AR17" s="1"/>
      <c r="AS17" s="1"/>
      <c r="AT17" s="1"/>
      <c r="AU17" s="1"/>
      <c r="AV17" s="1"/>
      <c r="AW17" s="1"/>
      <c r="AX17" s="1" t="s">
        <v>505</v>
      </c>
      <c r="AY17" s="1" t="s">
        <v>502</v>
      </c>
      <c r="AZ17" s="1" t="s">
        <v>506</v>
      </c>
      <c r="BA17" s="1" t="s">
        <v>507</v>
      </c>
      <c r="BB17" s="1">
        <v>55</v>
      </c>
      <c r="BC17" s="1">
        <v>6.25</v>
      </c>
      <c r="BD17" s="1"/>
      <c r="BE17" s="1"/>
      <c r="BF17" s="1"/>
      <c r="BG17" s="1"/>
      <c r="BH17" s="1"/>
      <c r="BI17" s="1"/>
      <c r="BJ17" s="1" t="s">
        <v>508</v>
      </c>
      <c r="BK17" s="1"/>
      <c r="BL17" s="1"/>
      <c r="BM17" s="1" t="s">
        <v>509</v>
      </c>
      <c r="BN17" s="1">
        <v>23</v>
      </c>
      <c r="BO17" s="1" t="s">
        <v>510</v>
      </c>
      <c r="BP17" s="1" t="str">
        <f>HYPERLINK("https://nconnect.nicmar.ac.in/storage/profile/6a1fa4f8604ae.png","Download")</f>
        <v>0</v>
      </c>
      <c r="BQ17" s="3"/>
      <c r="BR17" s="3"/>
    </row>
    <row r="18" spans="1:70">
      <c r="A18" s="1" t="s">
        <v>441</v>
      </c>
      <c r="B18" s="1" t="s">
        <v>71</v>
      </c>
      <c r="C18" s="1" t="s">
        <v>511</v>
      </c>
      <c r="D18" s="1" t="s">
        <v>512</v>
      </c>
      <c r="E18" s="1" t="s">
        <v>513</v>
      </c>
      <c r="F18" s="1" t="s">
        <v>514</v>
      </c>
      <c r="G18" s="1" t="s">
        <v>515</v>
      </c>
      <c r="H18" s="1" t="s">
        <v>516</v>
      </c>
      <c r="I18" s="1" t="s">
        <v>516</v>
      </c>
      <c r="J18" s="1">
        <v>9373849785</v>
      </c>
      <c r="K18" s="1" t="s">
        <v>148</v>
      </c>
      <c r="L18" s="1" t="s">
        <v>517</v>
      </c>
      <c r="M18" s="1" t="s">
        <v>81</v>
      </c>
      <c r="N18" s="1" t="s">
        <v>493</v>
      </c>
      <c r="O18" s="1" t="s">
        <v>83</v>
      </c>
      <c r="P18" s="1" t="s">
        <v>117</v>
      </c>
      <c r="Q18" s="1" t="s">
        <v>518</v>
      </c>
      <c r="R18" s="1" t="s">
        <v>519</v>
      </c>
      <c r="S18" s="1">
        <v>9822870841</v>
      </c>
      <c r="T18" s="1" t="s">
        <v>520</v>
      </c>
      <c r="U18" s="1" t="s">
        <v>521</v>
      </c>
      <c r="V18" s="1">
        <v>9921868579</v>
      </c>
      <c r="W18" s="1" t="s">
        <v>156</v>
      </c>
      <c r="X18" s="1" t="s">
        <v>522</v>
      </c>
      <c r="Y18" s="1" t="s">
        <v>523</v>
      </c>
      <c r="Z18" s="1" t="s">
        <v>92</v>
      </c>
      <c r="AA18" s="1" t="s">
        <v>522</v>
      </c>
      <c r="AB18" s="1" t="s">
        <v>523</v>
      </c>
      <c r="AC18" s="1" t="s">
        <v>92</v>
      </c>
      <c r="AD18" s="1" t="s">
        <v>93</v>
      </c>
      <c r="AE18" s="1" t="s">
        <v>93</v>
      </c>
      <c r="AF18" s="1" t="s">
        <v>524</v>
      </c>
      <c r="AG18" s="1" t="s">
        <v>525</v>
      </c>
      <c r="AH18" s="1" t="s">
        <v>96</v>
      </c>
      <c r="AI18" s="1" t="s">
        <v>161</v>
      </c>
      <c r="AJ18" s="1">
        <v>77.2</v>
      </c>
      <c r="AK18" s="1"/>
      <c r="AL18" s="1" t="s">
        <v>526</v>
      </c>
      <c r="AM18" s="1" t="s">
        <v>476</v>
      </c>
      <c r="AN18" s="1" t="s">
        <v>527</v>
      </c>
      <c r="AO18" s="1" t="s">
        <v>479</v>
      </c>
      <c r="AP18" s="1">
        <v>59.38</v>
      </c>
      <c r="AQ18" s="1"/>
      <c r="AR18" s="1"/>
      <c r="AS18" s="1"/>
      <c r="AT18" s="1"/>
      <c r="AU18" s="1"/>
      <c r="AV18" s="1"/>
      <c r="AW18" s="1"/>
      <c r="AX18" s="1" t="s">
        <v>361</v>
      </c>
      <c r="AY18" s="1" t="s">
        <v>528</v>
      </c>
      <c r="AZ18" s="1" t="s">
        <v>310</v>
      </c>
      <c r="BA18" s="1" t="s">
        <v>202</v>
      </c>
      <c r="BB18" s="1">
        <v>63.1</v>
      </c>
      <c r="BC18" s="1">
        <v>7.06</v>
      </c>
      <c r="BD18" s="1"/>
      <c r="BE18" s="1"/>
      <c r="BF18" s="1"/>
      <c r="BG18" s="1"/>
      <c r="BH18" s="1"/>
      <c r="BI18" s="1"/>
      <c r="BJ18" s="1" t="s">
        <v>529</v>
      </c>
      <c r="BK18" s="1"/>
      <c r="BL18" s="1"/>
      <c r="BM18" s="1" t="s">
        <v>530</v>
      </c>
      <c r="BN18" s="1">
        <v>26</v>
      </c>
      <c r="BO18" s="1" t="s">
        <v>531</v>
      </c>
      <c r="BP18" s="1" t="str">
        <f>HYPERLINK("https://nconnect.nicmar.ac.in/storage/profile/6a1fadfe61e9d.png","Download")</f>
        <v>0</v>
      </c>
      <c r="BQ18" s="3"/>
      <c r="BR18" s="3"/>
    </row>
    <row r="19" spans="1:70">
      <c r="A19" s="1" t="s">
        <v>441</v>
      </c>
      <c r="B19" s="1" t="s">
        <v>71</v>
      </c>
      <c r="C19" s="1" t="s">
        <v>532</v>
      </c>
      <c r="D19" s="1" t="s">
        <v>533</v>
      </c>
      <c r="E19" s="1" t="s">
        <v>208</v>
      </c>
      <c r="F19" s="1" t="s">
        <v>534</v>
      </c>
      <c r="G19" s="1" t="s">
        <v>535</v>
      </c>
      <c r="H19" s="1" t="s">
        <v>536</v>
      </c>
      <c r="I19" s="1" t="s">
        <v>536</v>
      </c>
      <c r="J19" s="1">
        <v>9146501657</v>
      </c>
      <c r="K19" s="1" t="s">
        <v>79</v>
      </c>
      <c r="L19" s="1" t="s">
        <v>537</v>
      </c>
      <c r="M19" s="1" t="s">
        <v>81</v>
      </c>
      <c r="N19" s="1" t="s">
        <v>538</v>
      </c>
      <c r="O19" s="1" t="s">
        <v>83</v>
      </c>
      <c r="P19" s="1" t="s">
        <v>214</v>
      </c>
      <c r="Q19" s="1" t="s">
        <v>539</v>
      </c>
      <c r="R19" s="1" t="s">
        <v>540</v>
      </c>
      <c r="S19" s="1">
        <v>9422804268</v>
      </c>
      <c r="T19" s="1" t="s">
        <v>496</v>
      </c>
      <c r="U19" s="1" t="s">
        <v>541</v>
      </c>
      <c r="V19" s="1">
        <v>9422230451</v>
      </c>
      <c r="W19" s="1" t="s">
        <v>89</v>
      </c>
      <c r="X19" s="1" t="s">
        <v>542</v>
      </c>
      <c r="Y19" s="1" t="s">
        <v>405</v>
      </c>
      <c r="Z19" s="1" t="s">
        <v>92</v>
      </c>
      <c r="AA19" s="1" t="s">
        <v>542</v>
      </c>
      <c r="AB19" s="1" t="s">
        <v>405</v>
      </c>
      <c r="AC19" s="1" t="s">
        <v>92</v>
      </c>
      <c r="AD19" s="1" t="s">
        <v>93</v>
      </c>
      <c r="AE19" s="1" t="s">
        <v>93</v>
      </c>
      <c r="AF19" s="1" t="s">
        <v>543</v>
      </c>
      <c r="AG19" s="1" t="s">
        <v>544</v>
      </c>
      <c r="AH19" s="1" t="s">
        <v>527</v>
      </c>
      <c r="AI19" s="1" t="s">
        <v>195</v>
      </c>
      <c r="AJ19" s="1">
        <v>88.2</v>
      </c>
      <c r="AK19" s="1"/>
      <c r="AL19" s="1"/>
      <c r="AM19" s="1"/>
      <c r="AN19" s="1"/>
      <c r="AO19" s="1"/>
      <c r="AP19" s="1"/>
      <c r="AQ19" s="1"/>
      <c r="AR19" s="1" t="s">
        <v>545</v>
      </c>
      <c r="AS19" s="1" t="s">
        <v>546</v>
      </c>
      <c r="AT19" s="1" t="s">
        <v>225</v>
      </c>
      <c r="AU19" s="1" t="s">
        <v>170</v>
      </c>
      <c r="AV19" s="1">
        <v>77.85</v>
      </c>
      <c r="AW19" s="1"/>
      <c r="AX19" s="1" t="s">
        <v>547</v>
      </c>
      <c r="AY19" s="1" t="s">
        <v>548</v>
      </c>
      <c r="AZ19" s="1" t="s">
        <v>363</v>
      </c>
      <c r="BA19" s="1" t="s">
        <v>549</v>
      </c>
      <c r="BB19" s="1">
        <v>57.2</v>
      </c>
      <c r="BC19" s="1">
        <v>6.47</v>
      </c>
      <c r="BD19" s="1"/>
      <c r="BE19" s="1"/>
      <c r="BF19" s="1"/>
      <c r="BG19" s="1"/>
      <c r="BH19" s="1"/>
      <c r="BI19" s="1"/>
      <c r="BJ19" s="1" t="s">
        <v>550</v>
      </c>
      <c r="BK19" s="1"/>
      <c r="BL19" s="1"/>
      <c r="BM19" s="1" t="s">
        <v>551</v>
      </c>
      <c r="BN19" s="1">
        <v>21</v>
      </c>
      <c r="BO19" s="1"/>
      <c r="BP19" s="1" t="str">
        <f>HYPERLINK("https://nconnect.nicmar.ac.in/storage/profile/6a1fc411369af.png","Download")</f>
        <v>0</v>
      </c>
      <c r="BQ19" s="3"/>
      <c r="BR19" s="3"/>
    </row>
    <row r="20" spans="1:70">
      <c r="A20" s="1" t="s">
        <v>552</v>
      </c>
      <c r="B20" s="1" t="s">
        <v>71</v>
      </c>
      <c r="C20" s="1" t="s">
        <v>553</v>
      </c>
      <c r="D20" s="1" t="s">
        <v>554</v>
      </c>
      <c r="E20" s="1" t="s">
        <v>555</v>
      </c>
      <c r="F20" s="1" t="s">
        <v>556</v>
      </c>
      <c r="G20" s="1" t="s">
        <v>557</v>
      </c>
      <c r="H20" s="1" t="s">
        <v>558</v>
      </c>
      <c r="I20" s="1" t="s">
        <v>559</v>
      </c>
      <c r="J20" s="1">
        <v>9359660562</v>
      </c>
      <c r="K20" s="1" t="s">
        <v>79</v>
      </c>
      <c r="L20" s="1" t="s">
        <v>560</v>
      </c>
      <c r="M20" s="1" t="s">
        <v>81</v>
      </c>
      <c r="N20" s="1" t="s">
        <v>151</v>
      </c>
      <c r="O20" s="1" t="s">
        <v>561</v>
      </c>
      <c r="P20" s="1" t="s">
        <v>84</v>
      </c>
      <c r="Q20" s="1" t="s">
        <v>562</v>
      </c>
      <c r="R20" s="1" t="s">
        <v>563</v>
      </c>
      <c r="S20" s="1">
        <v>7972815434</v>
      </c>
      <c r="T20" s="1" t="s">
        <v>564</v>
      </c>
      <c r="U20" s="1" t="s">
        <v>565</v>
      </c>
      <c r="V20" s="1">
        <v>7083865742</v>
      </c>
      <c r="W20" s="1" t="s">
        <v>156</v>
      </c>
      <c r="X20" s="1" t="s">
        <v>566</v>
      </c>
      <c r="Y20" s="1" t="s">
        <v>567</v>
      </c>
      <c r="Z20" s="1" t="s">
        <v>92</v>
      </c>
      <c r="AA20" s="1" t="s">
        <v>568</v>
      </c>
      <c r="AB20" s="1" t="s">
        <v>567</v>
      </c>
      <c r="AC20" s="1" t="s">
        <v>92</v>
      </c>
      <c r="AD20" s="1" t="s">
        <v>93</v>
      </c>
      <c r="AE20" s="1" t="s">
        <v>93</v>
      </c>
      <c r="AF20" s="1" t="s">
        <v>569</v>
      </c>
      <c r="AG20" s="1" t="s">
        <v>570</v>
      </c>
      <c r="AH20" s="1" t="s">
        <v>337</v>
      </c>
      <c r="AI20" s="1" t="s">
        <v>456</v>
      </c>
      <c r="AJ20" s="1">
        <v>84.4</v>
      </c>
      <c r="AK20" s="1"/>
      <c r="AL20" s="1" t="s">
        <v>571</v>
      </c>
      <c r="AM20" s="1" t="s">
        <v>572</v>
      </c>
      <c r="AN20" s="1" t="s">
        <v>225</v>
      </c>
      <c r="AO20" s="1" t="s">
        <v>101</v>
      </c>
      <c r="AP20" s="1">
        <v>64.77</v>
      </c>
      <c r="AQ20" s="1"/>
      <c r="AR20" s="1"/>
      <c r="AS20" s="1"/>
      <c r="AT20" s="1"/>
      <c r="AU20" s="1"/>
      <c r="AV20" s="1"/>
      <c r="AW20" s="1"/>
      <c r="AX20" s="1" t="s">
        <v>410</v>
      </c>
      <c r="AY20" s="1" t="s">
        <v>573</v>
      </c>
      <c r="AZ20" s="1" t="s">
        <v>574</v>
      </c>
      <c r="BA20" s="1" t="s">
        <v>575</v>
      </c>
      <c r="BB20" s="1">
        <v>81.2</v>
      </c>
      <c r="BC20" s="1">
        <v>8.87</v>
      </c>
      <c r="BD20" s="1"/>
      <c r="BE20" s="1"/>
      <c r="BF20" s="1"/>
      <c r="BG20" s="1"/>
      <c r="BH20" s="1"/>
      <c r="BI20" s="1"/>
      <c r="BJ20" s="1" t="s">
        <v>576</v>
      </c>
      <c r="BK20" s="1"/>
      <c r="BL20" s="1"/>
      <c r="BM20" s="1" t="s">
        <v>577</v>
      </c>
      <c r="BN20" s="1">
        <v>7</v>
      </c>
      <c r="BO20" s="1"/>
      <c r="BP20" s="1" t="str">
        <f>HYPERLINK("https://nconnect.nicmar.ac.in/storage/profile/6a1ff84bd9c64.png","Download")</f>
        <v>0</v>
      </c>
      <c r="BQ20" s="3"/>
      <c r="BR20" s="3"/>
    </row>
    <row r="21" spans="1:70">
      <c r="A21" s="1" t="s">
        <v>552</v>
      </c>
      <c r="B21" s="1" t="s">
        <v>71</v>
      </c>
      <c r="C21" s="1" t="s">
        <v>578</v>
      </c>
      <c r="D21" s="1" t="s">
        <v>579</v>
      </c>
      <c r="E21" s="1" t="s">
        <v>580</v>
      </c>
      <c r="F21" s="1" t="s">
        <v>181</v>
      </c>
      <c r="G21" s="1" t="s">
        <v>581</v>
      </c>
      <c r="H21" s="1" t="s">
        <v>582</v>
      </c>
      <c r="I21" s="1" t="s">
        <v>582</v>
      </c>
      <c r="J21" s="1">
        <v>7709412149</v>
      </c>
      <c r="K21" s="1" t="s">
        <v>79</v>
      </c>
      <c r="L21" s="1" t="s">
        <v>583</v>
      </c>
      <c r="M21" s="1" t="s">
        <v>81</v>
      </c>
      <c r="N21" s="1" t="s">
        <v>493</v>
      </c>
      <c r="O21" s="1" t="s">
        <v>83</v>
      </c>
      <c r="P21" s="1" t="s">
        <v>117</v>
      </c>
      <c r="Q21" s="1" t="s">
        <v>584</v>
      </c>
      <c r="R21" s="1" t="s">
        <v>181</v>
      </c>
      <c r="S21" s="1">
        <v>9421586137</v>
      </c>
      <c r="T21" s="1" t="s">
        <v>120</v>
      </c>
      <c r="U21" s="1" t="s">
        <v>301</v>
      </c>
      <c r="V21" s="1">
        <v>7756878059</v>
      </c>
      <c r="W21" s="1" t="s">
        <v>89</v>
      </c>
      <c r="X21" s="1" t="s">
        <v>585</v>
      </c>
      <c r="Y21" s="1" t="s">
        <v>158</v>
      </c>
      <c r="Z21" s="1" t="s">
        <v>92</v>
      </c>
      <c r="AA21" s="1" t="s">
        <v>585</v>
      </c>
      <c r="AB21" s="1" t="s">
        <v>158</v>
      </c>
      <c r="AC21" s="1" t="s">
        <v>92</v>
      </c>
      <c r="AD21" s="1" t="s">
        <v>93</v>
      </c>
      <c r="AE21" s="1" t="s">
        <v>93</v>
      </c>
      <c r="AF21" s="1" t="s">
        <v>586</v>
      </c>
      <c r="AG21" s="1" t="s">
        <v>587</v>
      </c>
      <c r="AH21" s="1" t="s">
        <v>165</v>
      </c>
      <c r="AI21" s="1" t="s">
        <v>281</v>
      </c>
      <c r="AJ21" s="1">
        <v>90.2</v>
      </c>
      <c r="AK21" s="1"/>
      <c r="AL21" s="1" t="s">
        <v>588</v>
      </c>
      <c r="AM21" s="1" t="s">
        <v>160</v>
      </c>
      <c r="AN21" s="1" t="s">
        <v>101</v>
      </c>
      <c r="AO21" s="1" t="s">
        <v>360</v>
      </c>
      <c r="AP21" s="1">
        <v>81.23</v>
      </c>
      <c r="AQ21" s="1"/>
      <c r="AR21" s="1"/>
      <c r="AS21" s="1"/>
      <c r="AT21" s="1"/>
      <c r="AU21" s="1"/>
      <c r="AV21" s="1"/>
      <c r="AW21" s="1"/>
      <c r="AX21" s="1" t="s">
        <v>361</v>
      </c>
      <c r="AY21" s="1" t="s">
        <v>589</v>
      </c>
      <c r="AZ21" s="1" t="s">
        <v>173</v>
      </c>
      <c r="BA21" s="1" t="s">
        <v>590</v>
      </c>
      <c r="BB21" s="1">
        <v>78.08</v>
      </c>
      <c r="BC21" s="1">
        <v>8.59</v>
      </c>
      <c r="BD21" s="1"/>
      <c r="BE21" s="1"/>
      <c r="BF21" s="1"/>
      <c r="BG21" s="1"/>
      <c r="BH21" s="1"/>
      <c r="BI21" s="1"/>
      <c r="BJ21" s="1" t="s">
        <v>591</v>
      </c>
      <c r="BK21" s="1"/>
      <c r="BL21" s="1"/>
      <c r="BM21" s="1" t="s">
        <v>592</v>
      </c>
      <c r="BN21" s="1">
        <v>8</v>
      </c>
      <c r="BO21" s="1" t="s">
        <v>593</v>
      </c>
      <c r="BP21" s="1" t="str">
        <f>HYPERLINK("https://nconnect.nicmar.ac.in/storage/profile/6a20f9c0b49b0.png","Download")</f>
        <v>0</v>
      </c>
      <c r="BQ21" s="3"/>
      <c r="BR21" s="3"/>
    </row>
    <row r="22" spans="1:70">
      <c r="A22" s="1" t="s">
        <v>552</v>
      </c>
      <c r="B22" s="1" t="s">
        <v>71</v>
      </c>
      <c r="C22" s="1" t="s">
        <v>594</v>
      </c>
      <c r="D22" s="1" t="s">
        <v>595</v>
      </c>
      <c r="E22" s="1" t="s">
        <v>596</v>
      </c>
      <c r="F22" s="1" t="s">
        <v>597</v>
      </c>
      <c r="G22" s="1" t="s">
        <v>598</v>
      </c>
      <c r="H22" s="1" t="s">
        <v>599</v>
      </c>
      <c r="I22" s="1" t="s">
        <v>599</v>
      </c>
      <c r="J22" s="1">
        <v>8185867804</v>
      </c>
      <c r="K22" s="1" t="s">
        <v>79</v>
      </c>
      <c r="L22" s="1" t="s">
        <v>600</v>
      </c>
      <c r="M22" s="1" t="s">
        <v>81</v>
      </c>
      <c r="N22" s="1" t="s">
        <v>601</v>
      </c>
      <c r="O22" s="1" t="s">
        <v>83</v>
      </c>
      <c r="P22" s="1" t="s">
        <v>351</v>
      </c>
      <c r="Q22" s="1" t="s">
        <v>602</v>
      </c>
      <c r="R22" s="1" t="s">
        <v>603</v>
      </c>
      <c r="S22" s="1">
        <v>9603826815</v>
      </c>
      <c r="T22" s="1" t="s">
        <v>604</v>
      </c>
      <c r="U22" s="1" t="s">
        <v>605</v>
      </c>
      <c r="V22" s="1">
        <v>8897219955</v>
      </c>
      <c r="W22" s="1" t="s">
        <v>606</v>
      </c>
      <c r="X22" s="1" t="s">
        <v>607</v>
      </c>
      <c r="Y22" s="1" t="s">
        <v>608</v>
      </c>
      <c r="Z22" s="1" t="s">
        <v>609</v>
      </c>
      <c r="AA22" s="1" t="s">
        <v>607</v>
      </c>
      <c r="AB22" s="1" t="s">
        <v>608</v>
      </c>
      <c r="AC22" s="1" t="s">
        <v>609</v>
      </c>
      <c r="AD22" s="1" t="s">
        <v>93</v>
      </c>
      <c r="AE22" s="1" t="s">
        <v>93</v>
      </c>
      <c r="AF22" s="1" t="s">
        <v>610</v>
      </c>
      <c r="AG22" s="1" t="s">
        <v>611</v>
      </c>
      <c r="AH22" s="1" t="s">
        <v>97</v>
      </c>
      <c r="AI22" s="1" t="s">
        <v>456</v>
      </c>
      <c r="AJ22" s="1">
        <v>85</v>
      </c>
      <c r="AK22" s="1">
        <v>8.5</v>
      </c>
      <c r="AL22" s="1" t="s">
        <v>612</v>
      </c>
      <c r="AM22" s="1" t="s">
        <v>613</v>
      </c>
      <c r="AN22" s="1" t="s">
        <v>162</v>
      </c>
      <c r="AO22" s="1" t="s">
        <v>281</v>
      </c>
      <c r="AP22" s="1">
        <v>83.8</v>
      </c>
      <c r="AQ22" s="1"/>
      <c r="AR22" s="1"/>
      <c r="AS22" s="1"/>
      <c r="AT22" s="1"/>
      <c r="AU22" s="1"/>
      <c r="AV22" s="1"/>
      <c r="AW22" s="1"/>
      <c r="AX22" s="1" t="s">
        <v>614</v>
      </c>
      <c r="AY22" s="1" t="s">
        <v>615</v>
      </c>
      <c r="AZ22" s="1" t="s">
        <v>101</v>
      </c>
      <c r="BA22" s="1" t="s">
        <v>616</v>
      </c>
      <c r="BB22" s="1">
        <v>57</v>
      </c>
      <c r="BC22" s="1">
        <v>6.2</v>
      </c>
      <c r="BD22" s="1"/>
      <c r="BE22" s="1"/>
      <c r="BF22" s="1"/>
      <c r="BG22" s="1"/>
      <c r="BH22" s="1"/>
      <c r="BI22" s="1"/>
      <c r="BJ22" s="1" t="s">
        <v>617</v>
      </c>
      <c r="BK22" s="1" t="s">
        <v>618</v>
      </c>
      <c r="BL22" s="1" t="s">
        <v>619</v>
      </c>
      <c r="BM22" s="1" t="s">
        <v>620</v>
      </c>
      <c r="BN22" s="1">
        <v>8</v>
      </c>
      <c r="BO22" s="1" t="s">
        <v>621</v>
      </c>
      <c r="BP22" s="1" t="str">
        <f>HYPERLINK("https://nconnect.nicmar.ac.in/storage/profile/6a2103f0b6786.png","Download")</f>
        <v>0</v>
      </c>
      <c r="BQ22" s="3"/>
      <c r="BR22" s="3"/>
    </row>
    <row r="23" spans="1:70">
      <c r="A23" s="1" t="s">
        <v>552</v>
      </c>
      <c r="B23" s="1" t="s">
        <v>71</v>
      </c>
      <c r="C23" s="1" t="s">
        <v>622</v>
      </c>
      <c r="D23" s="1" t="s">
        <v>623</v>
      </c>
      <c r="E23" s="1" t="s">
        <v>234</v>
      </c>
      <c r="F23" s="1" t="s">
        <v>624</v>
      </c>
      <c r="G23" s="1" t="s">
        <v>625</v>
      </c>
      <c r="H23" s="1" t="s">
        <v>626</v>
      </c>
      <c r="I23" s="1" t="s">
        <v>626</v>
      </c>
      <c r="J23" s="1">
        <v>9028775607</v>
      </c>
      <c r="K23" s="1" t="s">
        <v>79</v>
      </c>
      <c r="L23" s="1" t="s">
        <v>627</v>
      </c>
      <c r="M23" s="1" t="s">
        <v>81</v>
      </c>
      <c r="N23" s="1" t="s">
        <v>628</v>
      </c>
      <c r="O23" s="1" t="s">
        <v>83</v>
      </c>
      <c r="P23" s="1" t="s">
        <v>117</v>
      </c>
      <c r="Q23" s="1" t="s">
        <v>629</v>
      </c>
      <c r="R23" s="1" t="s">
        <v>630</v>
      </c>
      <c r="S23" s="1">
        <v>9850891727</v>
      </c>
      <c r="T23" s="1" t="s">
        <v>496</v>
      </c>
      <c r="U23" s="1" t="s">
        <v>631</v>
      </c>
      <c r="V23" s="1">
        <v>9637694763</v>
      </c>
      <c r="W23" s="1" t="s">
        <v>122</v>
      </c>
      <c r="X23" s="1" t="s">
        <v>632</v>
      </c>
      <c r="Y23" s="1" t="s">
        <v>191</v>
      </c>
      <c r="Z23" s="1" t="s">
        <v>92</v>
      </c>
      <c r="AA23" s="1" t="s">
        <v>632</v>
      </c>
      <c r="AB23" s="1" t="s">
        <v>191</v>
      </c>
      <c r="AC23" s="1" t="s">
        <v>92</v>
      </c>
      <c r="AD23" s="1" t="s">
        <v>93</v>
      </c>
      <c r="AE23" s="1" t="s">
        <v>93</v>
      </c>
      <c r="AF23" s="1" t="s">
        <v>633</v>
      </c>
      <c r="AG23" s="1" t="s">
        <v>194</v>
      </c>
      <c r="AH23" s="1" t="s">
        <v>161</v>
      </c>
      <c r="AI23" s="1" t="s">
        <v>456</v>
      </c>
      <c r="AJ23" s="1">
        <v>86.4</v>
      </c>
      <c r="AK23" s="1"/>
      <c r="AL23" s="1" t="s">
        <v>634</v>
      </c>
      <c r="AM23" s="1" t="s">
        <v>197</v>
      </c>
      <c r="AN23" s="1" t="s">
        <v>383</v>
      </c>
      <c r="AO23" s="1" t="s">
        <v>166</v>
      </c>
      <c r="AP23" s="1">
        <v>64.31</v>
      </c>
      <c r="AQ23" s="1"/>
      <c r="AR23" s="1"/>
      <c r="AS23" s="1"/>
      <c r="AT23" s="1"/>
      <c r="AU23" s="1"/>
      <c r="AV23" s="1"/>
      <c r="AW23" s="1"/>
      <c r="AX23" s="1" t="s">
        <v>361</v>
      </c>
      <c r="AY23" s="1" t="s">
        <v>635</v>
      </c>
      <c r="AZ23" s="1" t="s">
        <v>636</v>
      </c>
      <c r="BA23" s="1" t="s">
        <v>229</v>
      </c>
      <c r="BB23" s="1">
        <v>68.2</v>
      </c>
      <c r="BC23" s="1">
        <v>7.57</v>
      </c>
      <c r="BD23" s="1"/>
      <c r="BE23" s="1"/>
      <c r="BF23" s="1"/>
      <c r="BG23" s="1"/>
      <c r="BH23" s="1"/>
      <c r="BI23" s="1"/>
      <c r="BJ23" s="1" t="s">
        <v>637</v>
      </c>
      <c r="BK23" s="1" t="s">
        <v>638</v>
      </c>
      <c r="BL23" s="1" t="s">
        <v>639</v>
      </c>
      <c r="BM23" s="1" t="s">
        <v>640</v>
      </c>
      <c r="BN23" s="1">
        <v>8</v>
      </c>
      <c r="BO23" s="1" t="s">
        <v>641</v>
      </c>
      <c r="BP23" s="1" t="str">
        <f>HYPERLINK("https://nconnect.nicmar.ac.in/storage/profile/6a210ba0cac18.png","Download")</f>
        <v>0</v>
      </c>
      <c r="BQ23" s="3"/>
      <c r="BR23" s="3"/>
    </row>
    <row r="24" spans="1:70">
      <c r="A24" s="1" t="s">
        <v>552</v>
      </c>
      <c r="B24" s="1" t="s">
        <v>71</v>
      </c>
      <c r="C24" s="1" t="s">
        <v>642</v>
      </c>
      <c r="D24" s="1" t="s">
        <v>643</v>
      </c>
      <c r="E24" s="1" t="s">
        <v>392</v>
      </c>
      <c r="F24" s="1" t="s">
        <v>644</v>
      </c>
      <c r="G24" s="1" t="s">
        <v>645</v>
      </c>
      <c r="H24" s="1" t="s">
        <v>646</v>
      </c>
      <c r="I24" s="1" t="s">
        <v>646</v>
      </c>
      <c r="J24" s="1">
        <v>8657223200</v>
      </c>
      <c r="K24" s="1" t="s">
        <v>79</v>
      </c>
      <c r="L24" s="1" t="s">
        <v>647</v>
      </c>
      <c r="M24" s="1" t="s">
        <v>81</v>
      </c>
      <c r="N24" s="1" t="s">
        <v>493</v>
      </c>
      <c r="O24" s="1" t="s">
        <v>83</v>
      </c>
      <c r="P24" s="1" t="s">
        <v>214</v>
      </c>
      <c r="Q24" s="1" t="s">
        <v>648</v>
      </c>
      <c r="R24" s="1" t="s">
        <v>392</v>
      </c>
      <c r="S24" s="1">
        <v>8087526200</v>
      </c>
      <c r="T24" s="1" t="s">
        <v>649</v>
      </c>
      <c r="U24" s="1" t="s">
        <v>650</v>
      </c>
      <c r="V24" s="1">
        <v>9960104200</v>
      </c>
      <c r="W24" s="1" t="s">
        <v>651</v>
      </c>
      <c r="X24" s="1" t="s">
        <v>652</v>
      </c>
      <c r="Y24" s="1" t="s">
        <v>523</v>
      </c>
      <c r="Z24" s="1" t="s">
        <v>92</v>
      </c>
      <c r="AA24" s="1" t="s">
        <v>652</v>
      </c>
      <c r="AB24" s="1" t="s">
        <v>523</v>
      </c>
      <c r="AC24" s="1" t="s">
        <v>92</v>
      </c>
      <c r="AD24" s="1" t="s">
        <v>93</v>
      </c>
      <c r="AE24" s="1" t="s">
        <v>93</v>
      </c>
      <c r="AF24" s="1" t="s">
        <v>653</v>
      </c>
      <c r="AG24" s="1" t="s">
        <v>654</v>
      </c>
      <c r="AH24" s="1" t="s">
        <v>655</v>
      </c>
      <c r="AI24" s="1" t="s">
        <v>331</v>
      </c>
      <c r="AJ24" s="1">
        <v>77.9</v>
      </c>
      <c r="AK24" s="1">
        <v>8.2</v>
      </c>
      <c r="AL24" s="1" t="s">
        <v>656</v>
      </c>
      <c r="AM24" s="1" t="s">
        <v>654</v>
      </c>
      <c r="AN24" s="1" t="s">
        <v>657</v>
      </c>
      <c r="AO24" s="1" t="s">
        <v>658</v>
      </c>
      <c r="AP24" s="1">
        <v>69.0</v>
      </c>
      <c r="AQ24" s="1">
        <v>0.0</v>
      </c>
      <c r="AR24" s="1"/>
      <c r="AS24" s="1"/>
      <c r="AT24" s="1"/>
      <c r="AU24" s="1"/>
      <c r="AV24" s="1"/>
      <c r="AW24" s="1"/>
      <c r="AX24" s="1" t="s">
        <v>659</v>
      </c>
      <c r="AY24" s="1" t="s">
        <v>660</v>
      </c>
      <c r="AZ24" s="1" t="s">
        <v>661</v>
      </c>
      <c r="BA24" s="1" t="s">
        <v>100</v>
      </c>
      <c r="BB24" s="1">
        <v>70.24</v>
      </c>
      <c r="BC24" s="1">
        <v>0.0</v>
      </c>
      <c r="BD24" s="1"/>
      <c r="BE24" s="1"/>
      <c r="BF24" s="1"/>
      <c r="BG24" s="1"/>
      <c r="BH24" s="1"/>
      <c r="BI24" s="1"/>
      <c r="BJ24" s="1" t="s">
        <v>662</v>
      </c>
      <c r="BK24" s="1" t="s">
        <v>663</v>
      </c>
      <c r="BL24" s="1" t="s">
        <v>664</v>
      </c>
      <c r="BM24" s="1"/>
      <c r="BN24" s="1"/>
      <c r="BO24" s="1" t="s">
        <v>665</v>
      </c>
      <c r="BP24" s="1" t="str">
        <f>HYPERLINK("https://nconnect.nicmar.ac.in/storage/profile/6a21173ac4788.png","Download")</f>
        <v>0</v>
      </c>
      <c r="BQ24" s="3"/>
      <c r="BR24" s="3"/>
    </row>
    <row r="25" spans="1:70">
      <c r="A25" s="1" t="s">
        <v>552</v>
      </c>
      <c r="B25" s="1" t="s">
        <v>71</v>
      </c>
      <c r="C25" s="1" t="s">
        <v>666</v>
      </c>
      <c r="D25" s="1" t="s">
        <v>667</v>
      </c>
      <c r="E25" s="1" t="s">
        <v>668</v>
      </c>
      <c r="F25" s="1" t="s">
        <v>669</v>
      </c>
      <c r="G25" s="1" t="s">
        <v>670</v>
      </c>
      <c r="H25" s="1" t="s">
        <v>671</v>
      </c>
      <c r="I25" s="1" t="s">
        <v>671</v>
      </c>
      <c r="J25" s="1">
        <v>9850877662</v>
      </c>
      <c r="K25" s="1" t="s">
        <v>79</v>
      </c>
      <c r="L25" s="1" t="s">
        <v>672</v>
      </c>
      <c r="M25" s="1" t="s">
        <v>81</v>
      </c>
      <c r="N25" s="1" t="s">
        <v>538</v>
      </c>
      <c r="O25" s="1" t="s">
        <v>83</v>
      </c>
      <c r="P25" s="1" t="s">
        <v>84</v>
      </c>
      <c r="Q25" s="1" t="s">
        <v>673</v>
      </c>
      <c r="R25" s="1" t="s">
        <v>668</v>
      </c>
      <c r="S25" s="1">
        <v>9822189385</v>
      </c>
      <c r="T25" s="1" t="s">
        <v>674</v>
      </c>
      <c r="U25" s="1" t="s">
        <v>675</v>
      </c>
      <c r="V25" s="1">
        <v>8483099147</v>
      </c>
      <c r="W25" s="1" t="s">
        <v>156</v>
      </c>
      <c r="X25" s="1" t="s">
        <v>676</v>
      </c>
      <c r="Y25" s="1" t="s">
        <v>523</v>
      </c>
      <c r="Z25" s="1" t="s">
        <v>92</v>
      </c>
      <c r="AA25" s="1" t="s">
        <v>676</v>
      </c>
      <c r="AB25" s="1" t="s">
        <v>523</v>
      </c>
      <c r="AC25" s="1" t="s">
        <v>92</v>
      </c>
      <c r="AD25" s="1" t="s">
        <v>93</v>
      </c>
      <c r="AE25" s="1" t="s">
        <v>93</v>
      </c>
      <c r="AF25" s="1" t="s">
        <v>677</v>
      </c>
      <c r="AG25" s="1" t="s">
        <v>476</v>
      </c>
      <c r="AH25" s="1" t="s">
        <v>678</v>
      </c>
      <c r="AI25" s="1" t="s">
        <v>281</v>
      </c>
      <c r="AJ25" s="1">
        <v>66.8</v>
      </c>
      <c r="AK25" s="1">
        <v>0.0</v>
      </c>
      <c r="AL25" s="1" t="s">
        <v>679</v>
      </c>
      <c r="AM25" s="1" t="s">
        <v>476</v>
      </c>
      <c r="AN25" s="1" t="s">
        <v>409</v>
      </c>
      <c r="AO25" s="1" t="s">
        <v>360</v>
      </c>
      <c r="AP25" s="1">
        <v>54.46</v>
      </c>
      <c r="AQ25" s="1"/>
      <c r="AR25" s="1"/>
      <c r="AS25" s="1"/>
      <c r="AT25" s="1"/>
      <c r="AU25" s="1"/>
      <c r="AV25" s="1"/>
      <c r="AW25" s="1"/>
      <c r="AX25" s="1" t="s">
        <v>680</v>
      </c>
      <c r="AY25" s="1" t="s">
        <v>680</v>
      </c>
      <c r="AZ25" s="1" t="s">
        <v>681</v>
      </c>
      <c r="BA25" s="1" t="s">
        <v>682</v>
      </c>
      <c r="BB25" s="1">
        <v>77.9</v>
      </c>
      <c r="BC25" s="1"/>
      <c r="BD25" s="1"/>
      <c r="BE25" s="1"/>
      <c r="BF25" s="1"/>
      <c r="BG25" s="1"/>
      <c r="BH25" s="1"/>
      <c r="BI25" s="1"/>
      <c r="BJ25" s="1" t="s">
        <v>683</v>
      </c>
      <c r="BK25" s="1"/>
      <c r="BL25" s="1"/>
      <c r="BM25" s="1" t="s">
        <v>684</v>
      </c>
      <c r="BN25" s="1">
        <v>16</v>
      </c>
      <c r="BO25" s="1"/>
      <c r="BP25" s="1" t="str">
        <f>HYPERLINK("https://nconnect.nicmar.ac.in/storage/profile/6a211eb83dc01.png","Download")</f>
        <v>0</v>
      </c>
      <c r="BQ25" s="3"/>
      <c r="BR25" s="3"/>
    </row>
    <row r="26" spans="1:70">
      <c r="A26" s="1" t="s">
        <v>552</v>
      </c>
      <c r="B26" s="1" t="s">
        <v>71</v>
      </c>
      <c r="C26" s="1" t="s">
        <v>685</v>
      </c>
      <c r="D26" s="1" t="s">
        <v>686</v>
      </c>
      <c r="E26" s="1"/>
      <c r="F26" s="1" t="s">
        <v>687</v>
      </c>
      <c r="G26" s="1" t="s">
        <v>688</v>
      </c>
      <c r="H26" s="1" t="s">
        <v>689</v>
      </c>
      <c r="I26" s="1" t="s">
        <v>689</v>
      </c>
      <c r="J26" s="1">
        <v>9960999913</v>
      </c>
      <c r="K26" s="1" t="s">
        <v>79</v>
      </c>
      <c r="L26" s="1" t="s">
        <v>690</v>
      </c>
      <c r="M26" s="1" t="s">
        <v>81</v>
      </c>
      <c r="N26" s="1" t="s">
        <v>493</v>
      </c>
      <c r="O26" s="1" t="s">
        <v>83</v>
      </c>
      <c r="P26" s="1" t="s">
        <v>214</v>
      </c>
      <c r="Q26" s="1" t="s">
        <v>691</v>
      </c>
      <c r="R26" s="1" t="s">
        <v>692</v>
      </c>
      <c r="S26" s="1">
        <v>9890841349</v>
      </c>
      <c r="T26" s="1" t="s">
        <v>154</v>
      </c>
      <c r="U26" s="1" t="s">
        <v>693</v>
      </c>
      <c r="V26" s="1">
        <v>7686868181</v>
      </c>
      <c r="W26" s="1" t="s">
        <v>89</v>
      </c>
      <c r="X26" s="1" t="s">
        <v>694</v>
      </c>
      <c r="Y26" s="1" t="s">
        <v>523</v>
      </c>
      <c r="Z26" s="1" t="s">
        <v>92</v>
      </c>
      <c r="AA26" s="1" t="s">
        <v>694</v>
      </c>
      <c r="AB26" s="1" t="s">
        <v>523</v>
      </c>
      <c r="AC26" s="1" t="s">
        <v>92</v>
      </c>
      <c r="AD26" s="1" t="s">
        <v>93</v>
      </c>
      <c r="AE26" s="1" t="s">
        <v>93</v>
      </c>
      <c r="AF26" s="1" t="s">
        <v>695</v>
      </c>
      <c r="AG26" s="1" t="s">
        <v>696</v>
      </c>
      <c r="AH26" s="1" t="s">
        <v>225</v>
      </c>
      <c r="AI26" s="1" t="s">
        <v>101</v>
      </c>
      <c r="AJ26" s="1">
        <v>73.8</v>
      </c>
      <c r="AK26" s="1"/>
      <c r="AL26" s="1" t="s">
        <v>697</v>
      </c>
      <c r="AM26" s="1" t="s">
        <v>698</v>
      </c>
      <c r="AN26" s="1" t="s">
        <v>433</v>
      </c>
      <c r="AO26" s="1" t="s">
        <v>699</v>
      </c>
      <c r="AP26" s="1">
        <v>55.08</v>
      </c>
      <c r="AQ26" s="1"/>
      <c r="AR26" s="1"/>
      <c r="AS26" s="1"/>
      <c r="AT26" s="1"/>
      <c r="AU26" s="1"/>
      <c r="AV26" s="1"/>
      <c r="AW26" s="1"/>
      <c r="AX26" s="1" t="s">
        <v>700</v>
      </c>
      <c r="AY26" s="1" t="s">
        <v>701</v>
      </c>
      <c r="AZ26" s="1" t="s">
        <v>681</v>
      </c>
      <c r="BA26" s="1" t="s">
        <v>702</v>
      </c>
      <c r="BB26" s="1">
        <v>66.57</v>
      </c>
      <c r="BC26" s="1">
        <v>7.48</v>
      </c>
      <c r="BD26" s="1"/>
      <c r="BE26" s="1"/>
      <c r="BF26" s="1"/>
      <c r="BG26" s="1"/>
      <c r="BH26" s="1"/>
      <c r="BI26" s="1"/>
      <c r="BJ26" s="1" t="s">
        <v>703</v>
      </c>
      <c r="BK26" s="1"/>
      <c r="BL26" s="1"/>
      <c r="BM26" s="1" t="s">
        <v>704</v>
      </c>
      <c r="BN26" s="1">
        <v>32</v>
      </c>
      <c r="BO26" s="1" t="s">
        <v>705</v>
      </c>
      <c r="BP26" s="1" t="str">
        <f>HYPERLINK("https://nconnect.nicmar.ac.in/storage/profile/6a21248d96303.png","Download")</f>
        <v>0</v>
      </c>
      <c r="BQ26" s="3"/>
      <c r="BR26" s="3"/>
    </row>
    <row r="27" spans="1:70">
      <c r="A27" s="1" t="s">
        <v>552</v>
      </c>
      <c r="B27" s="1" t="s">
        <v>71</v>
      </c>
      <c r="C27" s="1" t="s">
        <v>706</v>
      </c>
      <c r="D27" s="1" t="s">
        <v>707</v>
      </c>
      <c r="E27" s="1"/>
      <c r="F27" s="1" t="s">
        <v>345</v>
      </c>
      <c r="G27" s="1" t="s">
        <v>708</v>
      </c>
      <c r="H27" s="1" t="s">
        <v>709</v>
      </c>
      <c r="I27" s="1" t="s">
        <v>709</v>
      </c>
      <c r="J27" s="1">
        <v>7982962539</v>
      </c>
      <c r="K27" s="1" t="s">
        <v>79</v>
      </c>
      <c r="L27" s="1" t="s">
        <v>710</v>
      </c>
      <c r="M27" s="1" t="s">
        <v>81</v>
      </c>
      <c r="N27" s="1" t="s">
        <v>493</v>
      </c>
      <c r="O27" s="1" t="s">
        <v>711</v>
      </c>
      <c r="P27" s="1" t="s">
        <v>117</v>
      </c>
      <c r="Q27" s="1" t="s">
        <v>712</v>
      </c>
      <c r="R27" s="1" t="s">
        <v>713</v>
      </c>
      <c r="S27" s="1">
        <v>8447881811</v>
      </c>
      <c r="T27" s="1" t="s">
        <v>714</v>
      </c>
      <c r="U27" s="1" t="s">
        <v>715</v>
      </c>
      <c r="V27" s="1">
        <v>7827282098</v>
      </c>
      <c r="W27" s="1" t="s">
        <v>716</v>
      </c>
      <c r="X27" s="1" t="s">
        <v>717</v>
      </c>
      <c r="Y27" s="1" t="s">
        <v>718</v>
      </c>
      <c r="Z27" s="1" t="s">
        <v>719</v>
      </c>
      <c r="AA27" s="1" t="s">
        <v>720</v>
      </c>
      <c r="AB27" s="1" t="s">
        <v>721</v>
      </c>
      <c r="AC27" s="1" t="s">
        <v>722</v>
      </c>
      <c r="AD27" s="1" t="s">
        <v>93</v>
      </c>
      <c r="AE27" s="1" t="s">
        <v>93</v>
      </c>
      <c r="AF27" s="1" t="s">
        <v>723</v>
      </c>
      <c r="AG27" s="1" t="s">
        <v>307</v>
      </c>
      <c r="AH27" s="1" t="s">
        <v>724</v>
      </c>
      <c r="AI27" s="1" t="s">
        <v>725</v>
      </c>
      <c r="AJ27" s="1">
        <v>64.6</v>
      </c>
      <c r="AK27" s="1"/>
      <c r="AL27" s="1" t="s">
        <v>723</v>
      </c>
      <c r="AM27" s="1" t="s">
        <v>307</v>
      </c>
      <c r="AN27" s="1" t="s">
        <v>726</v>
      </c>
      <c r="AO27" s="1" t="s">
        <v>727</v>
      </c>
      <c r="AP27" s="1">
        <v>68.5</v>
      </c>
      <c r="AQ27" s="1"/>
      <c r="AR27" s="1"/>
      <c r="AS27" s="1"/>
      <c r="AT27" s="1"/>
      <c r="AU27" s="1"/>
      <c r="AV27" s="1"/>
      <c r="AW27" s="1"/>
      <c r="AX27" s="1" t="s">
        <v>728</v>
      </c>
      <c r="AY27" s="1" t="s">
        <v>729</v>
      </c>
      <c r="AZ27" s="1" t="s">
        <v>249</v>
      </c>
      <c r="BA27" s="1" t="s">
        <v>730</v>
      </c>
      <c r="BB27" s="1">
        <v>55.2</v>
      </c>
      <c r="BC27" s="1"/>
      <c r="BD27" s="1" t="s">
        <v>731</v>
      </c>
      <c r="BE27" s="1" t="s">
        <v>732</v>
      </c>
      <c r="BF27" s="1" t="s">
        <v>733</v>
      </c>
      <c r="BG27" s="1" t="s">
        <v>101</v>
      </c>
      <c r="BH27" s="1">
        <v>60.88</v>
      </c>
      <c r="BI27" s="1"/>
      <c r="BJ27" s="1" t="s">
        <v>734</v>
      </c>
      <c r="BK27" s="1" t="s">
        <v>735</v>
      </c>
      <c r="BL27" s="1" t="s">
        <v>736</v>
      </c>
      <c r="BM27" s="1" t="s">
        <v>737</v>
      </c>
      <c r="BN27" s="1">
        <v>10</v>
      </c>
      <c r="BO27" s="1" t="s">
        <v>738</v>
      </c>
      <c r="BP27" s="1" t="str">
        <f>HYPERLINK("https://nconnect.nicmar.ac.in/storage/profile/6a213e6b214b4.png","Download")</f>
        <v>0</v>
      </c>
      <c r="BQ27" s="3"/>
      <c r="BR27" s="3"/>
    </row>
    <row r="28" spans="1:70">
      <c r="A28" s="1" t="s">
        <v>552</v>
      </c>
      <c r="B28" s="1" t="s">
        <v>71</v>
      </c>
      <c r="C28" s="1" t="s">
        <v>739</v>
      </c>
      <c r="D28" s="1" t="s">
        <v>740</v>
      </c>
      <c r="E28" s="1"/>
      <c r="F28" s="1" t="s">
        <v>741</v>
      </c>
      <c r="G28" s="1" t="s">
        <v>742</v>
      </c>
      <c r="H28" s="1" t="s">
        <v>743</v>
      </c>
      <c r="I28" s="1" t="s">
        <v>743</v>
      </c>
      <c r="J28" s="1">
        <v>9623930761</v>
      </c>
      <c r="K28" s="1" t="s">
        <v>79</v>
      </c>
      <c r="L28" s="1" t="s">
        <v>744</v>
      </c>
      <c r="M28" s="1" t="s">
        <v>81</v>
      </c>
      <c r="N28" s="1" t="s">
        <v>493</v>
      </c>
      <c r="O28" s="1" t="s">
        <v>152</v>
      </c>
      <c r="P28" s="1" t="s">
        <v>214</v>
      </c>
      <c r="Q28" s="1" t="s">
        <v>745</v>
      </c>
      <c r="R28" s="1" t="s">
        <v>746</v>
      </c>
      <c r="S28" s="1">
        <v>9975643041</v>
      </c>
      <c r="T28" s="1" t="s">
        <v>120</v>
      </c>
      <c r="U28" s="1" t="s">
        <v>301</v>
      </c>
      <c r="V28" s="1">
        <v>9637643041</v>
      </c>
      <c r="W28" s="1" t="s">
        <v>89</v>
      </c>
      <c r="X28" s="1" t="s">
        <v>747</v>
      </c>
      <c r="Y28" s="1" t="s">
        <v>405</v>
      </c>
      <c r="Z28" s="1" t="s">
        <v>92</v>
      </c>
      <c r="AA28" s="1" t="s">
        <v>747</v>
      </c>
      <c r="AB28" s="1" t="s">
        <v>405</v>
      </c>
      <c r="AC28" s="1" t="s">
        <v>92</v>
      </c>
      <c r="AD28" s="1" t="s">
        <v>93</v>
      </c>
      <c r="AE28" s="1" t="s">
        <v>93</v>
      </c>
      <c r="AF28" s="1" t="s">
        <v>748</v>
      </c>
      <c r="AG28" s="1" t="s">
        <v>307</v>
      </c>
      <c r="AH28" s="1" t="s">
        <v>733</v>
      </c>
      <c r="AI28" s="1" t="s">
        <v>165</v>
      </c>
      <c r="AJ28" s="1">
        <v>79.8</v>
      </c>
      <c r="AK28" s="1">
        <v>8.4</v>
      </c>
      <c r="AL28" s="1" t="s">
        <v>749</v>
      </c>
      <c r="AM28" s="1" t="s">
        <v>750</v>
      </c>
      <c r="AN28" s="1" t="s">
        <v>169</v>
      </c>
      <c r="AO28" s="1" t="s">
        <v>308</v>
      </c>
      <c r="AP28" s="1">
        <v>54.15</v>
      </c>
      <c r="AQ28" s="1"/>
      <c r="AR28" s="1"/>
      <c r="AS28" s="1"/>
      <c r="AT28" s="1"/>
      <c r="AU28" s="1"/>
      <c r="AV28" s="1"/>
      <c r="AW28" s="1"/>
      <c r="AX28" s="1" t="s">
        <v>410</v>
      </c>
      <c r="AY28" s="1" t="s">
        <v>751</v>
      </c>
      <c r="AZ28" s="1" t="s">
        <v>173</v>
      </c>
      <c r="BA28" s="1" t="s">
        <v>229</v>
      </c>
      <c r="BB28" s="1">
        <v>78.1</v>
      </c>
      <c r="BC28" s="1"/>
      <c r="BD28" s="1"/>
      <c r="BE28" s="1"/>
      <c r="BF28" s="1"/>
      <c r="BG28" s="1"/>
      <c r="BH28" s="1"/>
      <c r="BI28" s="1"/>
      <c r="BJ28" s="1" t="s">
        <v>734</v>
      </c>
      <c r="BK28" s="1"/>
      <c r="BL28" s="1"/>
      <c r="BM28" s="1" t="s">
        <v>752</v>
      </c>
      <c r="BN28" s="1">
        <v>8</v>
      </c>
      <c r="BO28" s="1" t="s">
        <v>753</v>
      </c>
      <c r="BP28" s="1" t="str">
        <f>HYPERLINK("https://nconnect.nicmar.ac.in/storage/profile/6a2144da8acc0.png","Download")</f>
        <v>0</v>
      </c>
      <c r="BQ28" s="3"/>
      <c r="BR28" s="3"/>
    </row>
    <row r="29" spans="1:70">
      <c r="A29" s="1" t="s">
        <v>552</v>
      </c>
      <c r="B29" s="1" t="s">
        <v>71</v>
      </c>
      <c r="C29" s="1" t="s">
        <v>754</v>
      </c>
      <c r="D29" s="1" t="s">
        <v>755</v>
      </c>
      <c r="E29" s="1" t="s">
        <v>756</v>
      </c>
      <c r="F29" s="1" t="s">
        <v>757</v>
      </c>
      <c r="G29" s="1" t="s">
        <v>758</v>
      </c>
      <c r="H29" s="1" t="s">
        <v>759</v>
      </c>
      <c r="I29" s="1" t="s">
        <v>759</v>
      </c>
      <c r="J29" s="1">
        <v>9372626547</v>
      </c>
      <c r="K29" s="1" t="s">
        <v>79</v>
      </c>
      <c r="L29" s="1" t="s">
        <v>760</v>
      </c>
      <c r="M29" s="1" t="s">
        <v>81</v>
      </c>
      <c r="N29" s="1" t="s">
        <v>761</v>
      </c>
      <c r="O29" s="1" t="s">
        <v>152</v>
      </c>
      <c r="P29" s="1" t="s">
        <v>84</v>
      </c>
      <c r="Q29" s="1" t="s">
        <v>762</v>
      </c>
      <c r="R29" s="1" t="s">
        <v>756</v>
      </c>
      <c r="S29" s="1">
        <v>7977916384</v>
      </c>
      <c r="T29" s="1" t="s">
        <v>763</v>
      </c>
      <c r="U29" s="1" t="s">
        <v>764</v>
      </c>
      <c r="V29" s="1">
        <v>9082010533</v>
      </c>
      <c r="W29" s="1" t="s">
        <v>651</v>
      </c>
      <c r="X29" s="1" t="s">
        <v>765</v>
      </c>
      <c r="Y29" s="1" t="s">
        <v>766</v>
      </c>
      <c r="Z29" s="1" t="s">
        <v>92</v>
      </c>
      <c r="AA29" s="1" t="s">
        <v>765</v>
      </c>
      <c r="AB29" s="1" t="s">
        <v>766</v>
      </c>
      <c r="AC29" s="1" t="s">
        <v>92</v>
      </c>
      <c r="AD29" s="1" t="s">
        <v>93</v>
      </c>
      <c r="AE29" s="1" t="s">
        <v>93</v>
      </c>
      <c r="AF29" s="1" t="s">
        <v>767</v>
      </c>
      <c r="AG29" s="1" t="s">
        <v>160</v>
      </c>
      <c r="AH29" s="1" t="s">
        <v>162</v>
      </c>
      <c r="AI29" s="1" t="s">
        <v>479</v>
      </c>
      <c r="AJ29" s="1">
        <v>75.4</v>
      </c>
      <c r="AK29" s="1"/>
      <c r="AL29" s="1" t="s">
        <v>768</v>
      </c>
      <c r="AM29" s="1" t="s">
        <v>160</v>
      </c>
      <c r="AN29" s="1" t="s">
        <v>479</v>
      </c>
      <c r="AO29" s="1" t="s">
        <v>308</v>
      </c>
      <c r="AP29" s="1">
        <v>57.38</v>
      </c>
      <c r="AQ29" s="1"/>
      <c r="AR29" s="1"/>
      <c r="AS29" s="1"/>
      <c r="AT29" s="1"/>
      <c r="AU29" s="1"/>
      <c r="AV29" s="1"/>
      <c r="AW29" s="1"/>
      <c r="AX29" s="1" t="s">
        <v>253</v>
      </c>
      <c r="AY29" s="1" t="s">
        <v>769</v>
      </c>
      <c r="AZ29" s="1" t="s">
        <v>201</v>
      </c>
      <c r="BA29" s="1" t="s">
        <v>682</v>
      </c>
      <c r="BB29" s="1">
        <v>69.62</v>
      </c>
      <c r="BC29" s="1">
        <v>7.92</v>
      </c>
      <c r="BD29" s="1"/>
      <c r="BE29" s="1"/>
      <c r="BF29" s="1"/>
      <c r="BG29" s="1"/>
      <c r="BH29" s="1"/>
      <c r="BI29" s="1"/>
      <c r="BJ29" s="1" t="s">
        <v>255</v>
      </c>
      <c r="BK29" s="1"/>
      <c r="BL29" s="1"/>
      <c r="BM29" s="1" t="s">
        <v>770</v>
      </c>
      <c r="BN29" s="1">
        <v>35</v>
      </c>
      <c r="BO29" s="1" t="s">
        <v>771</v>
      </c>
      <c r="BP29" s="1" t="str">
        <f>HYPERLINK("https://nconnect.nicmar.ac.in/storage/profile/6a215333ef911.png","Download")</f>
        <v>0</v>
      </c>
      <c r="BQ29" s="3"/>
      <c r="BR29" s="3"/>
    </row>
    <row r="30" spans="1:70">
      <c r="A30" s="1" t="s">
        <v>552</v>
      </c>
      <c r="B30" s="1" t="s">
        <v>71</v>
      </c>
      <c r="C30" s="1" t="s">
        <v>772</v>
      </c>
      <c r="D30" s="1" t="s">
        <v>773</v>
      </c>
      <c r="E30" s="1"/>
      <c r="F30" s="1" t="s">
        <v>774</v>
      </c>
      <c r="G30" s="1" t="s">
        <v>775</v>
      </c>
      <c r="H30" s="1" t="s">
        <v>776</v>
      </c>
      <c r="I30" s="1" t="s">
        <v>776</v>
      </c>
      <c r="J30" s="1">
        <v>6297795289</v>
      </c>
      <c r="K30" s="1" t="s">
        <v>79</v>
      </c>
      <c r="L30" s="1" t="s">
        <v>777</v>
      </c>
      <c r="M30" s="1" t="s">
        <v>81</v>
      </c>
      <c r="N30" s="1" t="s">
        <v>493</v>
      </c>
      <c r="O30" s="1" t="s">
        <v>152</v>
      </c>
      <c r="P30" s="1" t="s">
        <v>84</v>
      </c>
      <c r="Q30" s="1" t="s">
        <v>778</v>
      </c>
      <c r="R30" s="1" t="s">
        <v>779</v>
      </c>
      <c r="S30" s="1">
        <v>9732668113</v>
      </c>
      <c r="T30" s="1" t="s">
        <v>496</v>
      </c>
      <c r="U30" s="1" t="s">
        <v>780</v>
      </c>
      <c r="V30" s="1">
        <v>7479093287</v>
      </c>
      <c r="W30" s="1" t="s">
        <v>273</v>
      </c>
      <c r="X30" s="1" t="s">
        <v>781</v>
      </c>
      <c r="Y30" s="1" t="s">
        <v>782</v>
      </c>
      <c r="Z30" s="1" t="s">
        <v>783</v>
      </c>
      <c r="AA30" s="1" t="s">
        <v>781</v>
      </c>
      <c r="AB30" s="1" t="s">
        <v>782</v>
      </c>
      <c r="AC30" s="1" t="s">
        <v>783</v>
      </c>
      <c r="AD30" s="1" t="s">
        <v>93</v>
      </c>
      <c r="AE30" s="1" t="s">
        <v>93</v>
      </c>
      <c r="AF30" s="1" t="s">
        <v>784</v>
      </c>
      <c r="AG30" s="1" t="s">
        <v>785</v>
      </c>
      <c r="AH30" s="1" t="s">
        <v>786</v>
      </c>
      <c r="AI30" s="1" t="s">
        <v>479</v>
      </c>
      <c r="AJ30" s="1">
        <v>72.57</v>
      </c>
      <c r="AK30" s="1"/>
      <c r="AL30" s="1" t="s">
        <v>784</v>
      </c>
      <c r="AM30" s="1" t="s">
        <v>787</v>
      </c>
      <c r="AN30" s="1" t="s">
        <v>281</v>
      </c>
      <c r="AO30" s="1" t="s">
        <v>308</v>
      </c>
      <c r="AP30" s="1">
        <v>74.33</v>
      </c>
      <c r="AQ30" s="1"/>
      <c r="AR30" s="1"/>
      <c r="AS30" s="1"/>
      <c r="AT30" s="1"/>
      <c r="AU30" s="1"/>
      <c r="AV30" s="1"/>
      <c r="AW30" s="1"/>
      <c r="AX30" s="1" t="s">
        <v>788</v>
      </c>
      <c r="AY30" s="1" t="s">
        <v>789</v>
      </c>
      <c r="AZ30" s="1" t="s">
        <v>433</v>
      </c>
      <c r="BA30" s="1" t="s">
        <v>481</v>
      </c>
      <c r="BB30" s="1">
        <v>74.4</v>
      </c>
      <c r="BC30" s="1">
        <v>7.94</v>
      </c>
      <c r="BD30" s="1"/>
      <c r="BE30" s="1"/>
      <c r="BF30" s="1"/>
      <c r="BG30" s="1"/>
      <c r="BH30" s="1"/>
      <c r="BI30" s="1"/>
      <c r="BJ30" s="1" t="s">
        <v>790</v>
      </c>
      <c r="BK30" s="1"/>
      <c r="BL30" s="1"/>
      <c r="BM30" s="1" t="s">
        <v>791</v>
      </c>
      <c r="BN30" s="1">
        <v>7</v>
      </c>
      <c r="BO30" s="1"/>
      <c r="BP30" s="1" t="str">
        <f>HYPERLINK("https://nconnect.nicmar.ac.in/storage/profile/6a215af3bfa89.png","Download")</f>
        <v>0</v>
      </c>
      <c r="BQ30" s="3"/>
      <c r="BR30" s="3"/>
    </row>
    <row r="31" spans="1:70">
      <c r="A31" s="1" t="s">
        <v>552</v>
      </c>
      <c r="B31" s="1" t="s">
        <v>71</v>
      </c>
      <c r="C31" s="1" t="s">
        <v>792</v>
      </c>
      <c r="D31" s="1" t="s">
        <v>793</v>
      </c>
      <c r="E31" s="1" t="s">
        <v>794</v>
      </c>
      <c r="F31" s="1" t="s">
        <v>795</v>
      </c>
      <c r="G31" s="1" t="s">
        <v>796</v>
      </c>
      <c r="H31" s="1" t="s">
        <v>797</v>
      </c>
      <c r="I31" s="1" t="s">
        <v>798</v>
      </c>
      <c r="J31" s="1">
        <v>8830674430</v>
      </c>
      <c r="K31" s="1" t="s">
        <v>79</v>
      </c>
      <c r="L31" s="1" t="s">
        <v>799</v>
      </c>
      <c r="M31" s="1" t="s">
        <v>81</v>
      </c>
      <c r="N31" s="1" t="s">
        <v>800</v>
      </c>
      <c r="O31" s="1" t="s">
        <v>801</v>
      </c>
      <c r="P31" s="1" t="s">
        <v>117</v>
      </c>
      <c r="Q31" s="1" t="s">
        <v>802</v>
      </c>
      <c r="R31" s="1" t="s">
        <v>803</v>
      </c>
      <c r="S31" s="1">
        <v>9421678197</v>
      </c>
      <c r="T31" s="1" t="s">
        <v>804</v>
      </c>
      <c r="U31" s="1" t="s">
        <v>805</v>
      </c>
      <c r="V31" s="1">
        <v>9422291492</v>
      </c>
      <c r="W31" s="1" t="s">
        <v>806</v>
      </c>
      <c r="X31" s="1" t="s">
        <v>807</v>
      </c>
      <c r="Y31" s="1" t="s">
        <v>91</v>
      </c>
      <c r="Z31" s="1" t="s">
        <v>92</v>
      </c>
      <c r="AA31" s="1" t="s">
        <v>807</v>
      </c>
      <c r="AB31" s="1" t="s">
        <v>91</v>
      </c>
      <c r="AC31" s="1" t="s">
        <v>92</v>
      </c>
      <c r="AD31" s="1" t="s">
        <v>93</v>
      </c>
      <c r="AE31" s="1" t="s">
        <v>93</v>
      </c>
      <c r="AF31" s="1" t="s">
        <v>808</v>
      </c>
      <c r="AG31" s="1" t="s">
        <v>809</v>
      </c>
      <c r="AH31" s="1" t="s">
        <v>96</v>
      </c>
      <c r="AI31" s="1" t="s">
        <v>97</v>
      </c>
      <c r="AJ31" s="1">
        <v>70.2</v>
      </c>
      <c r="AK31" s="1"/>
      <c r="AL31" s="1" t="s">
        <v>810</v>
      </c>
      <c r="AM31" s="1" t="s">
        <v>160</v>
      </c>
      <c r="AN31" s="1" t="s">
        <v>165</v>
      </c>
      <c r="AO31" s="1" t="s">
        <v>101</v>
      </c>
      <c r="AP31" s="1">
        <v>64.31</v>
      </c>
      <c r="AQ31" s="1"/>
      <c r="AR31" s="1"/>
      <c r="AS31" s="1"/>
      <c r="AT31" s="1"/>
      <c r="AU31" s="1"/>
      <c r="AV31" s="1"/>
      <c r="AW31" s="1"/>
      <c r="AX31" s="1" t="s">
        <v>811</v>
      </c>
      <c r="AY31" s="1" t="s">
        <v>812</v>
      </c>
      <c r="AZ31" s="1" t="s">
        <v>169</v>
      </c>
      <c r="BA31" s="1" t="s">
        <v>229</v>
      </c>
      <c r="BB31" s="1">
        <v>54.99</v>
      </c>
      <c r="BC31" s="1">
        <v>7.03</v>
      </c>
      <c r="BD31" s="1"/>
      <c r="BE31" s="1"/>
      <c r="BF31" s="1"/>
      <c r="BG31" s="1"/>
      <c r="BH31" s="1"/>
      <c r="BI31" s="1"/>
      <c r="BJ31" s="1" t="s">
        <v>813</v>
      </c>
      <c r="BK31" s="1"/>
      <c r="BL31" s="1"/>
      <c r="BM31" s="1" t="s">
        <v>814</v>
      </c>
      <c r="BN31" s="1">
        <v>7</v>
      </c>
      <c r="BO31" s="1"/>
      <c r="BP31" s="1" t="str">
        <f>HYPERLINK("https://nconnect.nicmar.ac.in/storage/profile/6a2151e4b96fb.png","Download")</f>
        <v>0</v>
      </c>
      <c r="BQ31" s="3"/>
      <c r="BR31" s="3"/>
    </row>
    <row r="32" spans="1:70">
      <c r="A32" s="1" t="s">
        <v>552</v>
      </c>
      <c r="B32" s="1" t="s">
        <v>71</v>
      </c>
      <c r="C32" s="1" t="s">
        <v>815</v>
      </c>
      <c r="D32" s="1" t="s">
        <v>816</v>
      </c>
      <c r="E32" s="1"/>
      <c r="F32" s="1" t="s">
        <v>236</v>
      </c>
      <c r="G32" s="1" t="s">
        <v>817</v>
      </c>
      <c r="H32" s="1" t="s">
        <v>818</v>
      </c>
      <c r="I32" s="1" t="s">
        <v>819</v>
      </c>
      <c r="J32" s="1">
        <v>7038306695</v>
      </c>
      <c r="K32" s="1" t="s">
        <v>79</v>
      </c>
      <c r="L32" s="1" t="s">
        <v>820</v>
      </c>
      <c r="M32" s="1" t="s">
        <v>81</v>
      </c>
      <c r="N32" s="1" t="s">
        <v>821</v>
      </c>
      <c r="O32" s="1" t="s">
        <v>822</v>
      </c>
      <c r="P32" s="1" t="s">
        <v>214</v>
      </c>
      <c r="Q32" s="1" t="s">
        <v>823</v>
      </c>
      <c r="R32" s="1" t="s">
        <v>824</v>
      </c>
      <c r="S32" s="1">
        <v>9822616855</v>
      </c>
      <c r="T32" s="1" t="s">
        <v>87</v>
      </c>
      <c r="U32" s="1" t="s">
        <v>825</v>
      </c>
      <c r="V32" s="1">
        <v>9850107466</v>
      </c>
      <c r="W32" s="1" t="s">
        <v>89</v>
      </c>
      <c r="X32" s="1" t="s">
        <v>826</v>
      </c>
      <c r="Y32" s="1" t="s">
        <v>191</v>
      </c>
      <c r="Z32" s="1" t="s">
        <v>92</v>
      </c>
      <c r="AA32" s="1" t="s">
        <v>826</v>
      </c>
      <c r="AB32" s="1" t="s">
        <v>191</v>
      </c>
      <c r="AC32" s="1" t="s">
        <v>92</v>
      </c>
      <c r="AD32" s="1" t="s">
        <v>93</v>
      </c>
      <c r="AE32" s="1" t="s">
        <v>93</v>
      </c>
      <c r="AF32" s="1" t="s">
        <v>827</v>
      </c>
      <c r="AG32" s="1" t="s">
        <v>307</v>
      </c>
      <c r="AH32" s="1" t="s">
        <v>678</v>
      </c>
      <c r="AI32" s="1" t="s">
        <v>166</v>
      </c>
      <c r="AJ32" s="1">
        <v>64</v>
      </c>
      <c r="AK32" s="1"/>
      <c r="AL32" s="1" t="s">
        <v>828</v>
      </c>
      <c r="AM32" s="1" t="s">
        <v>829</v>
      </c>
      <c r="AN32" s="1" t="s">
        <v>433</v>
      </c>
      <c r="AO32" s="1" t="s">
        <v>360</v>
      </c>
      <c r="AP32" s="1">
        <v>60</v>
      </c>
      <c r="AQ32" s="1"/>
      <c r="AR32" s="1"/>
      <c r="AS32" s="1"/>
      <c r="AT32" s="1"/>
      <c r="AU32" s="1"/>
      <c r="AV32" s="1"/>
      <c r="AW32" s="1"/>
      <c r="AX32" s="1" t="s">
        <v>830</v>
      </c>
      <c r="AY32" s="1" t="s">
        <v>830</v>
      </c>
      <c r="AZ32" s="1" t="s">
        <v>681</v>
      </c>
      <c r="BA32" s="1" t="s">
        <v>590</v>
      </c>
      <c r="BB32" s="1">
        <v>77.4</v>
      </c>
      <c r="BC32" s="1">
        <v>8.49</v>
      </c>
      <c r="BD32" s="1"/>
      <c r="BE32" s="1"/>
      <c r="BF32" s="1"/>
      <c r="BG32" s="1"/>
      <c r="BH32" s="1"/>
      <c r="BI32" s="1"/>
      <c r="BJ32" s="1" t="s">
        <v>831</v>
      </c>
      <c r="BK32" s="1"/>
      <c r="BL32" s="1"/>
      <c r="BM32" s="1" t="s">
        <v>832</v>
      </c>
      <c r="BN32" s="1">
        <v>18</v>
      </c>
      <c r="BO32" s="1"/>
      <c r="BP32" s="1" t="str">
        <f>HYPERLINK("https://nconnect.nicmar.ac.in/storage/profile/6a213db498d95.png","Download")</f>
        <v>0</v>
      </c>
      <c r="BQ32" s="3"/>
      <c r="BR32" s="3"/>
    </row>
    <row r="33" spans="1:70">
      <c r="A33" s="1" t="s">
        <v>552</v>
      </c>
      <c r="B33" s="1" t="s">
        <v>71</v>
      </c>
      <c r="C33" s="1" t="s">
        <v>833</v>
      </c>
      <c r="D33" s="1" t="s">
        <v>834</v>
      </c>
      <c r="E33" s="1"/>
      <c r="F33" s="1" t="s">
        <v>835</v>
      </c>
      <c r="G33" s="1" t="s">
        <v>836</v>
      </c>
      <c r="H33" s="1" t="s">
        <v>837</v>
      </c>
      <c r="I33" s="1" t="s">
        <v>838</v>
      </c>
      <c r="J33" s="1">
        <v>6299309410</v>
      </c>
      <c r="K33" s="1" t="s">
        <v>148</v>
      </c>
      <c r="L33" s="1" t="s">
        <v>839</v>
      </c>
      <c r="M33" s="1" t="s">
        <v>81</v>
      </c>
      <c r="N33" s="1" t="s">
        <v>493</v>
      </c>
      <c r="O33" s="1" t="s">
        <v>822</v>
      </c>
      <c r="P33" s="1" t="s">
        <v>214</v>
      </c>
      <c r="Q33" s="1" t="s">
        <v>840</v>
      </c>
      <c r="R33" s="1" t="s">
        <v>841</v>
      </c>
      <c r="S33" s="1">
        <v>9262353433</v>
      </c>
      <c r="T33" s="1" t="s">
        <v>842</v>
      </c>
      <c r="U33" s="1" t="s">
        <v>843</v>
      </c>
      <c r="V33" s="1">
        <v>7070780503</v>
      </c>
      <c r="W33" s="1" t="s">
        <v>156</v>
      </c>
      <c r="X33" s="1" t="s">
        <v>844</v>
      </c>
      <c r="Y33" s="1" t="s">
        <v>845</v>
      </c>
      <c r="Z33" s="1" t="s">
        <v>846</v>
      </c>
      <c r="AA33" s="1" t="s">
        <v>844</v>
      </c>
      <c r="AB33" s="1" t="s">
        <v>845</v>
      </c>
      <c r="AC33" s="1" t="s">
        <v>846</v>
      </c>
      <c r="AD33" s="1" t="s">
        <v>93</v>
      </c>
      <c r="AE33" s="1" t="s">
        <v>93</v>
      </c>
      <c r="AF33" s="1" t="s">
        <v>847</v>
      </c>
      <c r="AG33" s="1" t="s">
        <v>848</v>
      </c>
      <c r="AH33" s="1" t="s">
        <v>503</v>
      </c>
      <c r="AI33" s="1" t="s">
        <v>527</v>
      </c>
      <c r="AJ33" s="1">
        <v>81.7</v>
      </c>
      <c r="AK33" s="1">
        <v>8.6</v>
      </c>
      <c r="AL33" s="1" t="s">
        <v>849</v>
      </c>
      <c r="AM33" s="1" t="s">
        <v>848</v>
      </c>
      <c r="AN33" s="1" t="s">
        <v>678</v>
      </c>
      <c r="AO33" s="1" t="s">
        <v>166</v>
      </c>
      <c r="AP33" s="1">
        <v>72.8</v>
      </c>
      <c r="AQ33" s="1"/>
      <c r="AR33" s="1"/>
      <c r="AS33" s="1"/>
      <c r="AT33" s="1"/>
      <c r="AU33" s="1"/>
      <c r="AV33" s="1"/>
      <c r="AW33" s="1"/>
      <c r="AX33" s="1" t="s">
        <v>850</v>
      </c>
      <c r="AY33" s="1" t="s">
        <v>851</v>
      </c>
      <c r="AZ33" s="1" t="s">
        <v>201</v>
      </c>
      <c r="BA33" s="1" t="s">
        <v>436</v>
      </c>
      <c r="BB33" s="1">
        <v>75.84</v>
      </c>
      <c r="BC33" s="1">
        <v>7.53</v>
      </c>
      <c r="BD33" s="1"/>
      <c r="BE33" s="1"/>
      <c r="BF33" s="1"/>
      <c r="BG33" s="1"/>
      <c r="BH33" s="1"/>
      <c r="BI33" s="1"/>
      <c r="BJ33" s="1" t="s">
        <v>591</v>
      </c>
      <c r="BK33" s="1"/>
      <c r="BL33" s="1"/>
      <c r="BM33" s="1" t="s">
        <v>852</v>
      </c>
      <c r="BN33" s="1">
        <v>35</v>
      </c>
      <c r="BO33" s="1"/>
      <c r="BP33" s="1" t="str">
        <f>HYPERLINK("https://nconnect.nicmar.ac.in/storage/profile/6a2122372a8fe.png","Download")</f>
        <v>0</v>
      </c>
      <c r="BQ33" s="3"/>
      <c r="BR33" s="3"/>
    </row>
    <row r="34" spans="1:70">
      <c r="A34" s="1" t="s">
        <v>552</v>
      </c>
      <c r="B34" s="1" t="s">
        <v>71</v>
      </c>
      <c r="C34" s="1" t="s">
        <v>853</v>
      </c>
      <c r="D34" s="1" t="s">
        <v>854</v>
      </c>
      <c r="E34" s="1"/>
      <c r="F34" s="1" t="s">
        <v>855</v>
      </c>
      <c r="G34" s="1" t="s">
        <v>856</v>
      </c>
      <c r="H34" s="1" t="s">
        <v>857</v>
      </c>
      <c r="I34" s="1" t="s">
        <v>858</v>
      </c>
      <c r="J34" s="1">
        <v>9131074814</v>
      </c>
      <c r="K34" s="1" t="s">
        <v>79</v>
      </c>
      <c r="L34" s="1" t="s">
        <v>859</v>
      </c>
      <c r="M34" s="1" t="s">
        <v>81</v>
      </c>
      <c r="N34" s="1" t="s">
        <v>860</v>
      </c>
      <c r="O34" s="1" t="s">
        <v>822</v>
      </c>
      <c r="P34" s="1" t="s">
        <v>214</v>
      </c>
      <c r="Q34" s="1" t="s">
        <v>861</v>
      </c>
      <c r="R34" s="1" t="s">
        <v>862</v>
      </c>
      <c r="S34" s="1">
        <v>9584462986</v>
      </c>
      <c r="T34" s="1" t="s">
        <v>863</v>
      </c>
      <c r="U34" s="1" t="s">
        <v>864</v>
      </c>
      <c r="V34" s="1">
        <v>6230971970</v>
      </c>
      <c r="W34" s="1" t="s">
        <v>89</v>
      </c>
      <c r="X34" s="1" t="s">
        <v>865</v>
      </c>
      <c r="Y34" s="1" t="s">
        <v>866</v>
      </c>
      <c r="Z34" s="1" t="s">
        <v>867</v>
      </c>
      <c r="AA34" s="1" t="s">
        <v>865</v>
      </c>
      <c r="AB34" s="1" t="s">
        <v>866</v>
      </c>
      <c r="AC34" s="1" t="s">
        <v>867</v>
      </c>
      <c r="AD34" s="1" t="s">
        <v>93</v>
      </c>
      <c r="AE34" s="1" t="s">
        <v>93</v>
      </c>
      <c r="AF34" s="1" t="s">
        <v>868</v>
      </c>
      <c r="AG34" s="1" t="s">
        <v>869</v>
      </c>
      <c r="AH34" s="1" t="s">
        <v>162</v>
      </c>
      <c r="AI34" s="1" t="s">
        <v>165</v>
      </c>
      <c r="AJ34" s="1">
        <v>60.8</v>
      </c>
      <c r="AK34" s="1">
        <v>6.4</v>
      </c>
      <c r="AL34" s="1" t="s">
        <v>870</v>
      </c>
      <c r="AM34" s="1" t="s">
        <v>871</v>
      </c>
      <c r="AN34" s="1" t="s">
        <v>636</v>
      </c>
      <c r="AO34" s="1" t="s">
        <v>308</v>
      </c>
      <c r="AP34" s="1">
        <v>59.6</v>
      </c>
      <c r="AQ34" s="1"/>
      <c r="AR34" s="1"/>
      <c r="AS34" s="1"/>
      <c r="AT34" s="1"/>
      <c r="AU34" s="1"/>
      <c r="AV34" s="1"/>
      <c r="AW34" s="1"/>
      <c r="AX34" s="1" t="s">
        <v>872</v>
      </c>
      <c r="AY34" s="1" t="s">
        <v>873</v>
      </c>
      <c r="AZ34" s="1" t="s">
        <v>201</v>
      </c>
      <c r="BA34" s="1" t="s">
        <v>874</v>
      </c>
      <c r="BB34" s="1">
        <v>68.68</v>
      </c>
      <c r="BC34" s="1">
        <v>7.23</v>
      </c>
      <c r="BD34" s="1"/>
      <c r="BE34" s="1"/>
      <c r="BF34" s="1"/>
      <c r="BG34" s="1"/>
      <c r="BH34" s="1"/>
      <c r="BI34" s="1"/>
      <c r="BJ34" s="1" t="s">
        <v>875</v>
      </c>
      <c r="BK34" s="1"/>
      <c r="BL34" s="1"/>
      <c r="BM34" s="1" t="s">
        <v>876</v>
      </c>
      <c r="BN34" s="1">
        <v>17</v>
      </c>
      <c r="BO34" s="1"/>
      <c r="BP34" s="1" t="str">
        <f>HYPERLINK("https://nconnect.nicmar.ac.in/storage/profile/6a2117038be45.png","Download")</f>
        <v>0</v>
      </c>
      <c r="BQ34" s="3"/>
      <c r="BR34" s="3"/>
    </row>
    <row r="35" spans="1:70">
      <c r="A35" s="1" t="s">
        <v>552</v>
      </c>
      <c r="B35" s="1" t="s">
        <v>71</v>
      </c>
      <c r="C35" s="1" t="s">
        <v>877</v>
      </c>
      <c r="D35" s="1" t="s">
        <v>878</v>
      </c>
      <c r="E35" s="1"/>
      <c r="F35" s="1" t="s">
        <v>879</v>
      </c>
      <c r="G35" s="1" t="s">
        <v>880</v>
      </c>
      <c r="H35" s="1" t="s">
        <v>881</v>
      </c>
      <c r="I35" s="1" t="s">
        <v>881</v>
      </c>
      <c r="J35" s="1">
        <v>9400426300</v>
      </c>
      <c r="K35" s="1" t="s">
        <v>79</v>
      </c>
      <c r="L35" s="1" t="s">
        <v>882</v>
      </c>
      <c r="M35" s="1" t="s">
        <v>81</v>
      </c>
      <c r="N35" s="1" t="s">
        <v>883</v>
      </c>
      <c r="O35" s="1" t="s">
        <v>884</v>
      </c>
      <c r="P35" s="1" t="s">
        <v>214</v>
      </c>
      <c r="Q35" s="1" t="s">
        <v>885</v>
      </c>
      <c r="R35" s="1" t="s">
        <v>886</v>
      </c>
      <c r="S35" s="1">
        <v>9447796300</v>
      </c>
      <c r="T35" s="1" t="s">
        <v>887</v>
      </c>
      <c r="U35" s="1" t="s">
        <v>888</v>
      </c>
      <c r="V35" s="1">
        <v>9446655660</v>
      </c>
      <c r="W35" s="1" t="s">
        <v>889</v>
      </c>
      <c r="X35" s="1" t="s">
        <v>890</v>
      </c>
      <c r="Y35" s="1" t="s">
        <v>891</v>
      </c>
      <c r="Z35" s="1" t="s">
        <v>125</v>
      </c>
      <c r="AA35" s="1" t="s">
        <v>892</v>
      </c>
      <c r="AB35" s="1" t="s">
        <v>191</v>
      </c>
      <c r="AC35" s="1" t="s">
        <v>92</v>
      </c>
      <c r="AD35" s="1" t="s">
        <v>93</v>
      </c>
      <c r="AE35" s="1" t="s">
        <v>93</v>
      </c>
      <c r="AF35" s="1" t="s">
        <v>893</v>
      </c>
      <c r="AG35" s="1" t="s">
        <v>894</v>
      </c>
      <c r="AH35" s="1" t="s">
        <v>503</v>
      </c>
      <c r="AI35" s="1" t="s">
        <v>162</v>
      </c>
      <c r="AJ35" s="1">
        <v>57.0</v>
      </c>
      <c r="AK35" s="1">
        <v>6.0</v>
      </c>
      <c r="AL35" s="1" t="s">
        <v>893</v>
      </c>
      <c r="AM35" s="1" t="s">
        <v>894</v>
      </c>
      <c r="AN35" s="1" t="s">
        <v>678</v>
      </c>
      <c r="AO35" s="1" t="s">
        <v>166</v>
      </c>
      <c r="AP35" s="1">
        <v>73.4</v>
      </c>
      <c r="AQ35" s="1">
        <v>7.68</v>
      </c>
      <c r="AR35" s="1"/>
      <c r="AS35" s="1"/>
      <c r="AT35" s="1"/>
      <c r="AU35" s="1"/>
      <c r="AV35" s="1"/>
      <c r="AW35" s="1"/>
      <c r="AX35" s="1" t="s">
        <v>895</v>
      </c>
      <c r="AY35" s="1" t="s">
        <v>896</v>
      </c>
      <c r="AZ35" s="1" t="s">
        <v>169</v>
      </c>
      <c r="BA35" s="1" t="s">
        <v>897</v>
      </c>
      <c r="BB35" s="1">
        <v>51.45</v>
      </c>
      <c r="BC35" s="1"/>
      <c r="BD35" s="1"/>
      <c r="BE35" s="1"/>
      <c r="BF35" s="1"/>
      <c r="BG35" s="1"/>
      <c r="BH35" s="1"/>
      <c r="BI35" s="1"/>
      <c r="BJ35" s="1" t="s">
        <v>898</v>
      </c>
      <c r="BK35" s="1"/>
      <c r="BL35" s="1"/>
      <c r="BM35" s="1" t="s">
        <v>899</v>
      </c>
      <c r="BN35" s="1">
        <v>8</v>
      </c>
      <c r="BO35" s="1"/>
      <c r="BP35" s="1" t="str">
        <f>HYPERLINK("https://nconnect.nicmar.ac.in/storage/profile/6a210dbd65393.png","Download")</f>
        <v>0</v>
      </c>
      <c r="BQ35" s="3"/>
      <c r="BR35" s="3"/>
    </row>
    <row r="36" spans="1:70">
      <c r="A36" s="1" t="s">
        <v>552</v>
      </c>
      <c r="B36" s="1" t="s">
        <v>71</v>
      </c>
      <c r="C36" s="1" t="s">
        <v>900</v>
      </c>
      <c r="D36" s="1" t="s">
        <v>901</v>
      </c>
      <c r="E36" s="1" t="s">
        <v>902</v>
      </c>
      <c r="F36" s="1" t="s">
        <v>903</v>
      </c>
      <c r="G36" s="1" t="s">
        <v>904</v>
      </c>
      <c r="H36" s="1" t="s">
        <v>905</v>
      </c>
      <c r="I36" s="1" t="s">
        <v>905</v>
      </c>
      <c r="J36" s="1">
        <v>9657894169</v>
      </c>
      <c r="K36" s="1" t="s">
        <v>79</v>
      </c>
      <c r="L36" s="1" t="s">
        <v>906</v>
      </c>
      <c r="M36" s="1" t="s">
        <v>81</v>
      </c>
      <c r="N36" s="1" t="s">
        <v>907</v>
      </c>
      <c r="O36" s="1" t="s">
        <v>908</v>
      </c>
      <c r="P36" s="1" t="s">
        <v>351</v>
      </c>
      <c r="Q36" s="1" t="s">
        <v>909</v>
      </c>
      <c r="R36" s="1" t="s">
        <v>902</v>
      </c>
      <c r="S36" s="1">
        <v>9623976715</v>
      </c>
      <c r="T36" s="1" t="s">
        <v>910</v>
      </c>
      <c r="U36" s="1" t="s">
        <v>911</v>
      </c>
      <c r="V36" s="1">
        <v>9518536526</v>
      </c>
      <c r="W36" s="1" t="s">
        <v>156</v>
      </c>
      <c r="X36" s="1" t="s">
        <v>912</v>
      </c>
      <c r="Y36" s="1" t="s">
        <v>191</v>
      </c>
      <c r="Z36" s="1" t="s">
        <v>92</v>
      </c>
      <c r="AA36" s="1" t="s">
        <v>912</v>
      </c>
      <c r="AB36" s="1" t="s">
        <v>191</v>
      </c>
      <c r="AC36" s="1" t="s">
        <v>92</v>
      </c>
      <c r="AD36" s="1" t="s">
        <v>93</v>
      </c>
      <c r="AE36" s="1" t="s">
        <v>93</v>
      </c>
      <c r="AF36" s="1" t="s">
        <v>913</v>
      </c>
      <c r="AG36" s="1" t="s">
        <v>914</v>
      </c>
      <c r="AH36" s="1" t="s">
        <v>915</v>
      </c>
      <c r="AI36" s="1" t="s">
        <v>281</v>
      </c>
      <c r="AJ36" s="1">
        <v>67.4</v>
      </c>
      <c r="AK36" s="1">
        <v>7.09</v>
      </c>
      <c r="AL36" s="1" t="s">
        <v>916</v>
      </c>
      <c r="AM36" s="1" t="s">
        <v>917</v>
      </c>
      <c r="AN36" s="1" t="s">
        <v>359</v>
      </c>
      <c r="AO36" s="1" t="s">
        <v>360</v>
      </c>
      <c r="AP36" s="1">
        <v>57.07</v>
      </c>
      <c r="AQ36" s="1">
        <v>6.01</v>
      </c>
      <c r="AR36" s="1"/>
      <c r="AS36" s="1"/>
      <c r="AT36" s="1"/>
      <c r="AU36" s="1"/>
      <c r="AV36" s="1"/>
      <c r="AW36" s="1"/>
      <c r="AX36" s="1" t="s">
        <v>918</v>
      </c>
      <c r="AY36" s="1" t="s">
        <v>919</v>
      </c>
      <c r="AZ36" s="1" t="s">
        <v>920</v>
      </c>
      <c r="BA36" s="1" t="s">
        <v>413</v>
      </c>
      <c r="BB36" s="1">
        <v>70.9</v>
      </c>
      <c r="BC36" s="1"/>
      <c r="BD36" s="1"/>
      <c r="BE36" s="1"/>
      <c r="BF36" s="1"/>
      <c r="BG36" s="1"/>
      <c r="BH36" s="1"/>
      <c r="BI36" s="1"/>
      <c r="BJ36" s="1" t="s">
        <v>921</v>
      </c>
      <c r="BK36" s="1"/>
      <c r="BL36" s="1"/>
      <c r="BM36" s="1" t="s">
        <v>922</v>
      </c>
      <c r="BN36" s="1">
        <v>8</v>
      </c>
      <c r="BO36" s="1"/>
      <c r="BP36" s="1" t="str">
        <f>HYPERLINK("https://nconnect.nicmar.ac.in/storage/profile/6a20fb7964b78.png","Download")</f>
        <v>0</v>
      </c>
      <c r="BQ36" s="3"/>
      <c r="BR36" s="3"/>
    </row>
    <row r="37" spans="1:70">
      <c r="A37" s="1" t="s">
        <v>552</v>
      </c>
      <c r="B37" s="1" t="s">
        <v>71</v>
      </c>
      <c r="C37" s="1" t="s">
        <v>923</v>
      </c>
      <c r="D37" s="1" t="s">
        <v>554</v>
      </c>
      <c r="E37" s="1"/>
      <c r="F37" s="1" t="s">
        <v>924</v>
      </c>
      <c r="G37" s="1" t="s">
        <v>925</v>
      </c>
      <c r="H37" s="1" t="s">
        <v>926</v>
      </c>
      <c r="I37" s="1" t="s">
        <v>927</v>
      </c>
      <c r="J37" s="1">
        <v>7225044628</v>
      </c>
      <c r="K37" s="1" t="s">
        <v>79</v>
      </c>
      <c r="L37" s="1" t="s">
        <v>928</v>
      </c>
      <c r="M37" s="1" t="s">
        <v>81</v>
      </c>
      <c r="N37" s="1" t="s">
        <v>929</v>
      </c>
      <c r="O37" s="1" t="s">
        <v>186</v>
      </c>
      <c r="P37" s="1" t="s">
        <v>84</v>
      </c>
      <c r="Q37" s="1" t="s">
        <v>930</v>
      </c>
      <c r="R37" s="1" t="s">
        <v>931</v>
      </c>
      <c r="S37" s="1">
        <v>9827235644</v>
      </c>
      <c r="T37" s="1" t="s">
        <v>932</v>
      </c>
      <c r="U37" s="1" t="s">
        <v>933</v>
      </c>
      <c r="V37" s="1">
        <v>7869176502</v>
      </c>
      <c r="W37" s="1" t="s">
        <v>273</v>
      </c>
      <c r="X37" s="1" t="s">
        <v>934</v>
      </c>
      <c r="Y37" s="1" t="s">
        <v>935</v>
      </c>
      <c r="Z37" s="1" t="s">
        <v>936</v>
      </c>
      <c r="AA37" s="1" t="s">
        <v>937</v>
      </c>
      <c r="AB37" s="1" t="s">
        <v>191</v>
      </c>
      <c r="AC37" s="1" t="s">
        <v>92</v>
      </c>
      <c r="AD37" s="1" t="s">
        <v>93</v>
      </c>
      <c r="AE37" s="1" t="s">
        <v>93</v>
      </c>
      <c r="AF37" s="1" t="s">
        <v>938</v>
      </c>
      <c r="AG37" s="1" t="s">
        <v>939</v>
      </c>
      <c r="AH37" s="1" t="s">
        <v>281</v>
      </c>
      <c r="AI37" s="1" t="s">
        <v>308</v>
      </c>
      <c r="AJ37" s="1">
        <v>65.2</v>
      </c>
      <c r="AK37" s="1">
        <v>6.52</v>
      </c>
      <c r="AL37" s="1" t="s">
        <v>940</v>
      </c>
      <c r="AM37" s="1" t="s">
        <v>939</v>
      </c>
      <c r="AN37" s="1" t="s">
        <v>941</v>
      </c>
      <c r="AO37" s="1" t="s">
        <v>506</v>
      </c>
      <c r="AP37" s="1">
        <v>65.4</v>
      </c>
      <c r="AQ37" s="1">
        <v>6.54</v>
      </c>
      <c r="AR37" s="1"/>
      <c r="AS37" s="1"/>
      <c r="AT37" s="1"/>
      <c r="AU37" s="1"/>
      <c r="AV37" s="1"/>
      <c r="AW37" s="1"/>
      <c r="AX37" s="1" t="s">
        <v>942</v>
      </c>
      <c r="AY37" s="1" t="s">
        <v>943</v>
      </c>
      <c r="AZ37" s="1" t="s">
        <v>436</v>
      </c>
      <c r="BA37" s="1" t="s">
        <v>944</v>
      </c>
      <c r="BB37" s="1">
        <v>74.3</v>
      </c>
      <c r="BC37" s="1">
        <v>7.43</v>
      </c>
      <c r="BD37" s="1"/>
      <c r="BE37" s="1"/>
      <c r="BF37" s="1"/>
      <c r="BG37" s="1"/>
      <c r="BH37" s="1"/>
      <c r="BI37" s="1"/>
      <c r="BJ37" s="1" t="s">
        <v>945</v>
      </c>
      <c r="BK37" s="1" t="s">
        <v>946</v>
      </c>
      <c r="BL37" s="1" t="s">
        <v>947</v>
      </c>
      <c r="BM37" s="1"/>
      <c r="BN37" s="1"/>
      <c r="BO37" s="1"/>
      <c r="BP37" s="1" t="str">
        <f>HYPERLINK("https://nconnect.nicmar.ac.in/storage/profile/6a2011a6456bc.png","Download")</f>
        <v>0</v>
      </c>
      <c r="BQ37" s="3"/>
      <c r="BR37" s="3"/>
    </row>
    <row r="38" spans="1:70">
      <c r="A38" s="1" t="s">
        <v>552</v>
      </c>
      <c r="B38" s="1" t="s">
        <v>71</v>
      </c>
      <c r="C38" s="1" t="s">
        <v>948</v>
      </c>
      <c r="D38" s="1" t="s">
        <v>417</v>
      </c>
      <c r="E38" s="1" t="s">
        <v>949</v>
      </c>
      <c r="F38" s="1" t="s">
        <v>950</v>
      </c>
      <c r="G38" s="1" t="s">
        <v>951</v>
      </c>
      <c r="H38" s="1" t="s">
        <v>952</v>
      </c>
      <c r="I38" s="1" t="s">
        <v>953</v>
      </c>
      <c r="J38" s="1">
        <v>9370886566</v>
      </c>
      <c r="K38" s="1" t="s">
        <v>148</v>
      </c>
      <c r="L38" s="1" t="s">
        <v>954</v>
      </c>
      <c r="M38" s="1" t="s">
        <v>81</v>
      </c>
      <c r="N38" s="1" t="s">
        <v>955</v>
      </c>
      <c r="O38" s="1" t="s">
        <v>956</v>
      </c>
      <c r="P38" s="1" t="s">
        <v>84</v>
      </c>
      <c r="Q38" s="1" t="s">
        <v>957</v>
      </c>
      <c r="R38" s="1" t="s">
        <v>949</v>
      </c>
      <c r="S38" s="1">
        <v>7796383131</v>
      </c>
      <c r="T38" s="1" t="s">
        <v>842</v>
      </c>
      <c r="U38" s="1" t="s">
        <v>958</v>
      </c>
      <c r="V38" s="1">
        <v>9172768838</v>
      </c>
      <c r="W38" s="1" t="s">
        <v>959</v>
      </c>
      <c r="X38" s="1" t="s">
        <v>960</v>
      </c>
      <c r="Y38" s="1" t="s">
        <v>91</v>
      </c>
      <c r="Z38" s="1" t="s">
        <v>92</v>
      </c>
      <c r="AA38" s="1" t="s">
        <v>960</v>
      </c>
      <c r="AB38" s="1" t="s">
        <v>91</v>
      </c>
      <c r="AC38" s="1" t="s">
        <v>92</v>
      </c>
      <c r="AD38" s="1" t="s">
        <v>93</v>
      </c>
      <c r="AE38" s="1" t="s">
        <v>93</v>
      </c>
      <c r="AF38" s="1" t="s">
        <v>961</v>
      </c>
      <c r="AG38" s="1" t="s">
        <v>962</v>
      </c>
      <c r="AH38" s="1" t="s">
        <v>165</v>
      </c>
      <c r="AI38" s="1" t="s">
        <v>101</v>
      </c>
      <c r="AJ38" s="1">
        <v>87</v>
      </c>
      <c r="AK38" s="1"/>
      <c r="AL38" s="1" t="s">
        <v>963</v>
      </c>
      <c r="AM38" s="1" t="s">
        <v>962</v>
      </c>
      <c r="AN38" s="1" t="s">
        <v>433</v>
      </c>
      <c r="AO38" s="1" t="s">
        <v>412</v>
      </c>
      <c r="AP38" s="1">
        <v>81.08</v>
      </c>
      <c r="AQ38" s="1"/>
      <c r="AR38" s="1"/>
      <c r="AS38" s="1"/>
      <c r="AT38" s="1"/>
      <c r="AU38" s="1"/>
      <c r="AV38" s="1"/>
      <c r="AW38" s="1"/>
      <c r="AX38" s="1" t="s">
        <v>199</v>
      </c>
      <c r="AY38" s="1" t="s">
        <v>964</v>
      </c>
      <c r="AZ38" s="1" t="s">
        <v>173</v>
      </c>
      <c r="BA38" s="1" t="s">
        <v>386</v>
      </c>
      <c r="BB38" s="1">
        <v>68.28</v>
      </c>
      <c r="BC38" s="1">
        <v>8.25</v>
      </c>
      <c r="BD38" s="1"/>
      <c r="BE38" s="1"/>
      <c r="BF38" s="1"/>
      <c r="BG38" s="1"/>
      <c r="BH38" s="1"/>
      <c r="BI38" s="1"/>
      <c r="BJ38" s="1" t="s">
        <v>965</v>
      </c>
      <c r="BK38" s="1"/>
      <c r="BL38" s="1"/>
      <c r="BM38" s="1" t="s">
        <v>966</v>
      </c>
      <c r="BN38" s="1">
        <v>16</v>
      </c>
      <c r="BO38" s="1"/>
      <c r="BP38" s="1" t="str">
        <f>HYPERLINK("https://nconnect.nicmar.ac.in/storage/profile/6a20041f0beae.png","Download")</f>
        <v>0</v>
      </c>
      <c r="BQ38" s="3"/>
      <c r="BR38" s="3"/>
    </row>
    <row r="39" spans="1:70">
      <c r="A39" s="1" t="s">
        <v>967</v>
      </c>
      <c r="B39" s="1" t="s">
        <v>71</v>
      </c>
      <c r="C39" s="1" t="s">
        <v>968</v>
      </c>
      <c r="D39" s="1" t="s">
        <v>969</v>
      </c>
      <c r="E39" s="1" t="s">
        <v>970</v>
      </c>
      <c r="F39" s="1" t="s">
        <v>971</v>
      </c>
      <c r="G39" s="1" t="s">
        <v>972</v>
      </c>
      <c r="H39" s="1" t="s">
        <v>973</v>
      </c>
      <c r="I39" s="1" t="s">
        <v>973</v>
      </c>
      <c r="J39" s="1">
        <v>9021085985</v>
      </c>
      <c r="K39" s="1" t="s">
        <v>148</v>
      </c>
      <c r="L39" s="1" t="s">
        <v>974</v>
      </c>
      <c r="M39" s="1" t="s">
        <v>81</v>
      </c>
      <c r="N39" s="1" t="s">
        <v>350</v>
      </c>
      <c r="O39" s="1" t="s">
        <v>152</v>
      </c>
      <c r="P39" s="1" t="s">
        <v>117</v>
      </c>
      <c r="Q39" s="1" t="s">
        <v>975</v>
      </c>
      <c r="R39" s="1" t="s">
        <v>971</v>
      </c>
      <c r="S39" s="1">
        <v>9834988464</v>
      </c>
      <c r="T39" s="1" t="s">
        <v>976</v>
      </c>
      <c r="U39" s="1" t="s">
        <v>977</v>
      </c>
      <c r="V39" s="1">
        <v>9604687811</v>
      </c>
      <c r="W39" s="1" t="s">
        <v>156</v>
      </c>
      <c r="X39" s="1" t="s">
        <v>978</v>
      </c>
      <c r="Y39" s="1" t="s">
        <v>219</v>
      </c>
      <c r="Z39" s="1" t="s">
        <v>92</v>
      </c>
      <c r="AA39" s="1" t="s">
        <v>978</v>
      </c>
      <c r="AB39" s="1" t="s">
        <v>219</v>
      </c>
      <c r="AC39" s="1" t="s">
        <v>92</v>
      </c>
      <c r="AD39" s="1" t="s">
        <v>93</v>
      </c>
      <c r="AE39" s="1" t="s">
        <v>93</v>
      </c>
      <c r="AF39" s="1" t="s">
        <v>979</v>
      </c>
      <c r="AG39" s="1" t="s">
        <v>476</v>
      </c>
      <c r="AH39" s="1" t="s">
        <v>161</v>
      </c>
      <c r="AI39" s="1" t="s">
        <v>279</v>
      </c>
      <c r="AJ39" s="1">
        <v>89.2</v>
      </c>
      <c r="AK39" s="1"/>
      <c r="AL39" s="1" t="s">
        <v>979</v>
      </c>
      <c r="AM39" s="1" t="s">
        <v>476</v>
      </c>
      <c r="AN39" s="1" t="s">
        <v>165</v>
      </c>
      <c r="AO39" s="1" t="s">
        <v>166</v>
      </c>
      <c r="AP39" s="1">
        <v>71.38</v>
      </c>
      <c r="AQ39" s="1"/>
      <c r="AR39" s="1"/>
      <c r="AS39" s="1"/>
      <c r="AT39" s="1"/>
      <c r="AU39" s="1"/>
      <c r="AV39" s="1"/>
      <c r="AW39" s="1"/>
      <c r="AX39" s="1" t="s">
        <v>410</v>
      </c>
      <c r="AY39" s="1" t="s">
        <v>980</v>
      </c>
      <c r="AZ39" s="1" t="s">
        <v>101</v>
      </c>
      <c r="BA39" s="1" t="s">
        <v>229</v>
      </c>
      <c r="BB39" s="1">
        <v>66.5</v>
      </c>
      <c r="BC39" s="1">
        <v>7.4</v>
      </c>
      <c r="BD39" s="1"/>
      <c r="BE39" s="1"/>
      <c r="BF39" s="1"/>
      <c r="BG39" s="1"/>
      <c r="BH39" s="1"/>
      <c r="BI39" s="1"/>
      <c r="BJ39" s="1" t="s">
        <v>981</v>
      </c>
      <c r="BK39" s="1"/>
      <c r="BL39" s="1"/>
      <c r="BM39" s="1" t="s">
        <v>982</v>
      </c>
      <c r="BN39" s="1">
        <v>47</v>
      </c>
      <c r="BO39" s="1" t="s">
        <v>983</v>
      </c>
      <c r="BP39" s="1" t="str">
        <f>HYPERLINK("https://nconnect.nicmar.ac.in/storage/profile/6a26636e35111.png","Download")</f>
        <v>0</v>
      </c>
      <c r="BQ39" s="3"/>
      <c r="BR39" s="3"/>
    </row>
    <row r="40" spans="1:70">
      <c r="A40" s="1" t="s">
        <v>967</v>
      </c>
      <c r="B40" s="1" t="s">
        <v>71</v>
      </c>
      <c r="C40" s="1" t="s">
        <v>984</v>
      </c>
      <c r="D40" s="1" t="s">
        <v>985</v>
      </c>
      <c r="E40" s="1" t="s">
        <v>986</v>
      </c>
      <c r="F40" s="1" t="s">
        <v>987</v>
      </c>
      <c r="G40" s="1" t="s">
        <v>988</v>
      </c>
      <c r="H40" s="1" t="s">
        <v>989</v>
      </c>
      <c r="I40" s="1" t="s">
        <v>989</v>
      </c>
      <c r="J40" s="1">
        <v>8082397000</v>
      </c>
      <c r="K40" s="1" t="s">
        <v>148</v>
      </c>
      <c r="L40" s="1">
        <v>36064</v>
      </c>
      <c r="M40" s="1" t="s">
        <v>81</v>
      </c>
      <c r="N40" s="1" t="s">
        <v>538</v>
      </c>
      <c r="O40" s="1" t="s">
        <v>152</v>
      </c>
      <c r="P40" s="1" t="s">
        <v>214</v>
      </c>
      <c r="Q40" s="1" t="s">
        <v>990</v>
      </c>
      <c r="R40" s="1" t="s">
        <v>986</v>
      </c>
      <c r="S40" s="1">
        <v>9821941916</v>
      </c>
      <c r="T40" s="1" t="s">
        <v>991</v>
      </c>
      <c r="U40" s="1" t="s">
        <v>992</v>
      </c>
      <c r="V40" s="1">
        <v>9967373939</v>
      </c>
      <c r="W40" s="1" t="s">
        <v>993</v>
      </c>
      <c r="X40" s="1" t="s">
        <v>994</v>
      </c>
      <c r="Y40" s="1" t="s">
        <v>995</v>
      </c>
      <c r="Z40" s="1" t="s">
        <v>92</v>
      </c>
      <c r="AA40" s="1" t="s">
        <v>994</v>
      </c>
      <c r="AB40" s="1" t="s">
        <v>995</v>
      </c>
      <c r="AC40" s="1" t="s">
        <v>92</v>
      </c>
      <c r="AD40" s="1" t="s">
        <v>93</v>
      </c>
      <c r="AE40" s="1" t="s">
        <v>93</v>
      </c>
      <c r="AF40" s="1" t="s">
        <v>996</v>
      </c>
      <c r="AG40" s="1" t="s">
        <v>997</v>
      </c>
      <c r="AH40" s="1" t="s">
        <v>998</v>
      </c>
      <c r="AI40" s="1" t="s">
        <v>999</v>
      </c>
      <c r="AJ40" s="1">
        <v>75.8</v>
      </c>
      <c r="AK40" s="1"/>
      <c r="AL40" s="1" t="s">
        <v>1000</v>
      </c>
      <c r="AM40" s="1" t="s">
        <v>997</v>
      </c>
      <c r="AN40" s="1" t="s">
        <v>161</v>
      </c>
      <c r="AO40" s="1" t="s">
        <v>1001</v>
      </c>
      <c r="AP40" s="1">
        <v>58.0</v>
      </c>
      <c r="AQ40" s="1"/>
      <c r="AR40" s="1"/>
      <c r="AS40" s="1"/>
      <c r="AT40" s="1"/>
      <c r="AU40" s="1"/>
      <c r="AV40" s="1"/>
      <c r="AW40" s="1"/>
      <c r="AX40" s="1" t="s">
        <v>1002</v>
      </c>
      <c r="AY40" s="1" t="s">
        <v>1002</v>
      </c>
      <c r="AZ40" s="1" t="s">
        <v>162</v>
      </c>
      <c r="BA40" s="1" t="s">
        <v>1003</v>
      </c>
      <c r="BB40" s="1">
        <v>78.3</v>
      </c>
      <c r="BC40" s="1">
        <v>7.83</v>
      </c>
      <c r="BD40" s="1"/>
      <c r="BE40" s="1"/>
      <c r="BF40" s="1"/>
      <c r="BG40" s="1"/>
      <c r="BH40" s="1"/>
      <c r="BI40" s="1"/>
      <c r="BJ40" s="1" t="s">
        <v>1004</v>
      </c>
      <c r="BK40" s="1"/>
      <c r="BL40" s="1"/>
      <c r="BM40" s="1" t="s">
        <v>1005</v>
      </c>
      <c r="BN40" s="1">
        <v>113</v>
      </c>
      <c r="BO40" s="1" t="s">
        <v>1006</v>
      </c>
      <c r="BP40" s="1" t="str">
        <f>HYPERLINK("https://nconnect.nicmar.ac.in/storage/profile/6a266895a2273.png","Download")</f>
        <v>0</v>
      </c>
      <c r="BQ40" s="3"/>
      <c r="BR40" s="3"/>
    </row>
    <row r="41" spans="1:70">
      <c r="A41" s="1" t="s">
        <v>967</v>
      </c>
      <c r="B41" s="1" t="s">
        <v>71</v>
      </c>
      <c r="C41" s="1" t="s">
        <v>1007</v>
      </c>
      <c r="D41" s="1" t="s">
        <v>1008</v>
      </c>
      <c r="E41" s="1" t="s">
        <v>1009</v>
      </c>
      <c r="F41" s="1" t="s">
        <v>1010</v>
      </c>
      <c r="G41" s="1" t="s">
        <v>1011</v>
      </c>
      <c r="H41" s="1" t="s">
        <v>1012</v>
      </c>
      <c r="I41" s="1" t="s">
        <v>1012</v>
      </c>
      <c r="J41" s="1">
        <v>9920703205</v>
      </c>
      <c r="K41" s="1" t="s">
        <v>79</v>
      </c>
      <c r="L41" s="1" t="s">
        <v>1013</v>
      </c>
      <c r="M41" s="1" t="s">
        <v>81</v>
      </c>
      <c r="N41" s="1" t="s">
        <v>350</v>
      </c>
      <c r="O41" s="1" t="s">
        <v>152</v>
      </c>
      <c r="P41" s="1" t="s">
        <v>117</v>
      </c>
      <c r="Q41" s="1" t="s">
        <v>1014</v>
      </c>
      <c r="R41" s="1" t="s">
        <v>1015</v>
      </c>
      <c r="S41" s="1">
        <v>9769239210</v>
      </c>
      <c r="T41" s="1" t="s">
        <v>763</v>
      </c>
      <c r="U41" s="1" t="s">
        <v>1016</v>
      </c>
      <c r="V41" s="1">
        <v>9326108014</v>
      </c>
      <c r="W41" s="1" t="s">
        <v>156</v>
      </c>
      <c r="X41" s="1" t="s">
        <v>1017</v>
      </c>
      <c r="Y41" s="1" t="s">
        <v>1018</v>
      </c>
      <c r="Z41" s="1" t="s">
        <v>92</v>
      </c>
      <c r="AA41" s="1" t="s">
        <v>1019</v>
      </c>
      <c r="AB41" s="1" t="s">
        <v>191</v>
      </c>
      <c r="AC41" s="1" t="s">
        <v>92</v>
      </c>
      <c r="AD41" s="1" t="s">
        <v>93</v>
      </c>
      <c r="AE41" s="1" t="s">
        <v>93</v>
      </c>
      <c r="AF41" s="1" t="s">
        <v>1020</v>
      </c>
      <c r="AG41" s="1" t="s">
        <v>1021</v>
      </c>
      <c r="AH41" s="1" t="s">
        <v>161</v>
      </c>
      <c r="AI41" s="1" t="s">
        <v>527</v>
      </c>
      <c r="AJ41" s="1">
        <v>64.6</v>
      </c>
      <c r="AK41" s="1"/>
      <c r="AL41" s="1" t="s">
        <v>1022</v>
      </c>
      <c r="AM41" s="1" t="s">
        <v>1023</v>
      </c>
      <c r="AN41" s="1" t="s">
        <v>134</v>
      </c>
      <c r="AO41" s="1" t="s">
        <v>166</v>
      </c>
      <c r="AP41" s="1">
        <v>63.23</v>
      </c>
      <c r="AQ41" s="1"/>
      <c r="AR41" s="1"/>
      <c r="AS41" s="1"/>
      <c r="AT41" s="1"/>
      <c r="AU41" s="1"/>
      <c r="AV41" s="1"/>
      <c r="AW41" s="1"/>
      <c r="AX41" s="1" t="s">
        <v>1024</v>
      </c>
      <c r="AY41" s="1" t="s">
        <v>1025</v>
      </c>
      <c r="AZ41" s="1" t="s">
        <v>636</v>
      </c>
      <c r="BA41" s="1" t="s">
        <v>105</v>
      </c>
      <c r="BB41" s="1">
        <v>65.99</v>
      </c>
      <c r="BC41" s="1">
        <v>7.32</v>
      </c>
      <c r="BD41" s="1"/>
      <c r="BE41" s="1"/>
      <c r="BF41" s="1"/>
      <c r="BG41" s="1"/>
      <c r="BH41" s="1"/>
      <c r="BI41" s="1"/>
      <c r="BJ41" s="1" t="s">
        <v>1026</v>
      </c>
      <c r="BK41" s="1" t="s">
        <v>1027</v>
      </c>
      <c r="BL41" s="1" t="s">
        <v>1028</v>
      </c>
      <c r="BM41" s="1" t="s">
        <v>1029</v>
      </c>
      <c r="BN41" s="1">
        <v>26</v>
      </c>
      <c r="BO41" s="1" t="s">
        <v>1030</v>
      </c>
      <c r="BP41" s="1" t="str">
        <f>HYPERLINK("https://nconnect.nicmar.ac.in/storage/profile/6a2678a2bf61d.png","Download")</f>
        <v>0</v>
      </c>
      <c r="BQ41" s="3"/>
      <c r="BR41" s="3"/>
    </row>
    <row r="42" spans="1:70">
      <c r="A42" s="1" t="s">
        <v>967</v>
      </c>
      <c r="B42" s="1" t="s">
        <v>71</v>
      </c>
      <c r="C42" s="1" t="s">
        <v>1031</v>
      </c>
      <c r="D42" s="1" t="s">
        <v>473</v>
      </c>
      <c r="E42" s="1" t="s">
        <v>1032</v>
      </c>
      <c r="F42" s="1" t="s">
        <v>1033</v>
      </c>
      <c r="G42" s="1" t="s">
        <v>1034</v>
      </c>
      <c r="H42" s="1" t="s">
        <v>1035</v>
      </c>
      <c r="I42" s="1" t="s">
        <v>1035</v>
      </c>
      <c r="J42" s="1">
        <v>9834322028</v>
      </c>
      <c r="K42" s="1" t="s">
        <v>148</v>
      </c>
      <c r="L42" s="1" t="s">
        <v>1036</v>
      </c>
      <c r="M42" s="1"/>
      <c r="N42" s="1"/>
      <c r="O42" s="1"/>
      <c r="P42" s="1"/>
      <c r="Q42" s="1"/>
      <c r="R42" s="1"/>
      <c r="S42" s="1"/>
      <c r="T42" s="1"/>
      <c r="U42" s="1"/>
      <c r="V42" s="1"/>
      <c r="W42" s="1"/>
      <c r="X42" s="1"/>
      <c r="Y42" s="1"/>
      <c r="Z42" s="1"/>
      <c r="AA42" s="1"/>
      <c r="AB42" s="1"/>
      <c r="AC42" s="1"/>
      <c r="AD42" s="1" t="s">
        <v>93</v>
      </c>
      <c r="AE42" s="1" t="s">
        <v>93</v>
      </c>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t="s">
        <v>1037</v>
      </c>
      <c r="BQ42" s="3"/>
      <c r="BR42" s="3"/>
    </row>
    <row r="43" spans="1:70">
      <c r="A43" s="1" t="s">
        <v>967</v>
      </c>
      <c r="B43" s="1" t="s">
        <v>71</v>
      </c>
      <c r="C43" s="1" t="s">
        <v>1038</v>
      </c>
      <c r="D43" s="1" t="s">
        <v>1039</v>
      </c>
      <c r="E43" s="1" t="s">
        <v>1040</v>
      </c>
      <c r="F43" s="1" t="s">
        <v>1041</v>
      </c>
      <c r="G43" s="1" t="s">
        <v>1042</v>
      </c>
      <c r="H43" s="1" t="s">
        <v>1043</v>
      </c>
      <c r="I43" s="1" t="s">
        <v>1044</v>
      </c>
      <c r="J43" s="1">
        <v>9075441883</v>
      </c>
      <c r="K43" s="1" t="s">
        <v>79</v>
      </c>
      <c r="L43" s="1" t="s">
        <v>1045</v>
      </c>
      <c r="M43" s="1" t="s">
        <v>81</v>
      </c>
      <c r="N43" s="1" t="s">
        <v>1046</v>
      </c>
      <c r="O43" s="1" t="s">
        <v>186</v>
      </c>
      <c r="P43" s="1" t="s">
        <v>214</v>
      </c>
      <c r="Q43" s="1" t="s">
        <v>1047</v>
      </c>
      <c r="R43" s="1" t="s">
        <v>1040</v>
      </c>
      <c r="S43" s="1">
        <v>9011077658</v>
      </c>
      <c r="T43" s="1" t="s">
        <v>674</v>
      </c>
      <c r="U43" s="1" t="s">
        <v>977</v>
      </c>
      <c r="V43" s="1">
        <v>8975759735</v>
      </c>
      <c r="W43" s="1" t="s">
        <v>156</v>
      </c>
      <c r="X43" s="1" t="s">
        <v>1048</v>
      </c>
      <c r="Y43" s="1" t="s">
        <v>191</v>
      </c>
      <c r="Z43" s="1" t="s">
        <v>92</v>
      </c>
      <c r="AA43" s="1" t="s">
        <v>1048</v>
      </c>
      <c r="AB43" s="1" t="s">
        <v>191</v>
      </c>
      <c r="AC43" s="1" t="s">
        <v>92</v>
      </c>
      <c r="AD43" s="1" t="s">
        <v>93</v>
      </c>
      <c r="AE43" s="1" t="s">
        <v>93</v>
      </c>
      <c r="AF43" s="1" t="s">
        <v>1049</v>
      </c>
      <c r="AG43" s="1" t="s">
        <v>455</v>
      </c>
      <c r="AH43" s="1" t="s">
        <v>97</v>
      </c>
      <c r="AI43" s="1" t="s">
        <v>281</v>
      </c>
      <c r="AJ43" s="1">
        <v>91</v>
      </c>
      <c r="AK43" s="1"/>
      <c r="AL43" s="1"/>
      <c r="AM43" s="1"/>
      <c r="AN43" s="1"/>
      <c r="AO43" s="1"/>
      <c r="AP43" s="1"/>
      <c r="AQ43" s="1"/>
      <c r="AR43" s="1" t="s">
        <v>98</v>
      </c>
      <c r="AS43" s="1" t="s">
        <v>1050</v>
      </c>
      <c r="AT43" s="1" t="s">
        <v>636</v>
      </c>
      <c r="AU43" s="1" t="s">
        <v>1051</v>
      </c>
      <c r="AV43" s="1">
        <v>86.93</v>
      </c>
      <c r="AW43" s="1"/>
      <c r="AX43" s="1" t="s">
        <v>1052</v>
      </c>
      <c r="AY43" s="1" t="s">
        <v>1053</v>
      </c>
      <c r="AZ43" s="1" t="s">
        <v>897</v>
      </c>
      <c r="BA43" s="1" t="s">
        <v>202</v>
      </c>
      <c r="BB43" s="1">
        <v>71.4</v>
      </c>
      <c r="BC43" s="1">
        <v>7.89</v>
      </c>
      <c r="BD43" s="1"/>
      <c r="BE43" s="1"/>
      <c r="BF43" s="1"/>
      <c r="BG43" s="1"/>
      <c r="BH43" s="1"/>
      <c r="BI43" s="1"/>
      <c r="BJ43" s="1" t="s">
        <v>1054</v>
      </c>
      <c r="BK43" s="1"/>
      <c r="BL43" s="1"/>
      <c r="BM43" s="1" t="s">
        <v>1055</v>
      </c>
      <c r="BN43" s="1">
        <v>8</v>
      </c>
      <c r="BO43" s="1"/>
      <c r="BP43" s="1" t="str">
        <f>HYPERLINK("https://nconnect.nicmar.ac.in/storage/profile/6a2685caa33b5.png","Download")</f>
        <v>0</v>
      </c>
      <c r="BQ43" s="3"/>
      <c r="BR43" s="3"/>
    </row>
    <row r="44" spans="1:70">
      <c r="A44" s="1" t="s">
        <v>967</v>
      </c>
      <c r="B44" s="1" t="s">
        <v>71</v>
      </c>
      <c r="C44" s="1" t="s">
        <v>1056</v>
      </c>
      <c r="D44" s="1" t="s">
        <v>1057</v>
      </c>
      <c r="E44" s="1" t="s">
        <v>1058</v>
      </c>
      <c r="F44" s="1" t="s">
        <v>1059</v>
      </c>
      <c r="G44" s="1" t="s">
        <v>1060</v>
      </c>
      <c r="H44" s="1" t="s">
        <v>1061</v>
      </c>
      <c r="I44" s="1" t="s">
        <v>1061</v>
      </c>
      <c r="J44" s="1">
        <v>6281056137</v>
      </c>
      <c r="K44" s="1" t="s">
        <v>148</v>
      </c>
      <c r="L44" s="1" t="s">
        <v>1062</v>
      </c>
      <c r="M44" s="1"/>
      <c r="N44" s="1"/>
      <c r="O44" s="1"/>
      <c r="P44" s="1"/>
      <c r="Q44" s="1"/>
      <c r="R44" s="1"/>
      <c r="S44" s="1"/>
      <c r="T44" s="1"/>
      <c r="U44" s="1"/>
      <c r="V44" s="1"/>
      <c r="W44" s="1"/>
      <c r="X44" s="1"/>
      <c r="Y44" s="1"/>
      <c r="Z44" s="1"/>
      <c r="AA44" s="1"/>
      <c r="AB44" s="1"/>
      <c r="AC44" s="1"/>
      <c r="AD44" s="1" t="s">
        <v>93</v>
      </c>
      <c r="AE44" s="1" t="s">
        <v>93</v>
      </c>
      <c r="AF44" s="1" t="s">
        <v>1063</v>
      </c>
      <c r="AG44" s="1" t="s">
        <v>1064</v>
      </c>
      <c r="AH44" s="1" t="s">
        <v>162</v>
      </c>
      <c r="AI44" s="1" t="s">
        <v>479</v>
      </c>
      <c r="AJ44" s="1">
        <v>85.5</v>
      </c>
      <c r="AK44" s="1">
        <v>9</v>
      </c>
      <c r="AL44" s="1" t="s">
        <v>612</v>
      </c>
      <c r="AM44" s="1" t="s">
        <v>613</v>
      </c>
      <c r="AN44" s="1" t="s">
        <v>165</v>
      </c>
      <c r="AO44" s="1" t="s">
        <v>1065</v>
      </c>
      <c r="AP44" s="1">
        <v>94.6</v>
      </c>
      <c r="AQ44" s="1"/>
      <c r="AR44" s="1"/>
      <c r="AS44" s="1"/>
      <c r="AT44" s="1"/>
      <c r="AU44" s="1"/>
      <c r="AV44" s="1"/>
      <c r="AW44" s="1"/>
      <c r="AX44" s="1" t="s">
        <v>1066</v>
      </c>
      <c r="AY44" s="1" t="s">
        <v>1067</v>
      </c>
      <c r="AZ44" s="1" t="s">
        <v>201</v>
      </c>
      <c r="BA44" s="1" t="s">
        <v>174</v>
      </c>
      <c r="BB44" s="1">
        <v>82.27</v>
      </c>
      <c r="BC44" s="1">
        <v>8.57</v>
      </c>
      <c r="BD44" s="1"/>
      <c r="BE44" s="1"/>
      <c r="BF44" s="1"/>
      <c r="BG44" s="1"/>
      <c r="BH44" s="1"/>
      <c r="BI44" s="1"/>
      <c r="BJ44" s="1" t="s">
        <v>1068</v>
      </c>
      <c r="BK44" s="1"/>
      <c r="BL44" s="1"/>
      <c r="BM44" s="1" t="s">
        <v>1069</v>
      </c>
      <c r="BN44" s="1">
        <v>27</v>
      </c>
      <c r="BO44" s="1"/>
      <c r="BP44" s="1" t="str">
        <f>HYPERLINK("https://nconnect.nicmar.ac.in/storage/profile/6a267e16ddcdb.png","Download")</f>
        <v>0</v>
      </c>
      <c r="BQ44" s="3"/>
      <c r="BR44" s="3"/>
    </row>
    <row r="45" spans="1:70">
      <c r="A45" s="1" t="s">
        <v>967</v>
      </c>
      <c r="B45" s="1" t="s">
        <v>71</v>
      </c>
      <c r="C45" s="1" t="s">
        <v>1070</v>
      </c>
      <c r="D45" s="1" t="s">
        <v>1071</v>
      </c>
      <c r="E45" s="1" t="s">
        <v>1072</v>
      </c>
      <c r="F45" s="1" t="s">
        <v>111</v>
      </c>
      <c r="G45" s="1" t="s">
        <v>1073</v>
      </c>
      <c r="H45" s="1" t="s">
        <v>1074</v>
      </c>
      <c r="I45" s="1" t="s">
        <v>1075</v>
      </c>
      <c r="J45" s="1">
        <v>8197555797</v>
      </c>
      <c r="K45" s="1" t="s">
        <v>148</v>
      </c>
      <c r="L45" s="1" t="s">
        <v>1076</v>
      </c>
      <c r="M45" s="1" t="s">
        <v>81</v>
      </c>
      <c r="N45" s="1" t="s">
        <v>1077</v>
      </c>
      <c r="O45" s="1" t="s">
        <v>1078</v>
      </c>
      <c r="P45" s="1" t="s">
        <v>117</v>
      </c>
      <c r="Q45" s="1" t="s">
        <v>1079</v>
      </c>
      <c r="R45" s="1" t="s">
        <v>1080</v>
      </c>
      <c r="S45" s="1">
        <v>9845032474</v>
      </c>
      <c r="T45" s="1" t="s">
        <v>496</v>
      </c>
      <c r="U45" s="1" t="s">
        <v>1081</v>
      </c>
      <c r="V45" s="1">
        <v>9036994110</v>
      </c>
      <c r="W45" s="1" t="s">
        <v>496</v>
      </c>
      <c r="X45" s="1" t="s">
        <v>1082</v>
      </c>
      <c r="Y45" s="1" t="s">
        <v>1083</v>
      </c>
      <c r="Z45" s="1" t="s">
        <v>1084</v>
      </c>
      <c r="AA45" s="1" t="s">
        <v>1082</v>
      </c>
      <c r="AB45" s="1" t="s">
        <v>1083</v>
      </c>
      <c r="AC45" s="1" t="s">
        <v>1084</v>
      </c>
      <c r="AD45" s="1" t="s">
        <v>93</v>
      </c>
      <c r="AE45" s="1" t="s">
        <v>93</v>
      </c>
      <c r="AF45" s="1" t="s">
        <v>1085</v>
      </c>
      <c r="AG45" s="1" t="s">
        <v>1086</v>
      </c>
      <c r="AH45" s="1" t="s">
        <v>161</v>
      </c>
      <c r="AI45" s="1" t="s">
        <v>456</v>
      </c>
      <c r="AJ45" s="1">
        <v>76.5</v>
      </c>
      <c r="AK45" s="1"/>
      <c r="AL45" s="1" t="s">
        <v>1087</v>
      </c>
      <c r="AM45" s="1" t="s">
        <v>307</v>
      </c>
      <c r="AN45" s="1" t="s">
        <v>383</v>
      </c>
      <c r="AO45" s="1" t="s">
        <v>281</v>
      </c>
      <c r="AP45" s="1">
        <v>66.5</v>
      </c>
      <c r="AQ45" s="1"/>
      <c r="AR45" s="1"/>
      <c r="AS45" s="1"/>
      <c r="AT45" s="1"/>
      <c r="AU45" s="1"/>
      <c r="AV45" s="1"/>
      <c r="AW45" s="1"/>
      <c r="AX45" s="1" t="s">
        <v>1088</v>
      </c>
      <c r="AY45" s="1" t="s">
        <v>1089</v>
      </c>
      <c r="AZ45" s="1" t="s">
        <v>169</v>
      </c>
      <c r="BA45" s="1" t="s">
        <v>1090</v>
      </c>
      <c r="BB45" s="1">
        <v>63.8</v>
      </c>
      <c r="BC45" s="1">
        <v>7.13</v>
      </c>
      <c r="BD45" s="1" t="s">
        <v>1088</v>
      </c>
      <c r="BE45" s="1" t="s">
        <v>1089</v>
      </c>
      <c r="BF45" s="1" t="s">
        <v>169</v>
      </c>
      <c r="BG45" s="1" t="s">
        <v>682</v>
      </c>
      <c r="BH45" s="1">
        <v>63.8</v>
      </c>
      <c r="BI45" s="1">
        <v>7.13</v>
      </c>
      <c r="BJ45" s="1" t="s">
        <v>1091</v>
      </c>
      <c r="BK45" s="1"/>
      <c r="BL45" s="1"/>
      <c r="BM45" s="1" t="s">
        <v>1092</v>
      </c>
      <c r="BN45" s="1">
        <v>24</v>
      </c>
      <c r="BO45" s="1"/>
      <c r="BP45" s="1" t="str">
        <f>HYPERLINK("https://nconnect.nicmar.ac.in/storage/profile/6a265cafc1c98.png","Download")</f>
        <v>0</v>
      </c>
      <c r="BQ45" s="3"/>
      <c r="BR45" s="3"/>
    </row>
    <row r="46" spans="1:70">
      <c r="A46" s="1" t="s">
        <v>967</v>
      </c>
      <c r="B46" s="1" t="s">
        <v>71</v>
      </c>
      <c r="C46" s="1" t="s">
        <v>1093</v>
      </c>
      <c r="D46" s="1" t="s">
        <v>143</v>
      </c>
      <c r="E46" s="1"/>
      <c r="F46" s="1" t="s">
        <v>1094</v>
      </c>
      <c r="G46" s="1" t="s">
        <v>1095</v>
      </c>
      <c r="H46" s="1" t="s">
        <v>1096</v>
      </c>
      <c r="I46" s="1" t="s">
        <v>1097</v>
      </c>
      <c r="J46" s="1">
        <v>9845889912</v>
      </c>
      <c r="K46" s="1" t="s">
        <v>148</v>
      </c>
      <c r="L46" s="1" t="s">
        <v>1098</v>
      </c>
      <c r="M46" s="1" t="s">
        <v>81</v>
      </c>
      <c r="N46" s="1" t="s">
        <v>1099</v>
      </c>
      <c r="O46" s="1" t="s">
        <v>1100</v>
      </c>
      <c r="P46" s="1" t="s">
        <v>84</v>
      </c>
      <c r="Q46" s="1" t="s">
        <v>1101</v>
      </c>
      <c r="R46" s="1" t="s">
        <v>93</v>
      </c>
      <c r="S46" s="1" t="s">
        <v>1102</v>
      </c>
      <c r="T46" s="1" t="s">
        <v>93</v>
      </c>
      <c r="U46" s="1" t="s">
        <v>1103</v>
      </c>
      <c r="V46" s="1">
        <v>9900153594</v>
      </c>
      <c r="W46" s="1" t="s">
        <v>93</v>
      </c>
      <c r="X46" s="1" t="s">
        <v>1104</v>
      </c>
      <c r="Y46" s="1" t="s">
        <v>1083</v>
      </c>
      <c r="Z46" s="1" t="s">
        <v>1084</v>
      </c>
      <c r="AA46" s="1" t="s">
        <v>1104</v>
      </c>
      <c r="AB46" s="1" t="s">
        <v>1083</v>
      </c>
      <c r="AC46" s="1" t="s">
        <v>1084</v>
      </c>
      <c r="AD46" s="1" t="s">
        <v>93</v>
      </c>
      <c r="AE46" s="1" t="s">
        <v>93</v>
      </c>
      <c r="AF46" s="1" t="s">
        <v>1105</v>
      </c>
      <c r="AG46" s="1" t="s">
        <v>1106</v>
      </c>
      <c r="AH46" s="1" t="s">
        <v>161</v>
      </c>
      <c r="AI46" s="1" t="s">
        <v>527</v>
      </c>
      <c r="AJ46" s="1">
        <v>87.0</v>
      </c>
      <c r="AK46" s="1">
        <v>9.1</v>
      </c>
      <c r="AL46" s="1" t="s">
        <v>1107</v>
      </c>
      <c r="AM46" s="1" t="s">
        <v>1108</v>
      </c>
      <c r="AN46" s="1" t="s">
        <v>165</v>
      </c>
      <c r="AO46" s="1" t="s">
        <v>166</v>
      </c>
      <c r="AP46" s="1">
        <v>80.0</v>
      </c>
      <c r="AQ46" s="1">
        <v>8.5</v>
      </c>
      <c r="AR46" s="1"/>
      <c r="AS46" s="1"/>
      <c r="AT46" s="1"/>
      <c r="AU46" s="1"/>
      <c r="AV46" s="1"/>
      <c r="AW46" s="1"/>
      <c r="AX46" s="1" t="s">
        <v>1109</v>
      </c>
      <c r="AY46" s="1" t="s">
        <v>1110</v>
      </c>
      <c r="AZ46" s="1" t="s">
        <v>169</v>
      </c>
      <c r="BA46" s="1" t="s">
        <v>682</v>
      </c>
      <c r="BB46" s="1">
        <v>73.7</v>
      </c>
      <c r="BC46" s="1">
        <v>8.12</v>
      </c>
      <c r="BD46" s="1"/>
      <c r="BE46" s="1"/>
      <c r="BF46" s="1"/>
      <c r="BG46" s="1"/>
      <c r="BH46" s="1"/>
      <c r="BI46" s="1"/>
      <c r="BJ46" s="1" t="s">
        <v>1111</v>
      </c>
      <c r="BK46" s="1"/>
      <c r="BL46" s="1"/>
      <c r="BM46" s="1" t="s">
        <v>1112</v>
      </c>
      <c r="BN46" s="1">
        <v>79</v>
      </c>
      <c r="BO46" s="1"/>
      <c r="BP46" s="1" t="str">
        <f>HYPERLINK("https://nconnect.nicmar.ac.in/storage/profile/6a26521b8c899.png","Download")</f>
        <v>0</v>
      </c>
      <c r="BQ46" s="3"/>
      <c r="BR46" s="3"/>
    </row>
    <row r="47" spans="1:70">
      <c r="A47" s="1" t="s">
        <v>1113</v>
      </c>
      <c r="B47" s="1" t="s">
        <v>71</v>
      </c>
      <c r="C47" s="1" t="s">
        <v>1114</v>
      </c>
      <c r="D47" s="1" t="s">
        <v>1115</v>
      </c>
      <c r="E47" s="1" t="s">
        <v>1116</v>
      </c>
      <c r="F47" s="1" t="s">
        <v>1117</v>
      </c>
      <c r="G47" s="1" t="s">
        <v>1118</v>
      </c>
      <c r="H47" s="1" t="s">
        <v>1119</v>
      </c>
      <c r="I47" s="1" t="s">
        <v>1119</v>
      </c>
      <c r="J47" s="1">
        <v>7447495790</v>
      </c>
      <c r="K47" s="1" t="s">
        <v>148</v>
      </c>
      <c r="L47" s="1" t="s">
        <v>1120</v>
      </c>
      <c r="M47" s="1" t="s">
        <v>81</v>
      </c>
      <c r="N47" s="1" t="s">
        <v>493</v>
      </c>
      <c r="O47" s="1" t="s">
        <v>83</v>
      </c>
      <c r="P47" s="1" t="s">
        <v>214</v>
      </c>
      <c r="Q47" s="1" t="s">
        <v>1121</v>
      </c>
      <c r="R47" s="1" t="s">
        <v>1122</v>
      </c>
      <c r="S47" s="1">
        <v>9422690620</v>
      </c>
      <c r="T47" s="1" t="s">
        <v>842</v>
      </c>
      <c r="U47" s="1" t="s">
        <v>1123</v>
      </c>
      <c r="V47" s="1">
        <v>9922601605</v>
      </c>
      <c r="W47" s="1" t="s">
        <v>156</v>
      </c>
      <c r="X47" s="1" t="s">
        <v>1124</v>
      </c>
      <c r="Y47" s="1" t="s">
        <v>1018</v>
      </c>
      <c r="Z47" s="1" t="s">
        <v>92</v>
      </c>
      <c r="AA47" s="1" t="s">
        <v>1125</v>
      </c>
      <c r="AB47" s="1" t="s">
        <v>191</v>
      </c>
      <c r="AC47" s="1" t="s">
        <v>92</v>
      </c>
      <c r="AD47" s="1" t="s">
        <v>93</v>
      </c>
      <c r="AE47" s="1" t="s">
        <v>93</v>
      </c>
      <c r="AF47" s="1" t="s">
        <v>1126</v>
      </c>
      <c r="AG47" s="1" t="s">
        <v>1127</v>
      </c>
      <c r="AH47" s="1" t="s">
        <v>96</v>
      </c>
      <c r="AI47" s="1" t="s">
        <v>503</v>
      </c>
      <c r="AJ47" s="1">
        <v>95.6</v>
      </c>
      <c r="AK47" s="1"/>
      <c r="AL47" s="1" t="s">
        <v>1128</v>
      </c>
      <c r="AM47" s="1" t="s">
        <v>1129</v>
      </c>
      <c r="AN47" s="1" t="s">
        <v>162</v>
      </c>
      <c r="AO47" s="1" t="s">
        <v>678</v>
      </c>
      <c r="AP47" s="1">
        <v>67.38</v>
      </c>
      <c r="AQ47" s="1"/>
      <c r="AR47" s="1"/>
      <c r="AS47" s="1"/>
      <c r="AT47" s="1"/>
      <c r="AU47" s="1"/>
      <c r="AV47" s="1"/>
      <c r="AW47" s="1"/>
      <c r="AX47" s="1" t="s">
        <v>361</v>
      </c>
      <c r="AY47" s="1" t="s">
        <v>1130</v>
      </c>
      <c r="AZ47" s="1" t="s">
        <v>165</v>
      </c>
      <c r="BA47" s="1" t="s">
        <v>1131</v>
      </c>
      <c r="BB47" s="1">
        <v>71.4</v>
      </c>
      <c r="BC47" s="1">
        <v>7.89</v>
      </c>
      <c r="BD47" s="1" t="s">
        <v>1132</v>
      </c>
      <c r="BE47" s="1" t="s">
        <v>1133</v>
      </c>
      <c r="BF47" s="1" t="s">
        <v>897</v>
      </c>
      <c r="BG47" s="1" t="s">
        <v>1134</v>
      </c>
      <c r="BH47" s="1">
        <v>75.45</v>
      </c>
      <c r="BI47" s="1">
        <v>8.2</v>
      </c>
      <c r="BJ47" s="1" t="s">
        <v>1135</v>
      </c>
      <c r="BK47" s="1"/>
      <c r="BL47" s="1"/>
      <c r="BM47" s="1" t="s">
        <v>1136</v>
      </c>
      <c r="BN47" s="1">
        <v>21</v>
      </c>
      <c r="BO47" s="1"/>
      <c r="BP47" s="1" t="str">
        <f>HYPERLINK("https://nconnect.nicmar.ac.in/storage/profile/6a228f22b5594.png","Download")</f>
        <v>0</v>
      </c>
      <c r="BQ47" s="3"/>
      <c r="BR47" s="3"/>
    </row>
    <row r="48" spans="1:70">
      <c r="A48" s="1" t="s">
        <v>1113</v>
      </c>
      <c r="B48" s="1" t="s">
        <v>71</v>
      </c>
      <c r="C48" s="1" t="s">
        <v>1137</v>
      </c>
      <c r="D48" s="1" t="s">
        <v>1138</v>
      </c>
      <c r="E48" s="1" t="s">
        <v>1139</v>
      </c>
      <c r="F48" s="1" t="s">
        <v>1140</v>
      </c>
      <c r="G48" s="1" t="s">
        <v>1141</v>
      </c>
      <c r="H48" s="1" t="s">
        <v>1142</v>
      </c>
      <c r="I48" s="1" t="s">
        <v>1142</v>
      </c>
      <c r="J48" s="1">
        <v>7032924052</v>
      </c>
      <c r="K48" s="1" t="s">
        <v>79</v>
      </c>
      <c r="L48" s="1" t="s">
        <v>1143</v>
      </c>
      <c r="M48" s="1" t="s">
        <v>81</v>
      </c>
      <c r="N48" s="1" t="s">
        <v>1144</v>
      </c>
      <c r="O48" s="1" t="s">
        <v>152</v>
      </c>
      <c r="P48" s="1" t="s">
        <v>117</v>
      </c>
      <c r="Q48" s="1" t="s">
        <v>1145</v>
      </c>
      <c r="R48" s="1" t="s">
        <v>1146</v>
      </c>
      <c r="S48" s="1">
        <v>9391525794</v>
      </c>
      <c r="T48" s="1" t="s">
        <v>1147</v>
      </c>
      <c r="U48" s="1" t="s">
        <v>1148</v>
      </c>
      <c r="V48" s="1">
        <v>9959054052</v>
      </c>
      <c r="W48" s="1" t="s">
        <v>651</v>
      </c>
      <c r="X48" s="1" t="s">
        <v>1149</v>
      </c>
      <c r="Y48" s="1" t="s">
        <v>1150</v>
      </c>
      <c r="Z48" s="1" t="s">
        <v>276</v>
      </c>
      <c r="AA48" s="1" t="s">
        <v>1149</v>
      </c>
      <c r="AB48" s="1" t="s">
        <v>1150</v>
      </c>
      <c r="AC48" s="1" t="s">
        <v>276</v>
      </c>
      <c r="AD48" s="1" t="s">
        <v>93</v>
      </c>
      <c r="AE48" s="1" t="s">
        <v>93</v>
      </c>
      <c r="AF48" s="1" t="s">
        <v>1151</v>
      </c>
      <c r="AG48" s="1" t="s">
        <v>1152</v>
      </c>
      <c r="AH48" s="1" t="s">
        <v>527</v>
      </c>
      <c r="AI48" s="1" t="s">
        <v>479</v>
      </c>
      <c r="AJ48" s="1">
        <v>80.33</v>
      </c>
      <c r="AK48" s="1"/>
      <c r="AL48" s="1" t="s">
        <v>1153</v>
      </c>
      <c r="AM48" s="1" t="s">
        <v>1154</v>
      </c>
      <c r="AN48" s="1" t="s">
        <v>383</v>
      </c>
      <c r="AO48" s="1" t="s">
        <v>409</v>
      </c>
      <c r="AP48" s="1">
        <v>91.1</v>
      </c>
      <c r="AQ48" s="1"/>
      <c r="AR48" s="1"/>
      <c r="AS48" s="1"/>
      <c r="AT48" s="1"/>
      <c r="AU48" s="1"/>
      <c r="AV48" s="1"/>
      <c r="AW48" s="1"/>
      <c r="AX48" s="1" t="s">
        <v>1155</v>
      </c>
      <c r="AY48" s="1" t="s">
        <v>1156</v>
      </c>
      <c r="AZ48" s="1" t="s">
        <v>310</v>
      </c>
      <c r="BA48" s="1" t="s">
        <v>1157</v>
      </c>
      <c r="BB48" s="1">
        <v>64.9</v>
      </c>
      <c r="BC48" s="1">
        <v>7.24</v>
      </c>
      <c r="BD48" s="1"/>
      <c r="BE48" s="1"/>
      <c r="BF48" s="1"/>
      <c r="BG48" s="1"/>
      <c r="BH48" s="1"/>
      <c r="BI48" s="1"/>
      <c r="BJ48" s="1" t="s">
        <v>1158</v>
      </c>
      <c r="BK48" s="1"/>
      <c r="BL48" s="1"/>
      <c r="BM48" s="1" t="s">
        <v>1159</v>
      </c>
      <c r="BN48" s="1">
        <v>8</v>
      </c>
      <c r="BO48" s="1" t="s">
        <v>1160</v>
      </c>
      <c r="BP48" s="1" t="str">
        <f>HYPERLINK("https://nconnect.nicmar.ac.in/storage/profile/6a229f37c4f6e.png","Download")</f>
        <v>0</v>
      </c>
      <c r="BQ48" s="3"/>
      <c r="BR48" s="3"/>
    </row>
    <row r="49" spans="1:70">
      <c r="A49" s="1" t="s">
        <v>1113</v>
      </c>
      <c r="B49" s="1" t="s">
        <v>71</v>
      </c>
      <c r="C49" s="1" t="s">
        <v>1161</v>
      </c>
      <c r="D49" s="1" t="s">
        <v>1162</v>
      </c>
      <c r="E49" s="1" t="s">
        <v>1163</v>
      </c>
      <c r="F49" s="1" t="s">
        <v>1164</v>
      </c>
      <c r="G49" s="1" t="s">
        <v>1165</v>
      </c>
      <c r="H49" s="1" t="s">
        <v>1166</v>
      </c>
      <c r="I49" s="1" t="s">
        <v>1166</v>
      </c>
      <c r="J49" s="1">
        <v>8806168395</v>
      </c>
      <c r="K49" s="1" t="s">
        <v>148</v>
      </c>
      <c r="L49" s="1" t="s">
        <v>1167</v>
      </c>
      <c r="M49" s="1" t="s">
        <v>81</v>
      </c>
      <c r="N49" s="1" t="s">
        <v>1168</v>
      </c>
      <c r="O49" s="1" t="s">
        <v>152</v>
      </c>
      <c r="P49" s="1" t="s">
        <v>214</v>
      </c>
      <c r="Q49" s="1" t="s">
        <v>1169</v>
      </c>
      <c r="R49" s="1" t="s">
        <v>1170</v>
      </c>
      <c r="S49" s="1">
        <v>9422252460</v>
      </c>
      <c r="T49" s="1" t="s">
        <v>1171</v>
      </c>
      <c r="U49" s="1" t="s">
        <v>1172</v>
      </c>
      <c r="V49" s="1">
        <v>9423969885</v>
      </c>
      <c r="W49" s="1" t="s">
        <v>89</v>
      </c>
      <c r="X49" s="1" t="s">
        <v>1173</v>
      </c>
      <c r="Y49" s="1" t="s">
        <v>1174</v>
      </c>
      <c r="Z49" s="1" t="s">
        <v>92</v>
      </c>
      <c r="AA49" s="1" t="s">
        <v>1173</v>
      </c>
      <c r="AB49" s="1" t="s">
        <v>1174</v>
      </c>
      <c r="AC49" s="1" t="s">
        <v>92</v>
      </c>
      <c r="AD49" s="1" t="s">
        <v>93</v>
      </c>
      <c r="AE49" s="1" t="s">
        <v>93</v>
      </c>
      <c r="AF49" s="1" t="s">
        <v>1175</v>
      </c>
      <c r="AG49" s="1" t="s">
        <v>1176</v>
      </c>
      <c r="AH49" s="1" t="s">
        <v>161</v>
      </c>
      <c r="AI49" s="1" t="s">
        <v>456</v>
      </c>
      <c r="AJ49" s="1">
        <v>90.0</v>
      </c>
      <c r="AK49" s="1"/>
      <c r="AL49" s="1" t="s">
        <v>1177</v>
      </c>
      <c r="AM49" s="1" t="s">
        <v>1176</v>
      </c>
      <c r="AN49" s="1" t="s">
        <v>165</v>
      </c>
      <c r="AO49" s="1" t="s">
        <v>457</v>
      </c>
      <c r="AP49" s="1">
        <v>79.23</v>
      </c>
      <c r="AQ49" s="1"/>
      <c r="AR49" s="1"/>
      <c r="AS49" s="1"/>
      <c r="AT49" s="1"/>
      <c r="AU49" s="1"/>
      <c r="AV49" s="1"/>
      <c r="AW49" s="1"/>
      <c r="AX49" s="1" t="s">
        <v>361</v>
      </c>
      <c r="AY49" s="1" t="s">
        <v>1178</v>
      </c>
      <c r="AZ49" s="1" t="s">
        <v>101</v>
      </c>
      <c r="BA49" s="1" t="s">
        <v>590</v>
      </c>
      <c r="BB49" s="1">
        <v>74.5</v>
      </c>
      <c r="BC49" s="1">
        <v>8.2</v>
      </c>
      <c r="BD49" s="1"/>
      <c r="BE49" s="1"/>
      <c r="BF49" s="1"/>
      <c r="BG49" s="1"/>
      <c r="BH49" s="1"/>
      <c r="BI49" s="1"/>
      <c r="BJ49" s="1" t="s">
        <v>1179</v>
      </c>
      <c r="BK49" s="1"/>
      <c r="BL49" s="1"/>
      <c r="BM49" s="1" t="s">
        <v>1180</v>
      </c>
      <c r="BN49" s="1">
        <v>86</v>
      </c>
      <c r="BO49" s="1" t="s">
        <v>1181</v>
      </c>
      <c r="BP49" s="1" t="str">
        <f>HYPERLINK("https://nconnect.nicmar.ac.in/storage/profile/6a22a37637792.png","Download")</f>
        <v>0</v>
      </c>
      <c r="BQ49" s="3"/>
      <c r="BR49" s="3"/>
    </row>
    <row r="50" spans="1:70">
      <c r="A50" s="1" t="s">
        <v>1113</v>
      </c>
      <c r="B50" s="1" t="s">
        <v>71</v>
      </c>
      <c r="C50" s="1" t="s">
        <v>1182</v>
      </c>
      <c r="D50" s="1" t="s">
        <v>1183</v>
      </c>
      <c r="E50" s="1"/>
      <c r="F50" s="1" t="s">
        <v>1184</v>
      </c>
      <c r="G50" s="1" t="s">
        <v>1185</v>
      </c>
      <c r="H50" s="1" t="s">
        <v>1186</v>
      </c>
      <c r="I50" s="1" t="s">
        <v>1186</v>
      </c>
      <c r="J50" s="1">
        <v>9041258814</v>
      </c>
      <c r="K50" s="1" t="s">
        <v>79</v>
      </c>
      <c r="L50" s="1" t="s">
        <v>1187</v>
      </c>
      <c r="M50" s="1" t="s">
        <v>81</v>
      </c>
      <c r="N50" s="1" t="s">
        <v>1188</v>
      </c>
      <c r="O50" s="1" t="s">
        <v>152</v>
      </c>
      <c r="P50" s="1" t="s">
        <v>117</v>
      </c>
      <c r="Q50" s="1" t="s">
        <v>1189</v>
      </c>
      <c r="R50" s="1" t="s">
        <v>1190</v>
      </c>
      <c r="S50" s="1">
        <v>9810107705</v>
      </c>
      <c r="T50" s="1" t="s">
        <v>1191</v>
      </c>
      <c r="U50" s="1" t="s">
        <v>1192</v>
      </c>
      <c r="V50" s="1">
        <v>8130631490</v>
      </c>
      <c r="W50" s="1" t="s">
        <v>1193</v>
      </c>
      <c r="X50" s="1" t="s">
        <v>1194</v>
      </c>
      <c r="Y50" s="1" t="s">
        <v>721</v>
      </c>
      <c r="Z50" s="1" t="s">
        <v>722</v>
      </c>
      <c r="AA50" s="1" t="s">
        <v>1194</v>
      </c>
      <c r="AB50" s="1" t="s">
        <v>721</v>
      </c>
      <c r="AC50" s="1" t="s">
        <v>722</v>
      </c>
      <c r="AD50" s="1" t="s">
        <v>93</v>
      </c>
      <c r="AE50" s="1" t="s">
        <v>93</v>
      </c>
      <c r="AF50" s="1" t="s">
        <v>1195</v>
      </c>
      <c r="AG50" s="1" t="s">
        <v>1196</v>
      </c>
      <c r="AH50" s="1" t="s">
        <v>332</v>
      </c>
      <c r="AI50" s="1" t="s">
        <v>658</v>
      </c>
      <c r="AJ50" s="1">
        <v>77.9</v>
      </c>
      <c r="AK50" s="1">
        <v>8.2</v>
      </c>
      <c r="AL50" s="1" t="s">
        <v>1195</v>
      </c>
      <c r="AM50" s="1" t="s">
        <v>1196</v>
      </c>
      <c r="AN50" s="1" t="s">
        <v>128</v>
      </c>
      <c r="AO50" s="1" t="s">
        <v>1197</v>
      </c>
      <c r="AP50" s="1">
        <v>57</v>
      </c>
      <c r="AQ50" s="1"/>
      <c r="AR50" s="1"/>
      <c r="AS50" s="1"/>
      <c r="AT50" s="1"/>
      <c r="AU50" s="1"/>
      <c r="AV50" s="1"/>
      <c r="AW50" s="1"/>
      <c r="AX50" s="1" t="s">
        <v>1198</v>
      </c>
      <c r="AY50" s="1" t="s">
        <v>1199</v>
      </c>
      <c r="AZ50" s="1" t="s">
        <v>252</v>
      </c>
      <c r="BA50" s="1" t="s">
        <v>104</v>
      </c>
      <c r="BB50" s="1">
        <v>66.78</v>
      </c>
      <c r="BC50" s="1">
        <v>7.42</v>
      </c>
      <c r="BD50" s="1"/>
      <c r="BE50" s="1"/>
      <c r="BF50" s="1"/>
      <c r="BG50" s="1"/>
      <c r="BH50" s="1"/>
      <c r="BI50" s="1"/>
      <c r="BJ50" s="1" t="s">
        <v>1200</v>
      </c>
      <c r="BK50" s="1" t="s">
        <v>1201</v>
      </c>
      <c r="BL50" s="1" t="s">
        <v>1202</v>
      </c>
      <c r="BM50" s="1" t="s">
        <v>1203</v>
      </c>
      <c r="BN50" s="1">
        <v>25</v>
      </c>
      <c r="BO50" s="1" t="s">
        <v>1204</v>
      </c>
      <c r="BP50" s="1" t="str">
        <f>HYPERLINK("https://nconnect.nicmar.ac.in/storage/profile/6a22aa8c81c79.png","Download")</f>
        <v>0</v>
      </c>
      <c r="BQ50" s="3"/>
      <c r="BR50" s="3"/>
    </row>
    <row r="51" spans="1:70">
      <c r="A51" s="1" t="s">
        <v>1113</v>
      </c>
      <c r="B51" s="1" t="s">
        <v>71</v>
      </c>
      <c r="C51" s="1" t="s">
        <v>1205</v>
      </c>
      <c r="D51" s="1" t="s">
        <v>512</v>
      </c>
      <c r="E51" s="1" t="s">
        <v>1206</v>
      </c>
      <c r="F51" s="1" t="s">
        <v>1207</v>
      </c>
      <c r="G51" s="1" t="s">
        <v>1208</v>
      </c>
      <c r="H51" s="1" t="s">
        <v>1209</v>
      </c>
      <c r="I51" s="1" t="s">
        <v>1209</v>
      </c>
      <c r="J51" s="1">
        <v>7767970404</v>
      </c>
      <c r="K51" s="1" t="s">
        <v>148</v>
      </c>
      <c r="L51" s="1" t="s">
        <v>1210</v>
      </c>
      <c r="M51" s="1" t="s">
        <v>81</v>
      </c>
      <c r="N51" s="1" t="s">
        <v>1211</v>
      </c>
      <c r="O51" s="1" t="s">
        <v>83</v>
      </c>
      <c r="P51" s="1" t="s">
        <v>214</v>
      </c>
      <c r="Q51" s="1" t="s">
        <v>1212</v>
      </c>
      <c r="R51" s="1" t="s">
        <v>1206</v>
      </c>
      <c r="S51" s="1">
        <v>9763437081</v>
      </c>
      <c r="T51" s="1" t="s">
        <v>763</v>
      </c>
      <c r="U51" s="1" t="s">
        <v>1213</v>
      </c>
      <c r="V51" s="1">
        <v>9423007675</v>
      </c>
      <c r="W51" s="1" t="s">
        <v>763</v>
      </c>
      <c r="X51" s="1" t="s">
        <v>1214</v>
      </c>
      <c r="Y51" s="1" t="s">
        <v>191</v>
      </c>
      <c r="Z51" s="1" t="s">
        <v>92</v>
      </c>
      <c r="AA51" s="1" t="s">
        <v>1214</v>
      </c>
      <c r="AB51" s="1" t="s">
        <v>191</v>
      </c>
      <c r="AC51" s="1" t="s">
        <v>92</v>
      </c>
      <c r="AD51" s="1" t="s">
        <v>93</v>
      </c>
      <c r="AE51" s="1" t="s">
        <v>93</v>
      </c>
      <c r="AF51" s="1" t="s">
        <v>1215</v>
      </c>
      <c r="AG51" s="1" t="s">
        <v>1216</v>
      </c>
      <c r="AH51" s="1" t="s">
        <v>161</v>
      </c>
      <c r="AI51" s="1" t="s">
        <v>456</v>
      </c>
      <c r="AJ51" s="1">
        <v>96.6</v>
      </c>
      <c r="AK51" s="1"/>
      <c r="AL51" s="1" t="s">
        <v>1217</v>
      </c>
      <c r="AM51" s="1" t="s">
        <v>1216</v>
      </c>
      <c r="AN51" s="1" t="s">
        <v>165</v>
      </c>
      <c r="AO51" s="1" t="s">
        <v>457</v>
      </c>
      <c r="AP51" s="1">
        <v>88.77</v>
      </c>
      <c r="AQ51" s="1"/>
      <c r="AR51" s="1"/>
      <c r="AS51" s="1"/>
      <c r="AT51" s="1"/>
      <c r="AU51" s="1"/>
      <c r="AV51" s="1"/>
      <c r="AW51" s="1"/>
      <c r="AX51" s="1" t="s">
        <v>361</v>
      </c>
      <c r="AY51" s="1" t="s">
        <v>1218</v>
      </c>
      <c r="AZ51" s="1" t="s">
        <v>636</v>
      </c>
      <c r="BA51" s="1" t="s">
        <v>590</v>
      </c>
      <c r="BB51" s="1">
        <v>86.15</v>
      </c>
      <c r="BC51" s="1">
        <v>9.68</v>
      </c>
      <c r="BD51" s="1"/>
      <c r="BE51" s="1"/>
      <c r="BF51" s="1"/>
      <c r="BG51" s="1"/>
      <c r="BH51" s="1"/>
      <c r="BI51" s="1"/>
      <c r="BJ51" s="1" t="s">
        <v>1200</v>
      </c>
      <c r="BK51" s="1" t="s">
        <v>1219</v>
      </c>
      <c r="BL51" s="1" t="s">
        <v>1220</v>
      </c>
      <c r="BM51" s="1" t="s">
        <v>1221</v>
      </c>
      <c r="BN51" s="1">
        <v>35</v>
      </c>
      <c r="BO51" s="1"/>
      <c r="BP51" s="1" t="str">
        <f>HYPERLINK("https://nconnect.nicmar.ac.in/storage/profile/6a22b01e23288.png","Download")</f>
        <v>0</v>
      </c>
      <c r="BQ51" s="3"/>
      <c r="BR51" s="3"/>
    </row>
    <row r="52" spans="1:70">
      <c r="A52" s="1" t="s">
        <v>1222</v>
      </c>
      <c r="B52" s="1" t="s">
        <v>1223</v>
      </c>
      <c r="C52" s="1" t="s">
        <v>1224</v>
      </c>
      <c r="D52" s="1" t="s">
        <v>1225</v>
      </c>
      <c r="E52" s="1"/>
      <c r="F52" s="1" t="s">
        <v>1226</v>
      </c>
      <c r="G52" s="1" t="s">
        <v>1227</v>
      </c>
      <c r="H52" s="1" t="s">
        <v>1228</v>
      </c>
      <c r="I52" s="1" t="s">
        <v>1228</v>
      </c>
      <c r="J52" s="1">
        <v>9755778896</v>
      </c>
      <c r="K52" s="1" t="s">
        <v>79</v>
      </c>
      <c r="L52" s="1" t="s">
        <v>1229</v>
      </c>
      <c r="M52" s="1" t="s">
        <v>81</v>
      </c>
      <c r="N52" s="1" t="s">
        <v>1144</v>
      </c>
      <c r="O52" s="1" t="s">
        <v>152</v>
      </c>
      <c r="P52" s="1" t="s">
        <v>84</v>
      </c>
      <c r="Q52" s="1" t="s">
        <v>1230</v>
      </c>
      <c r="R52" s="1" t="s">
        <v>1231</v>
      </c>
      <c r="S52" s="1">
        <v>9827897453</v>
      </c>
      <c r="T52" s="1" t="s">
        <v>1232</v>
      </c>
      <c r="U52" s="1" t="s">
        <v>1233</v>
      </c>
      <c r="V52" s="1">
        <v>9479041210</v>
      </c>
      <c r="W52" s="1" t="s">
        <v>1234</v>
      </c>
      <c r="X52" s="1" t="s">
        <v>1235</v>
      </c>
      <c r="Y52" s="1" t="s">
        <v>1236</v>
      </c>
      <c r="Z52" s="1" t="s">
        <v>1237</v>
      </c>
      <c r="AA52" s="1" t="s">
        <v>1235</v>
      </c>
      <c r="AB52" s="1" t="s">
        <v>1236</v>
      </c>
      <c r="AC52" s="1" t="s">
        <v>1237</v>
      </c>
      <c r="AD52" s="1" t="s">
        <v>93</v>
      </c>
      <c r="AE52" s="1" t="s">
        <v>93</v>
      </c>
      <c r="AF52" s="1" t="s">
        <v>1238</v>
      </c>
      <c r="AG52" s="1" t="s">
        <v>1239</v>
      </c>
      <c r="AH52" s="1" t="s">
        <v>1240</v>
      </c>
      <c r="AI52" s="1" t="s">
        <v>332</v>
      </c>
      <c r="AJ52" s="1">
        <v>83.67</v>
      </c>
      <c r="AK52" s="1"/>
      <c r="AL52" s="1" t="s">
        <v>1241</v>
      </c>
      <c r="AM52" s="1" t="s">
        <v>1239</v>
      </c>
      <c r="AN52" s="1" t="s">
        <v>128</v>
      </c>
      <c r="AO52" s="1" t="s">
        <v>1242</v>
      </c>
      <c r="AP52" s="1">
        <v>78.2</v>
      </c>
      <c r="AQ52" s="1"/>
      <c r="AR52" s="1"/>
      <c r="AS52" s="1"/>
      <c r="AT52" s="1"/>
      <c r="AU52" s="1"/>
      <c r="AV52" s="1"/>
      <c r="AW52" s="1"/>
      <c r="AX52" s="1" t="s">
        <v>1243</v>
      </c>
      <c r="AY52" s="1" t="s">
        <v>1244</v>
      </c>
      <c r="AZ52" s="1" t="s">
        <v>1245</v>
      </c>
      <c r="BA52" s="1" t="s">
        <v>479</v>
      </c>
      <c r="BB52" s="1">
        <v>73.2</v>
      </c>
      <c r="BC52" s="1"/>
      <c r="BD52" s="1"/>
      <c r="BE52" s="1"/>
      <c r="BF52" s="1"/>
      <c r="BG52" s="1"/>
      <c r="BH52" s="1"/>
      <c r="BI52" s="1"/>
      <c r="BJ52" s="1" t="s">
        <v>1246</v>
      </c>
      <c r="BK52" s="1"/>
      <c r="BL52" s="1"/>
      <c r="BM52" s="1"/>
      <c r="BN52" s="1"/>
      <c r="BO52" s="1"/>
      <c r="BP52" s="1" t="str">
        <f>HYPERLINK("https://nconnect.nicmar.ac.in/storage/profile/6a263d01e588c.png","Download")</f>
        <v>0</v>
      </c>
      <c r="BQ52" s="3"/>
      <c r="BR52" s="3"/>
    </row>
    <row r="53" spans="1:70">
      <c r="A53" s="1" t="s">
        <v>1222</v>
      </c>
      <c r="B53" s="1" t="s">
        <v>1223</v>
      </c>
      <c r="C53" s="1" t="s">
        <v>1247</v>
      </c>
      <c r="D53" s="1" t="s">
        <v>1248</v>
      </c>
      <c r="E53" s="1" t="s">
        <v>1249</v>
      </c>
      <c r="F53" s="1" t="s">
        <v>111</v>
      </c>
      <c r="G53" s="1" t="s">
        <v>1250</v>
      </c>
      <c r="H53" s="1" t="s">
        <v>1251</v>
      </c>
      <c r="I53" s="1" t="s">
        <v>1251</v>
      </c>
      <c r="J53" s="1">
        <v>7902980092</v>
      </c>
      <c r="K53" s="1" t="s">
        <v>79</v>
      </c>
      <c r="L53" s="1" t="s">
        <v>1252</v>
      </c>
      <c r="M53" s="1" t="s">
        <v>81</v>
      </c>
      <c r="N53" s="1" t="s">
        <v>1253</v>
      </c>
      <c r="O53" s="1" t="s">
        <v>152</v>
      </c>
      <c r="P53" s="1" t="s">
        <v>117</v>
      </c>
      <c r="Q53" s="1" t="s">
        <v>1254</v>
      </c>
      <c r="R53" s="1" t="s">
        <v>1255</v>
      </c>
      <c r="S53" s="1">
        <v>8281104396</v>
      </c>
      <c r="T53" s="1" t="s">
        <v>1256</v>
      </c>
      <c r="U53" s="1" t="s">
        <v>1257</v>
      </c>
      <c r="V53" s="1">
        <v>8281103396</v>
      </c>
      <c r="W53" s="1" t="s">
        <v>1258</v>
      </c>
      <c r="X53" s="1" t="s">
        <v>1259</v>
      </c>
      <c r="Y53" s="1" t="s">
        <v>1260</v>
      </c>
      <c r="Z53" s="1" t="s">
        <v>125</v>
      </c>
      <c r="AA53" s="1" t="s">
        <v>1259</v>
      </c>
      <c r="AB53" s="1" t="s">
        <v>1260</v>
      </c>
      <c r="AC53" s="1" t="s">
        <v>125</v>
      </c>
      <c r="AD53" s="1" t="s">
        <v>93</v>
      </c>
      <c r="AE53" s="1" t="s">
        <v>93</v>
      </c>
      <c r="AF53" s="1" t="s">
        <v>1261</v>
      </c>
      <c r="AG53" s="1" t="s">
        <v>1262</v>
      </c>
      <c r="AH53" s="1" t="s">
        <v>96</v>
      </c>
      <c r="AI53" s="1" t="s">
        <v>503</v>
      </c>
      <c r="AJ53" s="1">
        <v>73.0</v>
      </c>
      <c r="AK53" s="1"/>
      <c r="AL53" s="1" t="s">
        <v>1263</v>
      </c>
      <c r="AM53" s="1" t="s">
        <v>1264</v>
      </c>
      <c r="AN53" s="1" t="s">
        <v>337</v>
      </c>
      <c r="AO53" s="1" t="s">
        <v>479</v>
      </c>
      <c r="AP53" s="1">
        <v>63.91</v>
      </c>
      <c r="AQ53" s="1"/>
      <c r="AR53" s="1"/>
      <c r="AS53" s="1"/>
      <c r="AT53" s="1"/>
      <c r="AU53" s="1"/>
      <c r="AV53" s="1"/>
      <c r="AW53" s="1"/>
      <c r="AX53" s="1" t="s">
        <v>1265</v>
      </c>
      <c r="AY53" s="1" t="s">
        <v>1266</v>
      </c>
      <c r="AZ53" s="1" t="s">
        <v>101</v>
      </c>
      <c r="BA53" s="1" t="s">
        <v>590</v>
      </c>
      <c r="BB53" s="1">
        <v>64.6</v>
      </c>
      <c r="BC53" s="1"/>
      <c r="BD53" s="1"/>
      <c r="BE53" s="1"/>
      <c r="BF53" s="1"/>
      <c r="BG53" s="1"/>
      <c r="BH53" s="1"/>
      <c r="BI53" s="1"/>
      <c r="BJ53" s="1" t="s">
        <v>1267</v>
      </c>
      <c r="BK53" s="1"/>
      <c r="BL53" s="1"/>
      <c r="BM53" s="1" t="s">
        <v>1268</v>
      </c>
      <c r="BN53" s="1">
        <v>2</v>
      </c>
      <c r="BO53" s="1"/>
      <c r="BP53" s="1" t="str">
        <f>HYPERLINK("https://nconnect.nicmar.ac.in/storage/profile/6a2643dfcb805.png","Download")</f>
        <v>0</v>
      </c>
      <c r="BQ53" s="3"/>
      <c r="BR53" s="3"/>
    </row>
    <row r="54" spans="1:70">
      <c r="A54" s="1" t="s">
        <v>70</v>
      </c>
      <c r="B54" s="1" t="s">
        <v>1269</v>
      </c>
      <c r="C54" s="1" t="s">
        <v>1270</v>
      </c>
      <c r="D54" s="1" t="s">
        <v>1271</v>
      </c>
      <c r="E54" s="1"/>
      <c r="F54" s="1" t="s">
        <v>1272</v>
      </c>
      <c r="G54" s="1" t="s">
        <v>1273</v>
      </c>
      <c r="H54" s="1" t="s">
        <v>1274</v>
      </c>
      <c r="I54" s="1" t="s">
        <v>1275</v>
      </c>
      <c r="J54" s="1">
        <v>9346561296</v>
      </c>
      <c r="K54" s="1" t="s">
        <v>79</v>
      </c>
      <c r="L54" s="1" t="s">
        <v>1276</v>
      </c>
      <c r="M54" s="1" t="s">
        <v>81</v>
      </c>
      <c r="N54" s="1" t="s">
        <v>1277</v>
      </c>
      <c r="O54" s="1"/>
      <c r="P54" s="1" t="s">
        <v>1278</v>
      </c>
      <c r="Q54" s="1" t="s">
        <v>1279</v>
      </c>
      <c r="R54" s="1" t="s">
        <v>1280</v>
      </c>
      <c r="S54" s="1">
        <v>9963721767</v>
      </c>
      <c r="T54" s="1" t="s">
        <v>154</v>
      </c>
      <c r="U54" s="1" t="s">
        <v>1281</v>
      </c>
      <c r="V54" s="1">
        <v>9963721767</v>
      </c>
      <c r="W54" s="1" t="s">
        <v>154</v>
      </c>
      <c r="X54" s="1" t="s">
        <v>1282</v>
      </c>
      <c r="Y54" s="1" t="s">
        <v>1283</v>
      </c>
      <c r="Z54" s="1" t="s">
        <v>609</v>
      </c>
      <c r="AA54" s="1" t="s">
        <v>1282</v>
      </c>
      <c r="AB54" s="1" t="s">
        <v>1283</v>
      </c>
      <c r="AC54" s="1" t="s">
        <v>609</v>
      </c>
      <c r="AD54" s="1">
        <v>9.1</v>
      </c>
      <c r="AE54" s="1" t="s">
        <v>93</v>
      </c>
      <c r="AF54" s="1" t="s">
        <v>1284</v>
      </c>
      <c r="AG54" s="1" t="s">
        <v>1285</v>
      </c>
      <c r="AH54" s="1" t="s">
        <v>161</v>
      </c>
      <c r="AI54" s="1" t="s">
        <v>281</v>
      </c>
      <c r="AJ54" s="1">
        <v>98</v>
      </c>
      <c r="AK54" s="1">
        <v>9.8</v>
      </c>
      <c r="AL54" s="1" t="s">
        <v>1286</v>
      </c>
      <c r="AM54" s="1" t="s">
        <v>1286</v>
      </c>
      <c r="AN54" s="1" t="s">
        <v>169</v>
      </c>
      <c r="AO54" s="1" t="s">
        <v>412</v>
      </c>
      <c r="AP54" s="1">
        <v>89.9</v>
      </c>
      <c r="AQ54" s="1">
        <v>8.99</v>
      </c>
      <c r="AR54" s="1"/>
      <c r="AS54" s="1"/>
      <c r="AT54" s="1"/>
      <c r="AU54" s="1"/>
      <c r="AV54" s="1"/>
      <c r="AW54" s="1"/>
      <c r="AX54" s="1" t="s">
        <v>1286</v>
      </c>
      <c r="AY54" s="1" t="s">
        <v>1286</v>
      </c>
      <c r="AZ54" s="1" t="s">
        <v>699</v>
      </c>
      <c r="BA54" s="1" t="s">
        <v>413</v>
      </c>
      <c r="BB54" s="1">
        <v>82</v>
      </c>
      <c r="BC54" s="1">
        <v>8.2</v>
      </c>
      <c r="BD54" s="1"/>
      <c r="BE54" s="1"/>
      <c r="BF54" s="1"/>
      <c r="BG54" s="1"/>
      <c r="BH54" s="1"/>
      <c r="BI54" s="1"/>
      <c r="BJ54" s="1" t="s">
        <v>1287</v>
      </c>
      <c r="BK54" s="1" t="s">
        <v>1288</v>
      </c>
      <c r="BL54" s="1" t="s">
        <v>1289</v>
      </c>
      <c r="BM54" s="1" t="s">
        <v>1290</v>
      </c>
      <c r="BN54" s="1">
        <v>14</v>
      </c>
      <c r="BO54" s="1"/>
      <c r="BP54" s="1" t="str">
        <f>HYPERLINK("https://nconnect.nicmar.ac.in/storage/profile/ProfilePhoto_P25700031_379814.jpg","Download")</f>
        <v>0</v>
      </c>
      <c r="BQ54" s="3"/>
      <c r="BR54" s="3"/>
    </row>
    <row r="55" spans="1:70">
      <c r="A55" s="1" t="s">
        <v>70</v>
      </c>
      <c r="B55" s="1" t="s">
        <v>1269</v>
      </c>
      <c r="C55" s="1" t="s">
        <v>1291</v>
      </c>
      <c r="D55" s="1" t="s">
        <v>1292</v>
      </c>
      <c r="E55" s="1"/>
      <c r="F55" s="1" t="s">
        <v>1293</v>
      </c>
      <c r="G55" s="1" t="s">
        <v>1294</v>
      </c>
      <c r="H55" s="1" t="s">
        <v>1295</v>
      </c>
      <c r="I55" s="1" t="s">
        <v>1296</v>
      </c>
      <c r="J55" s="1">
        <v>7671817459</v>
      </c>
      <c r="K55" s="1" t="s">
        <v>148</v>
      </c>
      <c r="L55" s="1" t="s">
        <v>1297</v>
      </c>
      <c r="M55" s="1" t="s">
        <v>81</v>
      </c>
      <c r="N55" s="1" t="s">
        <v>1277</v>
      </c>
      <c r="O55" s="1"/>
      <c r="P55" s="1" t="s">
        <v>1298</v>
      </c>
      <c r="Q55" s="1" t="s">
        <v>1299</v>
      </c>
      <c r="R55" s="1" t="s">
        <v>1300</v>
      </c>
      <c r="S55" s="1">
        <v>9491170937</v>
      </c>
      <c r="T55" s="1" t="s">
        <v>1301</v>
      </c>
      <c r="U55" s="1" t="s">
        <v>1302</v>
      </c>
      <c r="V55" s="1">
        <v>8919283213</v>
      </c>
      <c r="W55" s="1" t="s">
        <v>1301</v>
      </c>
      <c r="X55" s="1" t="s">
        <v>1303</v>
      </c>
      <c r="Y55" s="1" t="s">
        <v>1304</v>
      </c>
      <c r="Z55" s="1" t="s">
        <v>276</v>
      </c>
      <c r="AA55" s="1" t="s">
        <v>1303</v>
      </c>
      <c r="AB55" s="1" t="s">
        <v>1304</v>
      </c>
      <c r="AC55" s="1" t="s">
        <v>276</v>
      </c>
      <c r="AD55" s="1">
        <v>8.34</v>
      </c>
      <c r="AE55" s="1" t="s">
        <v>93</v>
      </c>
      <c r="AF55" s="1" t="s">
        <v>1305</v>
      </c>
      <c r="AG55" s="1" t="s">
        <v>1306</v>
      </c>
      <c r="AH55" s="1" t="s">
        <v>165</v>
      </c>
      <c r="AI55" s="1" t="s">
        <v>1307</v>
      </c>
      <c r="AJ55" s="1">
        <v>100</v>
      </c>
      <c r="AK55" s="1">
        <v>10</v>
      </c>
      <c r="AL55" s="1" t="s">
        <v>1308</v>
      </c>
      <c r="AM55" s="1" t="s">
        <v>1309</v>
      </c>
      <c r="AN55" s="1" t="s">
        <v>101</v>
      </c>
      <c r="AO55" s="1" t="s">
        <v>699</v>
      </c>
      <c r="AP55" s="1">
        <v>89.9</v>
      </c>
      <c r="AQ55" s="1">
        <v>9.38</v>
      </c>
      <c r="AR55" s="1"/>
      <c r="AS55" s="1"/>
      <c r="AT55" s="1"/>
      <c r="AU55" s="1"/>
      <c r="AV55" s="1"/>
      <c r="AW55" s="1"/>
      <c r="AX55" s="1" t="s">
        <v>1310</v>
      </c>
      <c r="AY55" s="1" t="s">
        <v>1311</v>
      </c>
      <c r="AZ55" s="1" t="s">
        <v>699</v>
      </c>
      <c r="BA55" s="1" t="s">
        <v>202</v>
      </c>
      <c r="BB55" s="1">
        <v>74.67</v>
      </c>
      <c r="BC55" s="1">
        <v>7.86</v>
      </c>
      <c r="BD55" s="1"/>
      <c r="BE55" s="1"/>
      <c r="BF55" s="1"/>
      <c r="BG55" s="1"/>
      <c r="BH55" s="1"/>
      <c r="BI55" s="1"/>
      <c r="BJ55" s="1" t="s">
        <v>1312</v>
      </c>
      <c r="BK55" s="1"/>
      <c r="BL55" s="1"/>
      <c r="BM55" s="1" t="s">
        <v>1313</v>
      </c>
      <c r="BN55" s="1">
        <v>25</v>
      </c>
      <c r="BO55" s="1"/>
      <c r="BP55" s="1" t="str">
        <f>HYPERLINK("https://nconnect.nicmar.ac.in/storage/profile/ProfilePhoto_P25700556_563978.jpg","Download")</f>
        <v>0</v>
      </c>
      <c r="BQ55" s="3"/>
      <c r="BR55" s="3"/>
    </row>
    <row r="56" spans="1:70">
      <c r="A56" s="1" t="s">
        <v>70</v>
      </c>
      <c r="B56" s="1" t="s">
        <v>1269</v>
      </c>
      <c r="C56" s="1" t="s">
        <v>1314</v>
      </c>
      <c r="D56" s="1" t="s">
        <v>1315</v>
      </c>
      <c r="E56" s="1" t="s">
        <v>1316</v>
      </c>
      <c r="F56" s="1" t="s">
        <v>1317</v>
      </c>
      <c r="G56" s="1" t="s">
        <v>1318</v>
      </c>
      <c r="H56" s="1" t="s">
        <v>1319</v>
      </c>
      <c r="I56" s="1" t="s">
        <v>1320</v>
      </c>
      <c r="J56" s="1">
        <v>9284394773</v>
      </c>
      <c r="K56" s="1" t="s">
        <v>148</v>
      </c>
      <c r="L56" s="1" t="s">
        <v>1321</v>
      </c>
      <c r="M56" s="1" t="s">
        <v>81</v>
      </c>
      <c r="N56" s="1" t="s">
        <v>1322</v>
      </c>
      <c r="O56" s="1"/>
      <c r="P56" s="1" t="s">
        <v>1323</v>
      </c>
      <c r="Q56" s="1" t="s">
        <v>1324</v>
      </c>
      <c r="R56" s="1" t="s">
        <v>1325</v>
      </c>
      <c r="S56" s="1">
        <v>9356181017</v>
      </c>
      <c r="T56" s="1" t="s">
        <v>1326</v>
      </c>
      <c r="U56" s="1" t="s">
        <v>1327</v>
      </c>
      <c r="V56" s="1">
        <v>9850076954</v>
      </c>
      <c r="W56" s="1" t="s">
        <v>122</v>
      </c>
      <c r="X56" s="1" t="s">
        <v>1328</v>
      </c>
      <c r="Y56" s="1" t="s">
        <v>328</v>
      </c>
      <c r="Z56" s="1" t="s">
        <v>92</v>
      </c>
      <c r="AA56" s="1" t="s">
        <v>1328</v>
      </c>
      <c r="AB56" s="1" t="s">
        <v>328</v>
      </c>
      <c r="AC56" s="1" t="s">
        <v>92</v>
      </c>
      <c r="AD56" s="1">
        <v>8.34</v>
      </c>
      <c r="AE56" s="1" t="s">
        <v>93</v>
      </c>
      <c r="AF56" s="1" t="s">
        <v>1329</v>
      </c>
      <c r="AG56" s="1" t="s">
        <v>1330</v>
      </c>
      <c r="AH56" s="1" t="s">
        <v>999</v>
      </c>
      <c r="AI56" s="1" t="s">
        <v>97</v>
      </c>
      <c r="AJ56" s="1">
        <v>88</v>
      </c>
      <c r="AK56" s="1"/>
      <c r="AL56" s="1" t="s">
        <v>1331</v>
      </c>
      <c r="AM56" s="1" t="s">
        <v>1330</v>
      </c>
      <c r="AN56" s="1" t="s">
        <v>1001</v>
      </c>
      <c r="AO56" s="1" t="s">
        <v>1332</v>
      </c>
      <c r="AP56" s="1">
        <v>65.54</v>
      </c>
      <c r="AQ56" s="1"/>
      <c r="AR56" s="1"/>
      <c r="AS56" s="1"/>
      <c r="AT56" s="1"/>
      <c r="AU56" s="1"/>
      <c r="AV56" s="1"/>
      <c r="AW56" s="1"/>
      <c r="AX56" s="1" t="s">
        <v>1333</v>
      </c>
      <c r="AY56" s="1" t="s">
        <v>1334</v>
      </c>
      <c r="AZ56" s="1" t="s">
        <v>165</v>
      </c>
      <c r="BA56" s="1" t="s">
        <v>575</v>
      </c>
      <c r="BB56" s="1">
        <v>73.64</v>
      </c>
      <c r="BC56" s="1"/>
      <c r="BD56" s="1"/>
      <c r="BE56" s="1"/>
      <c r="BF56" s="1"/>
      <c r="BG56" s="1"/>
      <c r="BH56" s="1"/>
      <c r="BI56" s="1"/>
      <c r="BJ56" s="1" t="s">
        <v>1335</v>
      </c>
      <c r="BK56" s="1" t="s">
        <v>1336</v>
      </c>
      <c r="BL56" s="1" t="s">
        <v>1337</v>
      </c>
      <c r="BM56" s="1" t="s">
        <v>1338</v>
      </c>
      <c r="BN56" s="1">
        <v>33</v>
      </c>
      <c r="BO56" s="1" t="s">
        <v>1339</v>
      </c>
      <c r="BP56" s="1" t="str">
        <f>HYPERLINK("https://nconnect.nicmar.ac.in/storage/profile/ProfilePhoto_P25700173_738295.jpg","Download")</f>
        <v>0</v>
      </c>
      <c r="BQ56" s="3"/>
      <c r="BR56" s="3"/>
    </row>
    <row r="57" spans="1:70">
      <c r="A57" s="1" t="s">
        <v>70</v>
      </c>
      <c r="B57" s="1" t="s">
        <v>1269</v>
      </c>
      <c r="C57" s="1" t="s">
        <v>1340</v>
      </c>
      <c r="D57" s="1" t="s">
        <v>1341</v>
      </c>
      <c r="E57" s="1" t="s">
        <v>1342</v>
      </c>
      <c r="F57" s="1" t="s">
        <v>835</v>
      </c>
      <c r="G57" s="1" t="s">
        <v>1343</v>
      </c>
      <c r="H57" s="1" t="s">
        <v>1344</v>
      </c>
      <c r="I57" s="1" t="s">
        <v>1345</v>
      </c>
      <c r="J57" s="1">
        <v>8004741658</v>
      </c>
      <c r="K57" s="1" t="s">
        <v>79</v>
      </c>
      <c r="L57" s="1" t="s">
        <v>1346</v>
      </c>
      <c r="M57" s="1" t="s">
        <v>81</v>
      </c>
      <c r="N57" s="1" t="s">
        <v>1347</v>
      </c>
      <c r="O57" s="1" t="s">
        <v>1348</v>
      </c>
      <c r="P57" s="1" t="s">
        <v>1323</v>
      </c>
      <c r="Q57" s="1" t="s">
        <v>1349</v>
      </c>
      <c r="R57" s="1" t="s">
        <v>1350</v>
      </c>
      <c r="S57" s="1">
        <v>9451690052</v>
      </c>
      <c r="T57" s="1" t="s">
        <v>1351</v>
      </c>
      <c r="U57" s="1" t="s">
        <v>1352</v>
      </c>
      <c r="V57" s="1">
        <v>8874470303</v>
      </c>
      <c r="W57" s="1" t="s">
        <v>651</v>
      </c>
      <c r="X57" s="1" t="s">
        <v>1353</v>
      </c>
      <c r="Y57" s="1" t="s">
        <v>1354</v>
      </c>
      <c r="Z57" s="1" t="s">
        <v>1355</v>
      </c>
      <c r="AA57" s="1" t="s">
        <v>1353</v>
      </c>
      <c r="AB57" s="1" t="s">
        <v>1354</v>
      </c>
      <c r="AC57" s="1" t="s">
        <v>1355</v>
      </c>
      <c r="AD57" s="1">
        <v>8.55</v>
      </c>
      <c r="AE57" s="1" t="s">
        <v>93</v>
      </c>
      <c r="AF57" s="1" t="s">
        <v>1356</v>
      </c>
      <c r="AG57" s="1" t="s">
        <v>1357</v>
      </c>
      <c r="AH57" s="1" t="s">
        <v>1307</v>
      </c>
      <c r="AI57" s="1" t="s">
        <v>1065</v>
      </c>
      <c r="AJ57" s="1">
        <v>89</v>
      </c>
      <c r="AK57" s="1"/>
      <c r="AL57" s="1" t="s">
        <v>1358</v>
      </c>
      <c r="AM57" s="1" t="s">
        <v>1357</v>
      </c>
      <c r="AN57" s="1" t="s">
        <v>1065</v>
      </c>
      <c r="AO57" s="1" t="s">
        <v>506</v>
      </c>
      <c r="AP57" s="1">
        <v>80.8</v>
      </c>
      <c r="AQ57" s="1"/>
      <c r="AR57" s="1"/>
      <c r="AS57" s="1"/>
      <c r="AT57" s="1"/>
      <c r="AU57" s="1"/>
      <c r="AV57" s="1"/>
      <c r="AW57" s="1"/>
      <c r="AX57" s="1" t="s">
        <v>1359</v>
      </c>
      <c r="AY57" s="1" t="s">
        <v>1360</v>
      </c>
      <c r="AZ57" s="1" t="s">
        <v>1051</v>
      </c>
      <c r="BA57" s="1" t="s">
        <v>1361</v>
      </c>
      <c r="BB57" s="1">
        <v>84.2</v>
      </c>
      <c r="BC57" s="1">
        <v>8.42</v>
      </c>
      <c r="BD57" s="1"/>
      <c r="BE57" s="1"/>
      <c r="BF57" s="1"/>
      <c r="BG57" s="1"/>
      <c r="BH57" s="1"/>
      <c r="BI57" s="1"/>
      <c r="BJ57" s="1" t="s">
        <v>1362</v>
      </c>
      <c r="BK57" s="1"/>
      <c r="BL57" s="1"/>
      <c r="BM57" s="1" t="s">
        <v>1363</v>
      </c>
      <c r="BN57" s="1">
        <v>12</v>
      </c>
      <c r="BO57" s="1"/>
      <c r="BP57" s="1" t="str">
        <f>HYPERLINK("https://nconnect.nicmar.ac.in/storage/profile/ProfilePhoto_P25700279_169785.jpg","Download")</f>
        <v>0</v>
      </c>
      <c r="BQ57" s="3"/>
      <c r="BR57" s="3"/>
    </row>
    <row r="58" spans="1:70">
      <c r="A58" s="1" t="s">
        <v>70</v>
      </c>
      <c r="B58" s="1" t="s">
        <v>1269</v>
      </c>
      <c r="C58" s="1" t="s">
        <v>1364</v>
      </c>
      <c r="D58" s="1" t="s">
        <v>1365</v>
      </c>
      <c r="E58" s="1"/>
      <c r="F58" s="1" t="s">
        <v>1366</v>
      </c>
      <c r="G58" s="1" t="s">
        <v>1367</v>
      </c>
      <c r="H58" s="1" t="s">
        <v>1368</v>
      </c>
      <c r="I58" s="1" t="s">
        <v>1369</v>
      </c>
      <c r="J58" s="1">
        <v>9025856149</v>
      </c>
      <c r="K58" s="1" t="s">
        <v>79</v>
      </c>
      <c r="L58" s="1" t="s">
        <v>1370</v>
      </c>
      <c r="M58" s="1" t="s">
        <v>81</v>
      </c>
      <c r="N58" s="1" t="s">
        <v>1371</v>
      </c>
      <c r="O58" s="1"/>
      <c r="P58" s="1" t="s">
        <v>1278</v>
      </c>
      <c r="Q58" s="1" t="s">
        <v>1372</v>
      </c>
      <c r="R58" s="1" t="s">
        <v>1373</v>
      </c>
      <c r="S58" s="1">
        <v>9942265081</v>
      </c>
      <c r="T58" s="1" t="s">
        <v>154</v>
      </c>
      <c r="U58" s="1" t="s">
        <v>1374</v>
      </c>
      <c r="V58" s="1">
        <v>9942750330</v>
      </c>
      <c r="W58" s="1" t="s">
        <v>273</v>
      </c>
      <c r="X58" s="1" t="s">
        <v>1375</v>
      </c>
      <c r="Y58" s="1" t="s">
        <v>1376</v>
      </c>
      <c r="Z58" s="1" t="s">
        <v>1377</v>
      </c>
      <c r="AA58" s="1" t="s">
        <v>1375</v>
      </c>
      <c r="AB58" s="1" t="s">
        <v>1376</v>
      </c>
      <c r="AC58" s="1" t="s">
        <v>1377</v>
      </c>
      <c r="AD58" s="1">
        <v>8.6</v>
      </c>
      <c r="AE58" s="1" t="s">
        <v>93</v>
      </c>
      <c r="AF58" s="1" t="s">
        <v>1378</v>
      </c>
      <c r="AG58" s="1" t="s">
        <v>1379</v>
      </c>
      <c r="AH58" s="1" t="s">
        <v>161</v>
      </c>
      <c r="AI58" s="1" t="s">
        <v>479</v>
      </c>
      <c r="AJ58" s="1">
        <v>90</v>
      </c>
      <c r="AK58" s="1"/>
      <c r="AL58" s="1" t="s">
        <v>1380</v>
      </c>
      <c r="AM58" s="1" t="s">
        <v>1379</v>
      </c>
      <c r="AN58" s="1" t="s">
        <v>1307</v>
      </c>
      <c r="AO58" s="1" t="s">
        <v>1065</v>
      </c>
      <c r="AP58" s="1">
        <v>71.5</v>
      </c>
      <c r="AQ58" s="1"/>
      <c r="AR58" s="1"/>
      <c r="AS58" s="1"/>
      <c r="AT58" s="1"/>
      <c r="AU58" s="1"/>
      <c r="AV58" s="1"/>
      <c r="AW58" s="1"/>
      <c r="AX58" s="1" t="s">
        <v>1381</v>
      </c>
      <c r="AY58" s="1" t="s">
        <v>1382</v>
      </c>
      <c r="AZ58" s="1" t="s">
        <v>433</v>
      </c>
      <c r="BA58" s="1" t="s">
        <v>590</v>
      </c>
      <c r="BB58" s="1">
        <v>82.3</v>
      </c>
      <c r="BC58" s="1">
        <v>8.23</v>
      </c>
      <c r="BD58" s="1"/>
      <c r="BE58" s="1"/>
      <c r="BF58" s="1"/>
      <c r="BG58" s="1"/>
      <c r="BH58" s="1"/>
      <c r="BI58" s="1"/>
      <c r="BJ58" s="1" t="s">
        <v>1383</v>
      </c>
      <c r="BK58" s="1" t="s">
        <v>1384</v>
      </c>
      <c r="BL58" s="1" t="s">
        <v>1385</v>
      </c>
      <c r="BM58" s="1" t="s">
        <v>1386</v>
      </c>
      <c r="BN58" s="1">
        <v>9</v>
      </c>
      <c r="BO58" s="1" t="s">
        <v>1387</v>
      </c>
      <c r="BP58" s="1" t="str">
        <f>HYPERLINK("https://nconnect.nicmar.ac.in/storage/profile/ProfilePhoto_P25700226_217845.jpg","Download")</f>
        <v>0</v>
      </c>
      <c r="BQ58" s="3"/>
      <c r="BR58" s="3"/>
    </row>
    <row r="59" spans="1:70">
      <c r="A59" s="1" t="s">
        <v>70</v>
      </c>
      <c r="B59" s="1" t="s">
        <v>1269</v>
      </c>
      <c r="C59" s="1" t="s">
        <v>1388</v>
      </c>
      <c r="D59" s="1" t="s">
        <v>1389</v>
      </c>
      <c r="E59" s="1"/>
      <c r="F59" s="1" t="s">
        <v>1390</v>
      </c>
      <c r="G59" s="1" t="s">
        <v>1391</v>
      </c>
      <c r="H59" s="1" t="s">
        <v>1392</v>
      </c>
      <c r="I59" s="1" t="s">
        <v>1393</v>
      </c>
      <c r="J59" s="1">
        <v>8304941139</v>
      </c>
      <c r="K59" s="1" t="s">
        <v>79</v>
      </c>
      <c r="L59" s="1" t="s">
        <v>1394</v>
      </c>
      <c r="M59" s="1" t="s">
        <v>81</v>
      </c>
      <c r="N59" s="1" t="s">
        <v>1395</v>
      </c>
      <c r="O59" s="1"/>
      <c r="P59" s="1" t="s">
        <v>1298</v>
      </c>
      <c r="Q59" s="1" t="s">
        <v>1396</v>
      </c>
      <c r="R59" s="1" t="s">
        <v>1397</v>
      </c>
      <c r="S59" s="1">
        <v>9496901548</v>
      </c>
      <c r="T59" s="1" t="s">
        <v>1398</v>
      </c>
      <c r="U59" s="1" t="s">
        <v>1399</v>
      </c>
      <c r="V59" s="1">
        <v>8281087139</v>
      </c>
      <c r="W59" s="1" t="s">
        <v>156</v>
      </c>
      <c r="X59" s="1" t="s">
        <v>1400</v>
      </c>
      <c r="Y59" s="1" t="s">
        <v>1401</v>
      </c>
      <c r="Z59" s="1" t="s">
        <v>125</v>
      </c>
      <c r="AA59" s="1" t="s">
        <v>1400</v>
      </c>
      <c r="AB59" s="1" t="s">
        <v>1401</v>
      </c>
      <c r="AC59" s="1" t="s">
        <v>125</v>
      </c>
      <c r="AD59" s="1">
        <v>8.74</v>
      </c>
      <c r="AE59" s="1" t="s">
        <v>93</v>
      </c>
      <c r="AF59" s="1" t="s">
        <v>1402</v>
      </c>
      <c r="AG59" s="1" t="s">
        <v>1403</v>
      </c>
      <c r="AH59" s="1" t="s">
        <v>165</v>
      </c>
      <c r="AI59" s="1" t="s">
        <v>281</v>
      </c>
      <c r="AJ59" s="1">
        <v>97.84</v>
      </c>
      <c r="AK59" s="1"/>
      <c r="AL59" s="1" t="s">
        <v>1402</v>
      </c>
      <c r="AM59" s="1" t="s">
        <v>1404</v>
      </c>
      <c r="AN59" s="1" t="s">
        <v>101</v>
      </c>
      <c r="AO59" s="1" t="s">
        <v>941</v>
      </c>
      <c r="AP59" s="1">
        <v>96.5</v>
      </c>
      <c r="AQ59" s="1"/>
      <c r="AR59" s="1"/>
      <c r="AS59" s="1"/>
      <c r="AT59" s="1"/>
      <c r="AU59" s="1"/>
      <c r="AV59" s="1"/>
      <c r="AW59" s="1"/>
      <c r="AX59" s="1" t="s">
        <v>1405</v>
      </c>
      <c r="AY59" s="1" t="s">
        <v>1406</v>
      </c>
      <c r="AZ59" s="1" t="s">
        <v>1407</v>
      </c>
      <c r="BA59" s="1" t="s">
        <v>1408</v>
      </c>
      <c r="BB59" s="1">
        <v>75.8</v>
      </c>
      <c r="BC59" s="1">
        <v>7.58</v>
      </c>
      <c r="BD59" s="1"/>
      <c r="BE59" s="1"/>
      <c r="BF59" s="1"/>
      <c r="BG59" s="1"/>
      <c r="BH59" s="1"/>
      <c r="BI59" s="1"/>
      <c r="BJ59" s="1" t="s">
        <v>1409</v>
      </c>
      <c r="BK59" s="1"/>
      <c r="BL59" s="1"/>
      <c r="BM59" s="1" t="s">
        <v>1410</v>
      </c>
      <c r="BN59" s="1">
        <v>1</v>
      </c>
      <c r="BO59" s="1" t="s">
        <v>1411</v>
      </c>
      <c r="BP59" s="1" t="str">
        <f>HYPERLINK("https://nconnect.nicmar.ac.in/storage/profile/ProfilePhoto_P25700221_715863.jpg","Download")</f>
        <v>0</v>
      </c>
      <c r="BQ59" s="3"/>
      <c r="BR59" s="3"/>
    </row>
    <row r="60" spans="1:70">
      <c r="A60" s="1" t="s">
        <v>70</v>
      </c>
      <c r="B60" s="1" t="s">
        <v>1269</v>
      </c>
      <c r="C60" s="1" t="s">
        <v>1412</v>
      </c>
      <c r="D60" s="1" t="s">
        <v>901</v>
      </c>
      <c r="E60" s="1"/>
      <c r="F60" s="1" t="s">
        <v>1413</v>
      </c>
      <c r="G60" s="1" t="s">
        <v>1414</v>
      </c>
      <c r="H60" s="1" t="s">
        <v>1415</v>
      </c>
      <c r="I60" s="1" t="s">
        <v>1416</v>
      </c>
      <c r="J60" s="1">
        <v>9130396516</v>
      </c>
      <c r="K60" s="1" t="s">
        <v>79</v>
      </c>
      <c r="L60" s="1" t="s">
        <v>1417</v>
      </c>
      <c r="M60" s="1" t="s">
        <v>81</v>
      </c>
      <c r="N60" s="1" t="s">
        <v>1418</v>
      </c>
      <c r="O60" s="1"/>
      <c r="P60" s="1" t="s">
        <v>1278</v>
      </c>
      <c r="Q60" s="1" t="s">
        <v>1419</v>
      </c>
      <c r="R60" s="1" t="s">
        <v>1420</v>
      </c>
      <c r="S60" s="1">
        <v>7218113381</v>
      </c>
      <c r="T60" s="1" t="s">
        <v>1421</v>
      </c>
      <c r="U60" s="1" t="s">
        <v>1422</v>
      </c>
      <c r="V60" s="1">
        <v>9823594106</v>
      </c>
      <c r="W60" s="1" t="s">
        <v>651</v>
      </c>
      <c r="X60" s="1" t="s">
        <v>1423</v>
      </c>
      <c r="Y60" s="1" t="s">
        <v>1424</v>
      </c>
      <c r="Z60" s="1" t="s">
        <v>92</v>
      </c>
      <c r="AA60" s="1" t="s">
        <v>1423</v>
      </c>
      <c r="AB60" s="1" t="s">
        <v>1424</v>
      </c>
      <c r="AC60" s="1" t="s">
        <v>92</v>
      </c>
      <c r="AD60" s="1">
        <v>7.96</v>
      </c>
      <c r="AE60" s="1" t="s">
        <v>93</v>
      </c>
      <c r="AF60" s="1" t="s">
        <v>1425</v>
      </c>
      <c r="AG60" s="1" t="s">
        <v>1426</v>
      </c>
      <c r="AH60" s="1" t="s">
        <v>161</v>
      </c>
      <c r="AI60" s="1" t="s">
        <v>527</v>
      </c>
      <c r="AJ60" s="1">
        <v>77.9</v>
      </c>
      <c r="AK60" s="1">
        <v>8.2</v>
      </c>
      <c r="AL60" s="1" t="s">
        <v>1427</v>
      </c>
      <c r="AM60" s="1" t="s">
        <v>455</v>
      </c>
      <c r="AN60" s="1" t="s">
        <v>165</v>
      </c>
      <c r="AO60" s="1" t="s">
        <v>166</v>
      </c>
      <c r="AP60" s="1">
        <v>73.08</v>
      </c>
      <c r="AQ60" s="1"/>
      <c r="AR60" s="1"/>
      <c r="AS60" s="1"/>
      <c r="AT60" s="1"/>
      <c r="AU60" s="1"/>
      <c r="AV60" s="1"/>
      <c r="AW60" s="1"/>
      <c r="AX60" s="1" t="s">
        <v>1428</v>
      </c>
      <c r="AY60" s="1" t="s">
        <v>1429</v>
      </c>
      <c r="AZ60" s="1" t="s">
        <v>101</v>
      </c>
      <c r="BA60" s="1" t="s">
        <v>1003</v>
      </c>
      <c r="BB60" s="1">
        <v>74.3</v>
      </c>
      <c r="BC60" s="1">
        <v>8.18</v>
      </c>
      <c r="BD60" s="1"/>
      <c r="BE60" s="1"/>
      <c r="BF60" s="1"/>
      <c r="BG60" s="1"/>
      <c r="BH60" s="1"/>
      <c r="BI60" s="1"/>
      <c r="BJ60" s="1" t="s">
        <v>1430</v>
      </c>
      <c r="BK60" s="1"/>
      <c r="BL60" s="1"/>
      <c r="BM60" s="1" t="s">
        <v>1431</v>
      </c>
      <c r="BN60" s="1">
        <v>9</v>
      </c>
      <c r="BO60" s="1" t="s">
        <v>1432</v>
      </c>
      <c r="BP60" s="1" t="str">
        <f>HYPERLINK("https://nconnect.nicmar.ac.in/storage/profile/ProfilePhoto_P25700199_537268.jpg","Download")</f>
        <v>0</v>
      </c>
      <c r="BQ60" s="3"/>
      <c r="BR60" s="3"/>
    </row>
    <row r="61" spans="1:70">
      <c r="A61" s="1" t="s">
        <v>70</v>
      </c>
      <c r="B61" s="1" t="s">
        <v>1269</v>
      </c>
      <c r="C61" s="1" t="s">
        <v>1433</v>
      </c>
      <c r="D61" s="1" t="s">
        <v>1434</v>
      </c>
      <c r="E61" s="1"/>
      <c r="F61" s="1" t="s">
        <v>1435</v>
      </c>
      <c r="G61" s="1" t="s">
        <v>1436</v>
      </c>
      <c r="H61" s="1" t="s">
        <v>1437</v>
      </c>
      <c r="I61" s="1" t="s">
        <v>1438</v>
      </c>
      <c r="J61" s="1">
        <v>7091398455</v>
      </c>
      <c r="K61" s="1" t="s">
        <v>79</v>
      </c>
      <c r="L61" s="1" t="s">
        <v>1439</v>
      </c>
      <c r="M61" s="1" t="s">
        <v>81</v>
      </c>
      <c r="N61" s="1" t="s">
        <v>350</v>
      </c>
      <c r="O61" s="1"/>
      <c r="P61" s="1" t="s">
        <v>1323</v>
      </c>
      <c r="Q61" s="1" t="s">
        <v>1440</v>
      </c>
      <c r="R61" s="1" t="s">
        <v>1441</v>
      </c>
      <c r="S61" s="1">
        <v>9507681915</v>
      </c>
      <c r="T61" s="1" t="s">
        <v>763</v>
      </c>
      <c r="U61" s="1" t="s">
        <v>1442</v>
      </c>
      <c r="V61" s="1">
        <v>8987034045</v>
      </c>
      <c r="W61" s="1" t="s">
        <v>763</v>
      </c>
      <c r="X61" s="1" t="s">
        <v>1443</v>
      </c>
      <c r="Y61" s="1" t="s">
        <v>845</v>
      </c>
      <c r="Z61" s="1" t="s">
        <v>846</v>
      </c>
      <c r="AA61" s="1" t="s">
        <v>1443</v>
      </c>
      <c r="AB61" s="1" t="s">
        <v>845</v>
      </c>
      <c r="AC61" s="1" t="s">
        <v>846</v>
      </c>
      <c r="AD61" s="1">
        <v>8.54</v>
      </c>
      <c r="AE61" s="1" t="s">
        <v>93</v>
      </c>
      <c r="AF61" s="1" t="s">
        <v>1444</v>
      </c>
      <c r="AG61" s="1" t="s">
        <v>1445</v>
      </c>
      <c r="AH61" s="1" t="s">
        <v>131</v>
      </c>
      <c r="AI61" s="1" t="s">
        <v>527</v>
      </c>
      <c r="AJ61" s="1">
        <v>95</v>
      </c>
      <c r="AK61" s="1">
        <v>10</v>
      </c>
      <c r="AL61" s="1" t="s">
        <v>1446</v>
      </c>
      <c r="AM61" s="1" t="s">
        <v>1447</v>
      </c>
      <c r="AN61" s="1" t="s">
        <v>166</v>
      </c>
      <c r="AO61" s="1" t="s">
        <v>308</v>
      </c>
      <c r="AP61" s="1">
        <v>61.8</v>
      </c>
      <c r="AQ61" s="1"/>
      <c r="AR61" s="1"/>
      <c r="AS61" s="1"/>
      <c r="AT61" s="1"/>
      <c r="AU61" s="1"/>
      <c r="AV61" s="1"/>
      <c r="AW61" s="1"/>
      <c r="AX61" s="1" t="s">
        <v>1448</v>
      </c>
      <c r="AY61" s="1" t="s">
        <v>1449</v>
      </c>
      <c r="AZ61" s="1" t="s">
        <v>310</v>
      </c>
      <c r="BA61" s="1" t="s">
        <v>229</v>
      </c>
      <c r="BB61" s="1">
        <v>81.3</v>
      </c>
      <c r="BC61" s="1">
        <v>8.13</v>
      </c>
      <c r="BD61" s="1"/>
      <c r="BE61" s="1"/>
      <c r="BF61" s="1"/>
      <c r="BG61" s="1"/>
      <c r="BH61" s="1"/>
      <c r="BI61" s="1"/>
      <c r="BJ61" s="1" t="s">
        <v>1450</v>
      </c>
      <c r="BK61" s="1" t="s">
        <v>1451</v>
      </c>
      <c r="BL61" s="1" t="s">
        <v>484</v>
      </c>
      <c r="BM61" s="1" t="s">
        <v>1452</v>
      </c>
      <c r="BN61" s="1">
        <v>91</v>
      </c>
      <c r="BO61" s="1"/>
      <c r="BP61" s="1" t="str">
        <f>HYPERLINK("https://nconnect.nicmar.ac.in/storage/profile/ProfilePhoto_P25700377_893524.jpg","Download")</f>
        <v>0</v>
      </c>
      <c r="BQ61" s="3"/>
      <c r="BR61" s="3"/>
    </row>
    <row r="62" spans="1:70">
      <c r="A62" s="1" t="s">
        <v>70</v>
      </c>
      <c r="B62" s="1" t="s">
        <v>1269</v>
      </c>
      <c r="C62" s="1" t="s">
        <v>1453</v>
      </c>
      <c r="D62" s="1" t="s">
        <v>1454</v>
      </c>
      <c r="E62" s="1" t="s">
        <v>1455</v>
      </c>
      <c r="F62" s="1" t="s">
        <v>1456</v>
      </c>
      <c r="G62" s="1" t="s">
        <v>1457</v>
      </c>
      <c r="H62" s="1" t="s">
        <v>1458</v>
      </c>
      <c r="I62" s="1" t="s">
        <v>1459</v>
      </c>
      <c r="J62" s="1">
        <v>9925116713</v>
      </c>
      <c r="K62" s="1" t="s">
        <v>79</v>
      </c>
      <c r="L62" s="1" t="s">
        <v>1460</v>
      </c>
      <c r="M62" s="1" t="s">
        <v>81</v>
      </c>
      <c r="N62" s="1" t="s">
        <v>1461</v>
      </c>
      <c r="O62" s="1"/>
      <c r="P62" s="1" t="s">
        <v>1462</v>
      </c>
      <c r="Q62" s="1" t="s">
        <v>1463</v>
      </c>
      <c r="R62" s="1" t="s">
        <v>1455</v>
      </c>
      <c r="S62" s="1">
        <v>9825116713</v>
      </c>
      <c r="T62" s="1" t="s">
        <v>1464</v>
      </c>
      <c r="U62" s="1" t="s">
        <v>1465</v>
      </c>
      <c r="V62" s="1">
        <v>9925016713</v>
      </c>
      <c r="W62" s="1" t="s">
        <v>156</v>
      </c>
      <c r="X62" s="1" t="s">
        <v>1466</v>
      </c>
      <c r="Y62" s="1" t="s">
        <v>1467</v>
      </c>
      <c r="Z62" s="1" t="s">
        <v>1468</v>
      </c>
      <c r="AA62" s="1" t="s">
        <v>1466</v>
      </c>
      <c r="AB62" s="1" t="s">
        <v>1467</v>
      </c>
      <c r="AC62" s="1" t="s">
        <v>1468</v>
      </c>
      <c r="AD62" s="1">
        <v>8.29</v>
      </c>
      <c r="AE62" s="1" t="s">
        <v>93</v>
      </c>
      <c r="AF62" s="1" t="s">
        <v>1469</v>
      </c>
      <c r="AG62" s="1" t="s">
        <v>1470</v>
      </c>
      <c r="AH62" s="1" t="s">
        <v>162</v>
      </c>
      <c r="AI62" s="1" t="s">
        <v>479</v>
      </c>
      <c r="AJ62" s="1">
        <v>73.2</v>
      </c>
      <c r="AK62" s="1"/>
      <c r="AL62" s="1" t="s">
        <v>1469</v>
      </c>
      <c r="AM62" s="1" t="s">
        <v>1471</v>
      </c>
      <c r="AN62" s="1" t="s">
        <v>101</v>
      </c>
      <c r="AO62" s="1" t="s">
        <v>308</v>
      </c>
      <c r="AP62" s="1">
        <v>71.25</v>
      </c>
      <c r="AQ62" s="1"/>
      <c r="AR62" s="1"/>
      <c r="AS62" s="1"/>
      <c r="AT62" s="1"/>
      <c r="AU62" s="1"/>
      <c r="AV62" s="1"/>
      <c r="AW62" s="1"/>
      <c r="AX62" s="1" t="s">
        <v>1024</v>
      </c>
      <c r="AY62" s="1" t="s">
        <v>1472</v>
      </c>
      <c r="AZ62" s="1" t="s">
        <v>433</v>
      </c>
      <c r="BA62" s="1" t="s">
        <v>413</v>
      </c>
      <c r="BB62" s="1">
        <v>75.9</v>
      </c>
      <c r="BC62" s="1">
        <v>7.59</v>
      </c>
      <c r="BD62" s="1"/>
      <c r="BE62" s="1"/>
      <c r="BF62" s="1"/>
      <c r="BG62" s="1"/>
      <c r="BH62" s="1"/>
      <c r="BI62" s="1"/>
      <c r="BJ62" s="1" t="s">
        <v>1473</v>
      </c>
      <c r="BK62" s="1" t="s">
        <v>1474</v>
      </c>
      <c r="BL62" s="1" t="s">
        <v>1475</v>
      </c>
      <c r="BM62" s="1" t="s">
        <v>1476</v>
      </c>
      <c r="BN62" s="1">
        <v>49</v>
      </c>
      <c r="BO62" s="1" t="s">
        <v>1477</v>
      </c>
      <c r="BP62" s="1" t="str">
        <f>HYPERLINK("https://nconnect.nicmar.ac.in/storage/profile/6a65d4fbd315c.png","Download")</f>
        <v>0</v>
      </c>
      <c r="BQ62" s="3"/>
      <c r="BR62" s="3"/>
    </row>
    <row r="63" spans="1:70">
      <c r="A63" s="1" t="s">
        <v>70</v>
      </c>
      <c r="B63" s="1" t="s">
        <v>1269</v>
      </c>
      <c r="C63" s="1" t="s">
        <v>1478</v>
      </c>
      <c r="D63" s="1" t="s">
        <v>1479</v>
      </c>
      <c r="E63" s="1"/>
      <c r="F63" s="1" t="s">
        <v>1480</v>
      </c>
      <c r="G63" s="1" t="s">
        <v>1481</v>
      </c>
      <c r="H63" s="1" t="s">
        <v>1482</v>
      </c>
      <c r="I63" s="1" t="s">
        <v>1483</v>
      </c>
      <c r="J63" s="1">
        <v>8921956185</v>
      </c>
      <c r="K63" s="1" t="s">
        <v>148</v>
      </c>
      <c r="L63" s="1" t="s">
        <v>1484</v>
      </c>
      <c r="M63" s="1" t="s">
        <v>81</v>
      </c>
      <c r="N63" s="1" t="s">
        <v>1485</v>
      </c>
      <c r="O63" s="1"/>
      <c r="P63" s="1" t="s">
        <v>1462</v>
      </c>
      <c r="Q63" s="1" t="s">
        <v>1486</v>
      </c>
      <c r="R63" s="1" t="s">
        <v>1487</v>
      </c>
      <c r="S63" s="1">
        <v>9446934807</v>
      </c>
      <c r="T63" s="1" t="s">
        <v>1488</v>
      </c>
      <c r="U63" s="1" t="s">
        <v>1489</v>
      </c>
      <c r="V63" s="1">
        <v>9497414807</v>
      </c>
      <c r="W63" s="1" t="s">
        <v>651</v>
      </c>
      <c r="X63" s="1" t="s">
        <v>1490</v>
      </c>
      <c r="Y63" s="1" t="s">
        <v>1491</v>
      </c>
      <c r="Z63" s="1" t="s">
        <v>125</v>
      </c>
      <c r="AA63" s="1" t="s">
        <v>1490</v>
      </c>
      <c r="AB63" s="1" t="s">
        <v>1491</v>
      </c>
      <c r="AC63" s="1" t="s">
        <v>125</v>
      </c>
      <c r="AD63" s="1">
        <v>8.79</v>
      </c>
      <c r="AE63" s="1" t="s">
        <v>93</v>
      </c>
      <c r="AF63" s="1" t="s">
        <v>1492</v>
      </c>
      <c r="AG63" s="1" t="s">
        <v>894</v>
      </c>
      <c r="AH63" s="1" t="s">
        <v>162</v>
      </c>
      <c r="AI63" s="1" t="s">
        <v>678</v>
      </c>
      <c r="AJ63" s="1">
        <v>87.4</v>
      </c>
      <c r="AK63" s="1">
        <v>9.2</v>
      </c>
      <c r="AL63" s="1" t="s">
        <v>1492</v>
      </c>
      <c r="AM63" s="1" t="s">
        <v>1493</v>
      </c>
      <c r="AN63" s="1" t="s">
        <v>101</v>
      </c>
      <c r="AO63" s="1" t="s">
        <v>1065</v>
      </c>
      <c r="AP63" s="1">
        <v>93.4</v>
      </c>
      <c r="AQ63" s="1"/>
      <c r="AR63" s="1"/>
      <c r="AS63" s="1"/>
      <c r="AT63" s="1"/>
      <c r="AU63" s="1"/>
      <c r="AV63" s="1"/>
      <c r="AW63" s="1"/>
      <c r="AX63" s="1" t="s">
        <v>1494</v>
      </c>
      <c r="AY63" s="1" t="s">
        <v>1495</v>
      </c>
      <c r="AZ63" s="1" t="s">
        <v>201</v>
      </c>
      <c r="BA63" s="1" t="s">
        <v>229</v>
      </c>
      <c r="BB63" s="1">
        <v>80.6</v>
      </c>
      <c r="BC63" s="1">
        <v>8.06</v>
      </c>
      <c r="BD63" s="1"/>
      <c r="BE63" s="1"/>
      <c r="BF63" s="1"/>
      <c r="BG63" s="1"/>
      <c r="BH63" s="1"/>
      <c r="BI63" s="1"/>
      <c r="BJ63" s="1" t="s">
        <v>364</v>
      </c>
      <c r="BK63" s="1" t="s">
        <v>1496</v>
      </c>
      <c r="BL63" s="1" t="s">
        <v>1497</v>
      </c>
      <c r="BM63" s="1" t="s">
        <v>1498</v>
      </c>
      <c r="BN63" s="1">
        <v>1</v>
      </c>
      <c r="BO63" s="1" t="s">
        <v>1499</v>
      </c>
      <c r="BP63" s="1" t="str">
        <f>HYPERLINK("https://nconnect.nicmar.ac.in/storage/profile/ProfilePhoto_P25700003_859234.jpg","Download")</f>
        <v>0</v>
      </c>
      <c r="BQ63" s="3"/>
      <c r="BR63" s="3"/>
    </row>
    <row r="64" spans="1:70">
      <c r="A64" s="1" t="s">
        <v>70</v>
      </c>
      <c r="B64" s="1" t="s">
        <v>1269</v>
      </c>
      <c r="C64" s="1" t="s">
        <v>1500</v>
      </c>
      <c r="D64" s="1" t="s">
        <v>1501</v>
      </c>
      <c r="E64" s="1"/>
      <c r="F64" s="1" t="s">
        <v>1502</v>
      </c>
      <c r="G64" s="1" t="s">
        <v>1503</v>
      </c>
      <c r="H64" s="1" t="s">
        <v>1504</v>
      </c>
      <c r="I64" s="1" t="s">
        <v>1505</v>
      </c>
      <c r="J64" s="1">
        <v>7829440576</v>
      </c>
      <c r="K64" s="1" t="s">
        <v>79</v>
      </c>
      <c r="L64" s="1" t="s">
        <v>1506</v>
      </c>
      <c r="M64" s="1" t="s">
        <v>81</v>
      </c>
      <c r="N64" s="1" t="s">
        <v>1507</v>
      </c>
      <c r="O64" s="1"/>
      <c r="P64" s="1" t="s">
        <v>1323</v>
      </c>
      <c r="Q64" s="1" t="s">
        <v>1508</v>
      </c>
      <c r="R64" s="1" t="s">
        <v>1509</v>
      </c>
      <c r="S64" s="1">
        <v>9741597469</v>
      </c>
      <c r="T64" s="1" t="s">
        <v>1510</v>
      </c>
      <c r="U64" s="1" t="s">
        <v>1511</v>
      </c>
      <c r="V64" s="1">
        <v>8105736319</v>
      </c>
      <c r="W64" s="1" t="s">
        <v>156</v>
      </c>
      <c r="X64" s="1" t="s">
        <v>1512</v>
      </c>
      <c r="Y64" s="1" t="s">
        <v>1513</v>
      </c>
      <c r="Z64" s="1" t="s">
        <v>276</v>
      </c>
      <c r="AA64" s="1" t="s">
        <v>1512</v>
      </c>
      <c r="AB64" s="1" t="s">
        <v>1513</v>
      </c>
      <c r="AC64" s="1" t="s">
        <v>276</v>
      </c>
      <c r="AD64" s="1">
        <v>8.51</v>
      </c>
      <c r="AE64" s="1" t="s">
        <v>93</v>
      </c>
      <c r="AF64" s="1" t="s">
        <v>1514</v>
      </c>
      <c r="AG64" s="1" t="s">
        <v>1515</v>
      </c>
      <c r="AH64" s="1" t="s">
        <v>1516</v>
      </c>
      <c r="AI64" s="1" t="s">
        <v>131</v>
      </c>
      <c r="AJ64" s="1">
        <v>83.68</v>
      </c>
      <c r="AK64" s="1"/>
      <c r="AL64" s="1" t="s">
        <v>1517</v>
      </c>
      <c r="AM64" s="1" t="s">
        <v>1518</v>
      </c>
      <c r="AN64" s="1" t="s">
        <v>131</v>
      </c>
      <c r="AO64" s="1" t="s">
        <v>479</v>
      </c>
      <c r="AP64" s="1">
        <v>61</v>
      </c>
      <c r="AQ64" s="1"/>
      <c r="AR64" s="1"/>
      <c r="AS64" s="1"/>
      <c r="AT64" s="1"/>
      <c r="AU64" s="1"/>
      <c r="AV64" s="1"/>
      <c r="AW64" s="1"/>
      <c r="AX64" s="1" t="s">
        <v>1519</v>
      </c>
      <c r="AY64" s="1" t="s">
        <v>1520</v>
      </c>
      <c r="AZ64" s="1" t="s">
        <v>225</v>
      </c>
      <c r="BA64" s="1" t="s">
        <v>436</v>
      </c>
      <c r="BB64" s="1">
        <v>69.9</v>
      </c>
      <c r="BC64" s="1"/>
      <c r="BD64" s="1"/>
      <c r="BE64" s="1"/>
      <c r="BF64" s="1"/>
      <c r="BG64" s="1"/>
      <c r="BH64" s="1"/>
      <c r="BI64" s="1"/>
      <c r="BJ64" s="1" t="s">
        <v>1521</v>
      </c>
      <c r="BK64" s="1" t="s">
        <v>1522</v>
      </c>
      <c r="BL64" s="1" t="s">
        <v>1523</v>
      </c>
      <c r="BM64" s="1" t="s">
        <v>1524</v>
      </c>
      <c r="BN64" s="1">
        <v>32</v>
      </c>
      <c r="BO64" s="1"/>
      <c r="BP64" s="1" t="str">
        <f>HYPERLINK("https://nconnect.nicmar.ac.in/storage/profile/ProfilePhoto_P25700112_517384.jpg","Download")</f>
        <v>0</v>
      </c>
      <c r="BQ64" s="3"/>
      <c r="BR64" s="3"/>
    </row>
    <row r="65" spans="1:70">
      <c r="A65" s="1" t="s">
        <v>70</v>
      </c>
      <c r="B65" s="1" t="s">
        <v>1269</v>
      </c>
      <c r="C65" s="1" t="s">
        <v>1525</v>
      </c>
      <c r="D65" s="1" t="s">
        <v>1526</v>
      </c>
      <c r="E65" s="1"/>
      <c r="F65" s="1" t="s">
        <v>1527</v>
      </c>
      <c r="G65" s="1" t="s">
        <v>1528</v>
      </c>
      <c r="H65" s="1" t="s">
        <v>1529</v>
      </c>
      <c r="I65" s="1" t="s">
        <v>1530</v>
      </c>
      <c r="J65" s="1">
        <v>8010109972</v>
      </c>
      <c r="K65" s="1" t="s">
        <v>148</v>
      </c>
      <c r="L65" s="1" t="s">
        <v>1531</v>
      </c>
      <c r="M65" s="1" t="s">
        <v>81</v>
      </c>
      <c r="N65" s="1" t="s">
        <v>1532</v>
      </c>
      <c r="O65" s="1"/>
      <c r="P65" s="1" t="s">
        <v>1323</v>
      </c>
      <c r="Q65" s="1" t="s">
        <v>1533</v>
      </c>
      <c r="R65" s="1" t="s">
        <v>1534</v>
      </c>
      <c r="S65" s="1">
        <v>7972618864</v>
      </c>
      <c r="T65" s="1" t="s">
        <v>154</v>
      </c>
      <c r="U65" s="1" t="s">
        <v>1535</v>
      </c>
      <c r="V65" s="1">
        <v>9146099675</v>
      </c>
      <c r="W65" s="1" t="s">
        <v>89</v>
      </c>
      <c r="X65" s="1" t="s">
        <v>1536</v>
      </c>
      <c r="Y65" s="1" t="s">
        <v>191</v>
      </c>
      <c r="Z65" s="1" t="s">
        <v>92</v>
      </c>
      <c r="AA65" s="1" t="s">
        <v>1537</v>
      </c>
      <c r="AB65" s="1" t="s">
        <v>191</v>
      </c>
      <c r="AC65" s="1" t="s">
        <v>92</v>
      </c>
      <c r="AD65" s="1">
        <v>8.24</v>
      </c>
      <c r="AE65" s="1" t="s">
        <v>93</v>
      </c>
      <c r="AF65" s="1" t="s">
        <v>1538</v>
      </c>
      <c r="AG65" s="1" t="s">
        <v>1539</v>
      </c>
      <c r="AH65" s="1" t="s">
        <v>279</v>
      </c>
      <c r="AI65" s="1" t="s">
        <v>165</v>
      </c>
      <c r="AJ65" s="1">
        <v>84.7</v>
      </c>
      <c r="AK65" s="1">
        <v>8.8</v>
      </c>
      <c r="AL65" s="1" t="s">
        <v>1538</v>
      </c>
      <c r="AM65" s="1" t="s">
        <v>1539</v>
      </c>
      <c r="AN65" s="1" t="s">
        <v>1307</v>
      </c>
      <c r="AO65" s="1" t="s">
        <v>308</v>
      </c>
      <c r="AP65" s="1">
        <v>71.8</v>
      </c>
      <c r="AQ65" s="1"/>
      <c r="AR65" s="1"/>
      <c r="AS65" s="1"/>
      <c r="AT65" s="1"/>
      <c r="AU65" s="1"/>
      <c r="AV65" s="1"/>
      <c r="AW65" s="1"/>
      <c r="AX65" s="1" t="s">
        <v>361</v>
      </c>
      <c r="AY65" s="1" t="s">
        <v>1540</v>
      </c>
      <c r="AZ65" s="1" t="s">
        <v>310</v>
      </c>
      <c r="BA65" s="1" t="s">
        <v>174</v>
      </c>
      <c r="BB65" s="1">
        <v>79.75</v>
      </c>
      <c r="BC65" s="1">
        <v>8.38</v>
      </c>
      <c r="BD65" s="1"/>
      <c r="BE65" s="1"/>
      <c r="BF65" s="1"/>
      <c r="BG65" s="1"/>
      <c r="BH65" s="1"/>
      <c r="BI65" s="1"/>
      <c r="BJ65" s="1" t="s">
        <v>1541</v>
      </c>
      <c r="BK65" s="1" t="s">
        <v>1542</v>
      </c>
      <c r="BL65" s="1" t="s">
        <v>1543</v>
      </c>
      <c r="BM65" s="1" t="s">
        <v>1544</v>
      </c>
      <c r="BN65" s="1">
        <v>13</v>
      </c>
      <c r="BO65" s="1"/>
      <c r="BP65" s="1" t="str">
        <f>HYPERLINK("https://nconnect.nicmar.ac.in/storage/profile/ProfilePhoto_P25700315_842651.jpg","Download")</f>
        <v>0</v>
      </c>
      <c r="BQ65" s="3"/>
      <c r="BR65" s="3"/>
    </row>
    <row r="66" spans="1:70">
      <c r="A66" s="1" t="s">
        <v>70</v>
      </c>
      <c r="B66" s="1" t="s">
        <v>1269</v>
      </c>
      <c r="C66" s="1" t="s">
        <v>1545</v>
      </c>
      <c r="D66" s="1" t="s">
        <v>533</v>
      </c>
      <c r="E66" s="1" t="s">
        <v>1546</v>
      </c>
      <c r="F66" s="1" t="s">
        <v>1547</v>
      </c>
      <c r="G66" s="1" t="s">
        <v>1548</v>
      </c>
      <c r="H66" s="1" t="s">
        <v>1549</v>
      </c>
      <c r="I66" s="1" t="s">
        <v>1550</v>
      </c>
      <c r="J66" s="1">
        <v>7775970740</v>
      </c>
      <c r="K66" s="1" t="s">
        <v>79</v>
      </c>
      <c r="L66" s="1" t="s">
        <v>1551</v>
      </c>
      <c r="M66" s="1" t="s">
        <v>81</v>
      </c>
      <c r="N66" s="1" t="s">
        <v>860</v>
      </c>
      <c r="O66" s="1"/>
      <c r="P66" s="1" t="s">
        <v>1323</v>
      </c>
      <c r="Q66" s="1" t="s">
        <v>1552</v>
      </c>
      <c r="R66" s="1" t="s">
        <v>1553</v>
      </c>
      <c r="S66" s="1">
        <v>9850353870</v>
      </c>
      <c r="T66" s="1" t="s">
        <v>1554</v>
      </c>
      <c r="U66" s="1" t="s">
        <v>1555</v>
      </c>
      <c r="V66" s="1">
        <v>9011917642</v>
      </c>
      <c r="W66" s="1" t="s">
        <v>156</v>
      </c>
      <c r="X66" s="1" t="s">
        <v>1556</v>
      </c>
      <c r="Y66" s="1" t="s">
        <v>1424</v>
      </c>
      <c r="Z66" s="1" t="s">
        <v>92</v>
      </c>
      <c r="AA66" s="1" t="s">
        <v>1556</v>
      </c>
      <c r="AB66" s="1" t="s">
        <v>1424</v>
      </c>
      <c r="AC66" s="1" t="s">
        <v>92</v>
      </c>
      <c r="AD66" s="1">
        <v>8.28</v>
      </c>
      <c r="AE66" s="1" t="s">
        <v>93</v>
      </c>
      <c r="AF66" s="1" t="s">
        <v>1557</v>
      </c>
      <c r="AG66" s="1" t="s">
        <v>939</v>
      </c>
      <c r="AH66" s="1" t="s">
        <v>161</v>
      </c>
      <c r="AI66" s="1" t="s">
        <v>527</v>
      </c>
      <c r="AJ66" s="1">
        <v>95</v>
      </c>
      <c r="AK66" s="1">
        <v>10</v>
      </c>
      <c r="AL66" s="1" t="s">
        <v>1558</v>
      </c>
      <c r="AM66" s="1" t="s">
        <v>160</v>
      </c>
      <c r="AN66" s="1" t="s">
        <v>165</v>
      </c>
      <c r="AO66" s="1" t="s">
        <v>1307</v>
      </c>
      <c r="AP66" s="1">
        <v>93.85</v>
      </c>
      <c r="AQ66" s="1"/>
      <c r="AR66" s="1"/>
      <c r="AS66" s="1"/>
      <c r="AT66" s="1"/>
      <c r="AU66" s="1"/>
      <c r="AV66" s="1"/>
      <c r="AW66" s="1"/>
      <c r="AX66" s="1" t="s">
        <v>361</v>
      </c>
      <c r="AY66" s="1" t="s">
        <v>1559</v>
      </c>
      <c r="AZ66" s="1" t="s">
        <v>101</v>
      </c>
      <c r="BA66" s="1" t="s">
        <v>284</v>
      </c>
      <c r="BB66" s="1">
        <v>81.92</v>
      </c>
      <c r="BC66" s="1">
        <v>8.91</v>
      </c>
      <c r="BD66" s="1"/>
      <c r="BE66" s="1"/>
      <c r="BF66" s="1"/>
      <c r="BG66" s="1"/>
      <c r="BH66" s="1"/>
      <c r="BI66" s="1"/>
      <c r="BJ66" s="1" t="s">
        <v>364</v>
      </c>
      <c r="BK66" s="1" t="s">
        <v>1560</v>
      </c>
      <c r="BL66" s="1" t="s">
        <v>1561</v>
      </c>
      <c r="BM66" s="1" t="s">
        <v>1562</v>
      </c>
      <c r="BN66" s="1">
        <v>25</v>
      </c>
      <c r="BO66" s="1"/>
      <c r="BP66" s="1" t="str">
        <f>HYPERLINK("https://nconnect.nicmar.ac.in/storage/profile/ProfilePhoto_P25700584_287936.jpg","Download")</f>
        <v>0</v>
      </c>
      <c r="BQ66" s="3"/>
      <c r="BR66" s="3"/>
    </row>
    <row r="67" spans="1:70">
      <c r="A67" s="1" t="s">
        <v>1563</v>
      </c>
      <c r="B67" s="1" t="s">
        <v>1269</v>
      </c>
      <c r="C67" s="1" t="s">
        <v>1564</v>
      </c>
      <c r="D67" s="1" t="s">
        <v>1565</v>
      </c>
      <c r="E67" s="1"/>
      <c r="F67" s="1" t="s">
        <v>1566</v>
      </c>
      <c r="G67" s="1" t="s">
        <v>1567</v>
      </c>
      <c r="H67" s="1" t="s">
        <v>1568</v>
      </c>
      <c r="I67" s="1" t="s">
        <v>1569</v>
      </c>
      <c r="J67" s="1">
        <v>9346714289</v>
      </c>
      <c r="K67" s="1" t="s">
        <v>79</v>
      </c>
      <c r="L67" s="1" t="s">
        <v>1570</v>
      </c>
      <c r="M67" s="1" t="s">
        <v>81</v>
      </c>
      <c r="N67" s="1" t="s">
        <v>1571</v>
      </c>
      <c r="O67" s="1" t="s">
        <v>1572</v>
      </c>
      <c r="P67" s="1" t="s">
        <v>1278</v>
      </c>
      <c r="Q67" s="1" t="s">
        <v>1573</v>
      </c>
      <c r="R67" s="1" t="s">
        <v>1574</v>
      </c>
      <c r="S67" s="1">
        <v>9908019108</v>
      </c>
      <c r="T67" s="1" t="s">
        <v>1575</v>
      </c>
      <c r="U67" s="1" t="s">
        <v>1576</v>
      </c>
      <c r="V67" s="1">
        <v>7358756268</v>
      </c>
      <c r="W67" s="1" t="s">
        <v>89</v>
      </c>
      <c r="X67" s="1" t="s">
        <v>1577</v>
      </c>
      <c r="Y67" s="1" t="s">
        <v>1578</v>
      </c>
      <c r="Z67" s="1" t="s">
        <v>276</v>
      </c>
      <c r="AA67" s="1" t="s">
        <v>1577</v>
      </c>
      <c r="AB67" s="1" t="s">
        <v>1578</v>
      </c>
      <c r="AC67" s="1" t="s">
        <v>276</v>
      </c>
      <c r="AD67" s="1">
        <v>7.37</v>
      </c>
      <c r="AE67" s="1" t="s">
        <v>93</v>
      </c>
      <c r="AF67" s="1" t="s">
        <v>1579</v>
      </c>
      <c r="AG67" s="1" t="s">
        <v>1580</v>
      </c>
      <c r="AH67" s="1" t="s">
        <v>165</v>
      </c>
      <c r="AI67" s="1" t="s">
        <v>308</v>
      </c>
      <c r="AJ67" s="1">
        <v>74.67</v>
      </c>
      <c r="AK67" s="1">
        <v>0</v>
      </c>
      <c r="AL67" s="1" t="s">
        <v>1581</v>
      </c>
      <c r="AM67" s="1" t="s">
        <v>1582</v>
      </c>
      <c r="AN67" s="1" t="s">
        <v>433</v>
      </c>
      <c r="AO67" s="1" t="s">
        <v>1131</v>
      </c>
      <c r="AP67" s="1">
        <v>70.83</v>
      </c>
      <c r="AQ67" s="1">
        <v>0</v>
      </c>
      <c r="AR67" s="1"/>
      <c r="AS67" s="1"/>
      <c r="AT67" s="1"/>
      <c r="AU67" s="1"/>
      <c r="AV67" s="1"/>
      <c r="AW67" s="1"/>
      <c r="AX67" s="1" t="s">
        <v>1359</v>
      </c>
      <c r="AY67" s="1" t="s">
        <v>1583</v>
      </c>
      <c r="AZ67" s="1" t="s">
        <v>436</v>
      </c>
      <c r="BA67" s="1" t="s">
        <v>1584</v>
      </c>
      <c r="BB67" s="1">
        <v>80</v>
      </c>
      <c r="BC67" s="1">
        <v>8</v>
      </c>
      <c r="BD67" s="1"/>
      <c r="BE67" s="1"/>
      <c r="BF67" s="1"/>
      <c r="BG67" s="1"/>
      <c r="BH67" s="1"/>
      <c r="BI67" s="1"/>
      <c r="BJ67" s="1" t="s">
        <v>1585</v>
      </c>
      <c r="BK67" s="1"/>
      <c r="BL67" s="1"/>
      <c r="BM67" s="1" t="s">
        <v>1586</v>
      </c>
      <c r="BN67" s="1">
        <v>13</v>
      </c>
      <c r="BO67" s="1" t="s">
        <v>1587</v>
      </c>
      <c r="BP67" s="1" t="str">
        <f>HYPERLINK("https://nconnect.nicmar.ac.in/storage/profile/ProfilePhoto_P25701019_941678.jpg","Download")</f>
        <v>0</v>
      </c>
      <c r="BQ67" s="3"/>
      <c r="BR67" s="3"/>
    </row>
    <row r="68" spans="1:70">
      <c r="A68" s="1" t="s">
        <v>1563</v>
      </c>
      <c r="B68" s="1" t="s">
        <v>1269</v>
      </c>
      <c r="C68" s="1" t="s">
        <v>1588</v>
      </c>
      <c r="D68" s="1" t="s">
        <v>1589</v>
      </c>
      <c r="E68" s="1" t="s">
        <v>1590</v>
      </c>
      <c r="F68" s="1" t="s">
        <v>1591</v>
      </c>
      <c r="G68" s="1" t="s">
        <v>1592</v>
      </c>
      <c r="H68" s="1" t="s">
        <v>1593</v>
      </c>
      <c r="I68" s="1" t="s">
        <v>1594</v>
      </c>
      <c r="J68" s="1">
        <v>7829294049</v>
      </c>
      <c r="K68" s="1" t="s">
        <v>79</v>
      </c>
      <c r="L68" s="1" t="s">
        <v>1595</v>
      </c>
      <c r="M68" s="1" t="s">
        <v>81</v>
      </c>
      <c r="N68" s="1" t="s">
        <v>1596</v>
      </c>
      <c r="O68" s="1" t="s">
        <v>1597</v>
      </c>
      <c r="P68" s="1" t="s">
        <v>1298</v>
      </c>
      <c r="Q68" s="1" t="s">
        <v>1598</v>
      </c>
      <c r="R68" s="1" t="s">
        <v>1599</v>
      </c>
      <c r="S68" s="1">
        <v>9845062530</v>
      </c>
      <c r="T68" s="1" t="s">
        <v>271</v>
      </c>
      <c r="U68" s="1" t="s">
        <v>1600</v>
      </c>
      <c r="V68" s="1">
        <v>9141107491</v>
      </c>
      <c r="W68" s="1" t="s">
        <v>89</v>
      </c>
      <c r="X68" s="1" t="s">
        <v>1601</v>
      </c>
      <c r="Y68" s="1" t="s">
        <v>1083</v>
      </c>
      <c r="Z68" s="1" t="s">
        <v>1084</v>
      </c>
      <c r="AA68" s="1" t="s">
        <v>1601</v>
      </c>
      <c r="AB68" s="1" t="s">
        <v>1083</v>
      </c>
      <c r="AC68" s="1" t="s">
        <v>1084</v>
      </c>
      <c r="AD68" s="1">
        <v>8.52</v>
      </c>
      <c r="AE68" s="1" t="s">
        <v>93</v>
      </c>
      <c r="AF68" s="1" t="s">
        <v>1602</v>
      </c>
      <c r="AG68" s="1" t="s">
        <v>1603</v>
      </c>
      <c r="AH68" s="1" t="s">
        <v>165</v>
      </c>
      <c r="AI68" s="1" t="s">
        <v>166</v>
      </c>
      <c r="AJ68" s="1">
        <v>89.83</v>
      </c>
      <c r="AK68" s="1"/>
      <c r="AL68" s="1" t="s">
        <v>1604</v>
      </c>
      <c r="AM68" s="1" t="s">
        <v>1605</v>
      </c>
      <c r="AN68" s="1" t="s">
        <v>433</v>
      </c>
      <c r="AO68" s="1" t="s">
        <v>173</v>
      </c>
      <c r="AP68" s="1">
        <v>80.16</v>
      </c>
      <c r="AQ68" s="1"/>
      <c r="AR68" s="1"/>
      <c r="AS68" s="1"/>
      <c r="AT68" s="1"/>
      <c r="AU68" s="1"/>
      <c r="AV68" s="1"/>
      <c r="AW68" s="1"/>
      <c r="AX68" s="1" t="s">
        <v>1606</v>
      </c>
      <c r="AY68" s="1" t="s">
        <v>1607</v>
      </c>
      <c r="AZ68" s="1" t="s">
        <v>699</v>
      </c>
      <c r="BA68" s="1" t="s">
        <v>202</v>
      </c>
      <c r="BB68" s="1">
        <v>74.6</v>
      </c>
      <c r="BC68" s="1">
        <v>7.46</v>
      </c>
      <c r="BD68" s="1"/>
      <c r="BE68" s="1"/>
      <c r="BF68" s="1"/>
      <c r="BG68" s="1"/>
      <c r="BH68" s="1"/>
      <c r="BI68" s="1"/>
      <c r="BJ68" s="1" t="s">
        <v>1608</v>
      </c>
      <c r="BK68" s="1" t="s">
        <v>1609</v>
      </c>
      <c r="BL68" s="1" t="s">
        <v>1475</v>
      </c>
      <c r="BM68" s="1" t="s">
        <v>1610</v>
      </c>
      <c r="BN68" s="1">
        <v>324</v>
      </c>
      <c r="BO68" s="1"/>
      <c r="BP68" s="1" t="str">
        <f>HYPERLINK("https://nconnect.nicmar.ac.in/storage/profile/ProfilePhoto_P25701079_578231.jpg","Download")</f>
        <v>0</v>
      </c>
      <c r="BQ68" s="3"/>
      <c r="BR68" s="3"/>
    </row>
    <row r="69" spans="1:70">
      <c r="A69" s="1" t="s">
        <v>1563</v>
      </c>
      <c r="B69" s="1" t="s">
        <v>1269</v>
      </c>
      <c r="C69" s="1" t="s">
        <v>1611</v>
      </c>
      <c r="D69" s="1" t="s">
        <v>985</v>
      </c>
      <c r="E69" s="1" t="s">
        <v>1612</v>
      </c>
      <c r="F69" s="1" t="s">
        <v>1613</v>
      </c>
      <c r="G69" s="1" t="s">
        <v>1614</v>
      </c>
      <c r="H69" s="1" t="s">
        <v>1615</v>
      </c>
      <c r="I69" s="1" t="s">
        <v>1616</v>
      </c>
      <c r="J69" s="1">
        <v>9867833346</v>
      </c>
      <c r="K69" s="1" t="s">
        <v>148</v>
      </c>
      <c r="L69" s="1" t="s">
        <v>1617</v>
      </c>
      <c r="M69" s="1" t="s">
        <v>81</v>
      </c>
      <c r="N69" s="1" t="s">
        <v>1618</v>
      </c>
      <c r="O69" s="1" t="s">
        <v>1619</v>
      </c>
      <c r="P69" s="1" t="s">
        <v>1298</v>
      </c>
      <c r="Q69" s="1" t="s">
        <v>1620</v>
      </c>
      <c r="R69" s="1" t="s">
        <v>1612</v>
      </c>
      <c r="S69" s="1">
        <v>9892324307</v>
      </c>
      <c r="T69" s="1" t="s">
        <v>120</v>
      </c>
      <c r="U69" s="1" t="s">
        <v>1621</v>
      </c>
      <c r="V69" s="1">
        <v>9867112680</v>
      </c>
      <c r="W69" s="1" t="s">
        <v>216</v>
      </c>
      <c r="X69" s="1" t="s">
        <v>1622</v>
      </c>
      <c r="Y69" s="1" t="s">
        <v>1623</v>
      </c>
      <c r="Z69" s="1" t="s">
        <v>92</v>
      </c>
      <c r="AA69" s="1" t="s">
        <v>1622</v>
      </c>
      <c r="AB69" s="1" t="s">
        <v>1623</v>
      </c>
      <c r="AC69" s="1" t="s">
        <v>92</v>
      </c>
      <c r="AD69" s="1">
        <v>8.5</v>
      </c>
      <c r="AE69" s="1" t="s">
        <v>93</v>
      </c>
      <c r="AF69" s="1" t="s">
        <v>1624</v>
      </c>
      <c r="AG69" s="1" t="s">
        <v>160</v>
      </c>
      <c r="AH69" s="1" t="s">
        <v>161</v>
      </c>
      <c r="AI69" s="1" t="s">
        <v>456</v>
      </c>
      <c r="AJ69" s="1">
        <v>91</v>
      </c>
      <c r="AK69" s="1">
        <v>0</v>
      </c>
      <c r="AL69" s="1" t="s">
        <v>1625</v>
      </c>
      <c r="AM69" s="1" t="s">
        <v>160</v>
      </c>
      <c r="AN69" s="1" t="s">
        <v>165</v>
      </c>
      <c r="AO69" s="1" t="s">
        <v>457</v>
      </c>
      <c r="AP69" s="1">
        <v>77.23</v>
      </c>
      <c r="AQ69" s="1">
        <v>0</v>
      </c>
      <c r="AR69" s="1"/>
      <c r="AS69" s="1"/>
      <c r="AT69" s="1"/>
      <c r="AU69" s="1"/>
      <c r="AV69" s="1"/>
      <c r="AW69" s="1"/>
      <c r="AX69" s="1" t="s">
        <v>1024</v>
      </c>
      <c r="AY69" s="1" t="s">
        <v>1626</v>
      </c>
      <c r="AZ69" s="1" t="s">
        <v>101</v>
      </c>
      <c r="BA69" s="1" t="s">
        <v>229</v>
      </c>
      <c r="BB69" s="1">
        <v>75.86</v>
      </c>
      <c r="BC69" s="1">
        <v>8.63</v>
      </c>
      <c r="BD69" s="1"/>
      <c r="BE69" s="1"/>
      <c r="BF69" s="1"/>
      <c r="BG69" s="1"/>
      <c r="BH69" s="1"/>
      <c r="BI69" s="1"/>
      <c r="BJ69" s="1" t="s">
        <v>1627</v>
      </c>
      <c r="BK69" s="1" t="s">
        <v>1628</v>
      </c>
      <c r="BL69" s="1" t="s">
        <v>1629</v>
      </c>
      <c r="BM69" s="1" t="s">
        <v>1630</v>
      </c>
      <c r="BN69" s="1">
        <v>21</v>
      </c>
      <c r="BO69" s="1"/>
      <c r="BP69" s="1" t="str">
        <f>HYPERLINK("https://nconnect.nicmar.ac.in/storage/profile/ProfilePhoto_P25701096_463592.jpg","Download")</f>
        <v>0</v>
      </c>
      <c r="BQ69" s="3"/>
      <c r="BR69" s="3"/>
    </row>
    <row r="70" spans="1:70">
      <c r="A70" s="1" t="s">
        <v>1563</v>
      </c>
      <c r="B70" s="1" t="s">
        <v>1269</v>
      </c>
      <c r="C70" s="1" t="s">
        <v>1631</v>
      </c>
      <c r="D70" s="1" t="s">
        <v>1632</v>
      </c>
      <c r="E70" s="1"/>
      <c r="F70" s="1" t="s">
        <v>1633</v>
      </c>
      <c r="G70" s="1" t="s">
        <v>1634</v>
      </c>
      <c r="H70" s="1" t="s">
        <v>1635</v>
      </c>
      <c r="I70" s="1" t="s">
        <v>1636</v>
      </c>
      <c r="J70" s="1">
        <v>9421513085</v>
      </c>
      <c r="K70" s="1" t="s">
        <v>79</v>
      </c>
      <c r="L70" s="1" t="s">
        <v>1637</v>
      </c>
      <c r="M70" s="1" t="s">
        <v>81</v>
      </c>
      <c r="N70" s="1" t="s">
        <v>1638</v>
      </c>
      <c r="O70" s="1"/>
      <c r="P70" s="1" t="s">
        <v>1278</v>
      </c>
      <c r="Q70" s="1" t="s">
        <v>1639</v>
      </c>
      <c r="R70" s="1" t="s">
        <v>1640</v>
      </c>
      <c r="S70" s="1">
        <v>9405403857</v>
      </c>
      <c r="T70" s="1" t="s">
        <v>120</v>
      </c>
      <c r="U70" s="1" t="s">
        <v>1641</v>
      </c>
      <c r="V70" s="1">
        <v>9405403617</v>
      </c>
      <c r="W70" s="1" t="s">
        <v>156</v>
      </c>
      <c r="X70" s="1" t="s">
        <v>1642</v>
      </c>
      <c r="Y70" s="1" t="s">
        <v>191</v>
      </c>
      <c r="Z70" s="1" t="s">
        <v>92</v>
      </c>
      <c r="AA70" s="1" t="s">
        <v>1643</v>
      </c>
      <c r="AB70" s="1" t="s">
        <v>304</v>
      </c>
      <c r="AC70" s="1" t="s">
        <v>92</v>
      </c>
      <c r="AD70" s="1">
        <v>7.41</v>
      </c>
      <c r="AE70" s="1" t="s">
        <v>93</v>
      </c>
      <c r="AF70" s="1" t="s">
        <v>1644</v>
      </c>
      <c r="AG70" s="1" t="s">
        <v>160</v>
      </c>
      <c r="AH70" s="1" t="s">
        <v>161</v>
      </c>
      <c r="AI70" s="1" t="s">
        <v>162</v>
      </c>
      <c r="AJ70" s="1">
        <v>79.2</v>
      </c>
      <c r="AK70" s="1"/>
      <c r="AL70" s="1" t="s">
        <v>1644</v>
      </c>
      <c r="AM70" s="1" t="s">
        <v>160</v>
      </c>
      <c r="AN70" s="1" t="s">
        <v>165</v>
      </c>
      <c r="AO70" s="1" t="s">
        <v>166</v>
      </c>
      <c r="AP70" s="1">
        <v>66.92</v>
      </c>
      <c r="AQ70" s="1"/>
      <c r="AR70" s="1"/>
      <c r="AS70" s="1"/>
      <c r="AT70" s="1"/>
      <c r="AU70" s="1"/>
      <c r="AV70" s="1"/>
      <c r="AW70" s="1"/>
      <c r="AX70" s="1" t="s">
        <v>1645</v>
      </c>
      <c r="AY70" s="1" t="s">
        <v>1646</v>
      </c>
      <c r="AZ70" s="1" t="s">
        <v>636</v>
      </c>
      <c r="BA70" s="1" t="s">
        <v>481</v>
      </c>
      <c r="BB70" s="1">
        <v>70.5</v>
      </c>
      <c r="BC70" s="1">
        <v>7.8</v>
      </c>
      <c r="BD70" s="1"/>
      <c r="BE70" s="1" t="s">
        <v>1647</v>
      </c>
      <c r="BF70" s="1" t="s">
        <v>1090</v>
      </c>
      <c r="BG70" s="1" t="s">
        <v>549</v>
      </c>
      <c r="BH70" s="1">
        <v>63.38</v>
      </c>
      <c r="BI70" s="1"/>
      <c r="BJ70" s="1" t="s">
        <v>1648</v>
      </c>
      <c r="BK70" s="1" t="s">
        <v>1649</v>
      </c>
      <c r="BL70" s="1" t="s">
        <v>1289</v>
      </c>
      <c r="BM70" s="1" t="s">
        <v>1650</v>
      </c>
      <c r="BN70" s="1">
        <v>39</v>
      </c>
      <c r="BO70" s="1" t="s">
        <v>1651</v>
      </c>
      <c r="BP70" s="1" t="str">
        <f>HYPERLINK("https://nconnect.nicmar.ac.in/storage/profile/ProfilePhoto_P25701146_485671.jpg","Download")</f>
        <v>0</v>
      </c>
      <c r="BQ70" s="3"/>
      <c r="BR70" s="3"/>
    </row>
    <row r="71" spans="1:70">
      <c r="A71" s="1" t="s">
        <v>70</v>
      </c>
      <c r="B71" s="1" t="s">
        <v>1269</v>
      </c>
      <c r="C71" s="1" t="s">
        <v>1652</v>
      </c>
      <c r="D71" s="1" t="s">
        <v>1653</v>
      </c>
      <c r="E71" s="1"/>
      <c r="F71" s="1" t="s">
        <v>835</v>
      </c>
      <c r="G71" s="1" t="s">
        <v>1654</v>
      </c>
      <c r="H71" s="1" t="s">
        <v>1655</v>
      </c>
      <c r="I71" s="1" t="s">
        <v>1656</v>
      </c>
      <c r="J71" s="1">
        <v>9368948950</v>
      </c>
      <c r="K71" s="1" t="s">
        <v>79</v>
      </c>
      <c r="L71" s="1" t="s">
        <v>1657</v>
      </c>
      <c r="M71" s="1" t="s">
        <v>81</v>
      </c>
      <c r="N71" s="1" t="s">
        <v>1658</v>
      </c>
      <c r="O71" s="1"/>
      <c r="P71" s="1" t="s">
        <v>1278</v>
      </c>
      <c r="Q71" s="1" t="s">
        <v>1659</v>
      </c>
      <c r="R71" s="1" t="s">
        <v>1660</v>
      </c>
      <c r="S71" s="1">
        <v>9149634667</v>
      </c>
      <c r="T71" s="1" t="s">
        <v>1554</v>
      </c>
      <c r="U71" s="1" t="s">
        <v>1661</v>
      </c>
      <c r="V71" s="1">
        <v>9149634667</v>
      </c>
      <c r="W71" s="1" t="s">
        <v>156</v>
      </c>
      <c r="X71" s="1" t="s">
        <v>1662</v>
      </c>
      <c r="Y71" s="1" t="s">
        <v>1663</v>
      </c>
      <c r="Z71" s="1" t="s">
        <v>1355</v>
      </c>
      <c r="AA71" s="1" t="s">
        <v>1662</v>
      </c>
      <c r="AB71" s="1" t="s">
        <v>1663</v>
      </c>
      <c r="AC71" s="1" t="s">
        <v>1355</v>
      </c>
      <c r="AD71" s="1" t="s">
        <v>93</v>
      </c>
      <c r="AE71" s="1" t="s">
        <v>93</v>
      </c>
      <c r="AF71" s="1" t="s">
        <v>1664</v>
      </c>
      <c r="AG71" s="1" t="s">
        <v>1665</v>
      </c>
      <c r="AH71" s="1" t="s">
        <v>1666</v>
      </c>
      <c r="AI71" s="1" t="s">
        <v>1667</v>
      </c>
      <c r="AJ71" s="1">
        <v>64.8</v>
      </c>
      <c r="AK71" s="1">
        <v>0</v>
      </c>
      <c r="AL71" s="1" t="s">
        <v>1664</v>
      </c>
      <c r="AM71" s="1" t="s">
        <v>1665</v>
      </c>
      <c r="AN71" s="1" t="s">
        <v>1668</v>
      </c>
      <c r="AO71" s="1" t="s">
        <v>332</v>
      </c>
      <c r="AP71" s="1">
        <v>58.2</v>
      </c>
      <c r="AQ71" s="1">
        <v>0</v>
      </c>
      <c r="AR71" s="1" t="s">
        <v>98</v>
      </c>
      <c r="AS71" s="1" t="s">
        <v>1669</v>
      </c>
      <c r="AT71" s="1" t="s">
        <v>1670</v>
      </c>
      <c r="AU71" s="1" t="s">
        <v>129</v>
      </c>
      <c r="AV71" s="1">
        <v>66.94</v>
      </c>
      <c r="AW71" s="1">
        <v>0</v>
      </c>
      <c r="AX71" s="1" t="s">
        <v>1671</v>
      </c>
      <c r="AY71" s="1" t="s">
        <v>1672</v>
      </c>
      <c r="AZ71" s="1" t="s">
        <v>1245</v>
      </c>
      <c r="BA71" s="1" t="s">
        <v>527</v>
      </c>
      <c r="BB71" s="1">
        <v>65.73</v>
      </c>
      <c r="BC71" s="1">
        <v>0</v>
      </c>
      <c r="BD71" s="1"/>
      <c r="BE71" s="1"/>
      <c r="BF71" s="1"/>
      <c r="BG71" s="1"/>
      <c r="BH71" s="1"/>
      <c r="BI71" s="1"/>
      <c r="BJ71" s="1" t="s">
        <v>1673</v>
      </c>
      <c r="BK71" s="1" t="s">
        <v>1674</v>
      </c>
      <c r="BL71" s="1" t="s">
        <v>1675</v>
      </c>
      <c r="BM71" s="1" t="s">
        <v>1676</v>
      </c>
      <c r="BN71" s="1">
        <v>8</v>
      </c>
      <c r="BO71" s="1" t="s">
        <v>1677</v>
      </c>
      <c r="BP71" s="1" t="str">
        <f>HYPERLINK("https://nconnect.nicmar.ac.in/storage/profile/6a658926a6983.png","Download")</f>
        <v>0</v>
      </c>
      <c r="BQ71" s="3"/>
      <c r="BR71" s="3"/>
    </row>
    <row r="72" spans="1:70">
      <c r="A72" s="1" t="s">
        <v>70</v>
      </c>
      <c r="B72" s="1" t="s">
        <v>1269</v>
      </c>
      <c r="C72" s="1" t="s">
        <v>1678</v>
      </c>
      <c r="D72" s="1" t="s">
        <v>1679</v>
      </c>
      <c r="E72" s="1"/>
      <c r="F72" s="1" t="s">
        <v>1680</v>
      </c>
      <c r="G72" s="1" t="s">
        <v>1681</v>
      </c>
      <c r="H72" s="1" t="s">
        <v>1682</v>
      </c>
      <c r="I72" s="1" t="s">
        <v>1683</v>
      </c>
      <c r="J72" s="1">
        <v>9487829008</v>
      </c>
      <c r="K72" s="1" t="s">
        <v>79</v>
      </c>
      <c r="L72" s="1" t="s">
        <v>1684</v>
      </c>
      <c r="M72" s="1" t="s">
        <v>81</v>
      </c>
      <c r="N72" s="1" t="s">
        <v>1685</v>
      </c>
      <c r="O72" s="1"/>
      <c r="P72" s="1" t="s">
        <v>1323</v>
      </c>
      <c r="Q72" s="1" t="s">
        <v>1686</v>
      </c>
      <c r="R72" s="1" t="s">
        <v>1687</v>
      </c>
      <c r="S72" s="1">
        <v>9443435008</v>
      </c>
      <c r="T72" s="1" t="s">
        <v>87</v>
      </c>
      <c r="U72" s="1" t="s">
        <v>1688</v>
      </c>
      <c r="V72" s="1">
        <v>9597963693</v>
      </c>
      <c r="W72" s="1" t="s">
        <v>651</v>
      </c>
      <c r="X72" s="1" t="s">
        <v>1689</v>
      </c>
      <c r="Y72" s="1" t="s">
        <v>1690</v>
      </c>
      <c r="Z72" s="1" t="s">
        <v>1377</v>
      </c>
      <c r="AA72" s="1" t="s">
        <v>1689</v>
      </c>
      <c r="AB72" s="1" t="s">
        <v>1690</v>
      </c>
      <c r="AC72" s="1" t="s">
        <v>1377</v>
      </c>
      <c r="AD72" s="1">
        <v>8.23</v>
      </c>
      <c r="AE72" s="1" t="s">
        <v>93</v>
      </c>
      <c r="AF72" s="1" t="s">
        <v>1691</v>
      </c>
      <c r="AG72" s="1" t="s">
        <v>1692</v>
      </c>
      <c r="AH72" s="1" t="s">
        <v>101</v>
      </c>
      <c r="AI72" s="1" t="s">
        <v>1065</v>
      </c>
      <c r="AJ72" s="1">
        <v>70.4</v>
      </c>
      <c r="AK72" s="1"/>
      <c r="AL72" s="1" t="s">
        <v>1691</v>
      </c>
      <c r="AM72" s="1" t="s">
        <v>1692</v>
      </c>
      <c r="AN72" s="1" t="s">
        <v>699</v>
      </c>
      <c r="AO72" s="1" t="s">
        <v>506</v>
      </c>
      <c r="AP72" s="1">
        <v>77.99</v>
      </c>
      <c r="AQ72" s="1"/>
      <c r="AR72" s="1"/>
      <c r="AS72" s="1"/>
      <c r="AT72" s="1"/>
      <c r="AU72" s="1"/>
      <c r="AV72" s="1"/>
      <c r="AW72" s="1"/>
      <c r="AX72" s="1" t="s">
        <v>1381</v>
      </c>
      <c r="AY72" s="1" t="s">
        <v>1693</v>
      </c>
      <c r="AZ72" s="1" t="s">
        <v>135</v>
      </c>
      <c r="BA72" s="1" t="s">
        <v>1408</v>
      </c>
      <c r="BB72" s="1">
        <v>78.6</v>
      </c>
      <c r="BC72" s="1">
        <v>7.86</v>
      </c>
      <c r="BD72" s="1"/>
      <c r="BE72" s="1"/>
      <c r="BF72" s="1"/>
      <c r="BG72" s="1"/>
      <c r="BH72" s="1"/>
      <c r="BI72" s="1"/>
      <c r="BJ72" s="1" t="s">
        <v>1694</v>
      </c>
      <c r="BK72" s="1"/>
      <c r="BL72" s="1"/>
      <c r="BM72" s="1" t="s">
        <v>1695</v>
      </c>
      <c r="BN72" s="1">
        <v>16</v>
      </c>
      <c r="BO72" s="1"/>
      <c r="BP72" s="1" t="str">
        <f>HYPERLINK("https://nconnect.nicmar.ac.in/storage/profile/ProfilePhoto_P25700001_756293.jpg","Download")</f>
        <v>0</v>
      </c>
      <c r="BQ72" s="3"/>
      <c r="BR72" s="3"/>
    </row>
    <row r="73" spans="1:70">
      <c r="A73" s="1" t="s">
        <v>70</v>
      </c>
      <c r="B73" s="1" t="s">
        <v>1269</v>
      </c>
      <c r="C73" s="1" t="s">
        <v>1696</v>
      </c>
      <c r="D73" s="1" t="s">
        <v>1697</v>
      </c>
      <c r="E73" s="1" t="s">
        <v>1698</v>
      </c>
      <c r="F73" s="1" t="s">
        <v>1699</v>
      </c>
      <c r="G73" s="1" t="s">
        <v>1700</v>
      </c>
      <c r="H73" s="1" t="s">
        <v>1701</v>
      </c>
      <c r="I73" s="1" t="s">
        <v>1702</v>
      </c>
      <c r="J73" s="1">
        <v>8668621095</v>
      </c>
      <c r="K73" s="1" t="s">
        <v>79</v>
      </c>
      <c r="L73" s="1" t="s">
        <v>1703</v>
      </c>
      <c r="M73" s="1" t="s">
        <v>81</v>
      </c>
      <c r="N73" s="1" t="s">
        <v>1704</v>
      </c>
      <c r="O73" s="1"/>
      <c r="P73" s="1" t="s">
        <v>1298</v>
      </c>
      <c r="Q73" s="1" t="s">
        <v>1705</v>
      </c>
      <c r="R73" s="1" t="s">
        <v>1706</v>
      </c>
      <c r="S73" s="1">
        <v>9890094393</v>
      </c>
      <c r="T73" s="1" t="s">
        <v>496</v>
      </c>
      <c r="U73" s="1" t="s">
        <v>1707</v>
      </c>
      <c r="V73" s="1">
        <v>9923291602</v>
      </c>
      <c r="W73" s="1" t="s">
        <v>156</v>
      </c>
      <c r="X73" s="1" t="s">
        <v>1708</v>
      </c>
      <c r="Y73" s="1" t="s">
        <v>191</v>
      </c>
      <c r="Z73" s="1" t="s">
        <v>92</v>
      </c>
      <c r="AA73" s="1" t="s">
        <v>1708</v>
      </c>
      <c r="AB73" s="1" t="s">
        <v>191</v>
      </c>
      <c r="AC73" s="1" t="s">
        <v>92</v>
      </c>
      <c r="AD73" s="1">
        <v>8.29</v>
      </c>
      <c r="AE73" s="1" t="s">
        <v>93</v>
      </c>
      <c r="AF73" s="1" t="s">
        <v>1709</v>
      </c>
      <c r="AG73" s="1" t="s">
        <v>1710</v>
      </c>
      <c r="AH73" s="1" t="s">
        <v>101</v>
      </c>
      <c r="AI73" s="1" t="s">
        <v>308</v>
      </c>
      <c r="AJ73" s="1">
        <v>86.6</v>
      </c>
      <c r="AK73" s="1"/>
      <c r="AL73" s="1" t="s">
        <v>1711</v>
      </c>
      <c r="AM73" s="1" t="s">
        <v>160</v>
      </c>
      <c r="AN73" s="1" t="s">
        <v>699</v>
      </c>
      <c r="AO73" s="1" t="s">
        <v>1712</v>
      </c>
      <c r="AP73" s="1">
        <v>78</v>
      </c>
      <c r="AQ73" s="1"/>
      <c r="AR73" s="1"/>
      <c r="AS73" s="1"/>
      <c r="AT73" s="1"/>
      <c r="AU73" s="1"/>
      <c r="AV73" s="1"/>
      <c r="AW73" s="1"/>
      <c r="AX73" s="1" t="s">
        <v>361</v>
      </c>
      <c r="AY73" s="1" t="s">
        <v>1713</v>
      </c>
      <c r="AZ73" s="1" t="s">
        <v>1131</v>
      </c>
      <c r="BA73" s="1" t="s">
        <v>1714</v>
      </c>
      <c r="BB73" s="1">
        <v>65.7</v>
      </c>
      <c r="BC73" s="1">
        <v>7.32</v>
      </c>
      <c r="BD73" s="1"/>
      <c r="BE73" s="1"/>
      <c r="BF73" s="1"/>
      <c r="BG73" s="1"/>
      <c r="BH73" s="1"/>
      <c r="BI73" s="1"/>
      <c r="BJ73" s="1" t="s">
        <v>1715</v>
      </c>
      <c r="BK73" s="1"/>
      <c r="BL73" s="1"/>
      <c r="BM73" s="1" t="s">
        <v>1716</v>
      </c>
      <c r="BN73" s="1">
        <v>28</v>
      </c>
      <c r="BO73" s="1"/>
      <c r="BP73" s="1" t="str">
        <f>HYPERLINK("https://nconnect.nicmar.ac.in/storage/profile/ProfilePhoto_P25700002_549178.jpg","Download")</f>
        <v>0</v>
      </c>
      <c r="BQ73" s="3"/>
      <c r="BR73" s="3"/>
    </row>
    <row r="74" spans="1:70">
      <c r="A74" s="1" t="s">
        <v>70</v>
      </c>
      <c r="B74" s="1" t="s">
        <v>1269</v>
      </c>
      <c r="C74" s="1" t="s">
        <v>1717</v>
      </c>
      <c r="D74" s="1" t="s">
        <v>1718</v>
      </c>
      <c r="E74" s="1"/>
      <c r="F74" s="1" t="s">
        <v>1719</v>
      </c>
      <c r="G74" s="1" t="s">
        <v>1720</v>
      </c>
      <c r="H74" s="1" t="s">
        <v>1721</v>
      </c>
      <c r="I74" s="1" t="s">
        <v>1722</v>
      </c>
      <c r="J74" s="1">
        <v>7326972273</v>
      </c>
      <c r="K74" s="1" t="s">
        <v>148</v>
      </c>
      <c r="L74" s="1" t="s">
        <v>1723</v>
      </c>
      <c r="M74" s="1" t="s">
        <v>81</v>
      </c>
      <c r="N74" s="1" t="s">
        <v>1724</v>
      </c>
      <c r="O74" s="1"/>
      <c r="P74" s="1" t="s">
        <v>1323</v>
      </c>
      <c r="Q74" s="1" t="s">
        <v>1725</v>
      </c>
      <c r="R74" s="1" t="s">
        <v>1726</v>
      </c>
      <c r="S74" s="1">
        <v>7978169041</v>
      </c>
      <c r="T74" s="1" t="s">
        <v>1727</v>
      </c>
      <c r="U74" s="1" t="s">
        <v>1728</v>
      </c>
      <c r="V74" s="1">
        <v>9348052260</v>
      </c>
      <c r="W74" s="1" t="s">
        <v>651</v>
      </c>
      <c r="X74" s="1" t="s">
        <v>1729</v>
      </c>
      <c r="Y74" s="1" t="s">
        <v>1730</v>
      </c>
      <c r="Z74" s="1" t="s">
        <v>1731</v>
      </c>
      <c r="AA74" s="1" t="s">
        <v>1729</v>
      </c>
      <c r="AB74" s="1" t="s">
        <v>1730</v>
      </c>
      <c r="AC74" s="1" t="s">
        <v>1731</v>
      </c>
      <c r="AD74" s="1">
        <v>8.29</v>
      </c>
      <c r="AE74" s="1" t="s">
        <v>93</v>
      </c>
      <c r="AF74" s="1" t="s">
        <v>1732</v>
      </c>
      <c r="AG74" s="1" t="s">
        <v>1733</v>
      </c>
      <c r="AH74" s="1" t="s">
        <v>281</v>
      </c>
      <c r="AI74" s="1" t="s">
        <v>308</v>
      </c>
      <c r="AJ74" s="1">
        <v>85.8</v>
      </c>
      <c r="AK74" s="1"/>
      <c r="AL74" s="1" t="s">
        <v>1732</v>
      </c>
      <c r="AM74" s="1" t="s">
        <v>1734</v>
      </c>
      <c r="AN74" s="1" t="s">
        <v>941</v>
      </c>
      <c r="AO74" s="1" t="s">
        <v>506</v>
      </c>
      <c r="AP74" s="1">
        <v>83.6</v>
      </c>
      <c r="AQ74" s="1"/>
      <c r="AR74" s="1"/>
      <c r="AS74" s="1"/>
      <c r="AT74" s="1"/>
      <c r="AU74" s="1"/>
      <c r="AV74" s="1"/>
      <c r="AW74" s="1"/>
      <c r="AX74" s="1" t="s">
        <v>1735</v>
      </c>
      <c r="AY74" s="1" t="s">
        <v>1736</v>
      </c>
      <c r="AZ74" s="1" t="s">
        <v>897</v>
      </c>
      <c r="BA74" s="1" t="s">
        <v>1408</v>
      </c>
      <c r="BB74" s="1">
        <v>83.6</v>
      </c>
      <c r="BC74" s="1">
        <v>8.86</v>
      </c>
      <c r="BD74" s="1"/>
      <c r="BE74" s="1"/>
      <c r="BF74" s="1"/>
      <c r="BG74" s="1"/>
      <c r="BH74" s="1"/>
      <c r="BI74" s="1"/>
      <c r="BJ74" s="1" t="s">
        <v>1737</v>
      </c>
      <c r="BK74" s="1"/>
      <c r="BL74" s="1"/>
      <c r="BM74" s="1" t="s">
        <v>1738</v>
      </c>
      <c r="BN74" s="1">
        <v>17</v>
      </c>
      <c r="BO74" s="1"/>
      <c r="BP74" s="1" t="str">
        <f>HYPERLINK("https://nconnect.nicmar.ac.in/storage/profile/ProfilePhoto_P25700004_129356.jpg","Download")</f>
        <v>0</v>
      </c>
      <c r="BQ74" s="3"/>
      <c r="BR74" s="3"/>
    </row>
    <row r="75" spans="1:70">
      <c r="A75" s="1" t="s">
        <v>70</v>
      </c>
      <c r="B75" s="1" t="s">
        <v>1269</v>
      </c>
      <c r="C75" s="1" t="s">
        <v>1739</v>
      </c>
      <c r="D75" s="1" t="s">
        <v>1740</v>
      </c>
      <c r="E75" s="1"/>
      <c r="F75" s="1" t="s">
        <v>1741</v>
      </c>
      <c r="G75" s="1" t="s">
        <v>1742</v>
      </c>
      <c r="H75" s="1" t="s">
        <v>1743</v>
      </c>
      <c r="I75" s="1" t="s">
        <v>1744</v>
      </c>
      <c r="J75" s="1">
        <v>8908092210</v>
      </c>
      <c r="K75" s="1" t="s">
        <v>79</v>
      </c>
      <c r="L75" s="1" t="s">
        <v>1745</v>
      </c>
      <c r="M75" s="1" t="s">
        <v>81</v>
      </c>
      <c r="N75" s="1" t="s">
        <v>1746</v>
      </c>
      <c r="O75" s="1"/>
      <c r="P75" s="1" t="s">
        <v>1278</v>
      </c>
      <c r="Q75" s="1" t="s">
        <v>1747</v>
      </c>
      <c r="R75" s="1" t="s">
        <v>1748</v>
      </c>
      <c r="S75" s="1">
        <v>9437130525</v>
      </c>
      <c r="T75" s="1" t="s">
        <v>496</v>
      </c>
      <c r="U75" s="1" t="s">
        <v>1749</v>
      </c>
      <c r="V75" s="1">
        <v>9668523777</v>
      </c>
      <c r="W75" s="1" t="s">
        <v>89</v>
      </c>
      <c r="X75" s="1" t="s">
        <v>1750</v>
      </c>
      <c r="Y75" s="1" t="s">
        <v>1751</v>
      </c>
      <c r="Z75" s="1" t="s">
        <v>1731</v>
      </c>
      <c r="AA75" s="1" t="s">
        <v>1750</v>
      </c>
      <c r="AB75" s="1" t="s">
        <v>1751</v>
      </c>
      <c r="AC75" s="1" t="s">
        <v>1731</v>
      </c>
      <c r="AD75" s="1">
        <v>8.75</v>
      </c>
      <c r="AE75" s="1" t="s">
        <v>93</v>
      </c>
      <c r="AF75" s="1" t="s">
        <v>1752</v>
      </c>
      <c r="AG75" s="1" t="s">
        <v>1753</v>
      </c>
      <c r="AH75" s="1" t="s">
        <v>479</v>
      </c>
      <c r="AI75" s="1" t="s">
        <v>166</v>
      </c>
      <c r="AJ75" s="1">
        <v>69.66</v>
      </c>
      <c r="AK75" s="1"/>
      <c r="AL75" s="1" t="s">
        <v>1752</v>
      </c>
      <c r="AM75" s="1" t="s">
        <v>1753</v>
      </c>
      <c r="AN75" s="1" t="s">
        <v>310</v>
      </c>
      <c r="AO75" s="1" t="s">
        <v>173</v>
      </c>
      <c r="AP75" s="1">
        <v>67.16</v>
      </c>
      <c r="AQ75" s="1"/>
      <c r="AR75" s="1"/>
      <c r="AS75" s="1"/>
      <c r="AT75" s="1"/>
      <c r="AU75" s="1"/>
      <c r="AV75" s="1"/>
      <c r="AW75" s="1"/>
      <c r="AX75" s="1" t="s">
        <v>1754</v>
      </c>
      <c r="AY75" s="1" t="s">
        <v>1754</v>
      </c>
      <c r="AZ75" s="1" t="s">
        <v>920</v>
      </c>
      <c r="BA75" s="1" t="s">
        <v>202</v>
      </c>
      <c r="BB75" s="1">
        <v>75.2</v>
      </c>
      <c r="BC75" s="1">
        <v>8.02</v>
      </c>
      <c r="BD75" s="1"/>
      <c r="BE75" s="1"/>
      <c r="BF75" s="1"/>
      <c r="BG75" s="1"/>
      <c r="BH75" s="1"/>
      <c r="BI75" s="1"/>
      <c r="BJ75" s="1" t="s">
        <v>1383</v>
      </c>
      <c r="BK75" s="1" t="s">
        <v>1755</v>
      </c>
      <c r="BL75" s="1" t="s">
        <v>1220</v>
      </c>
      <c r="BM75" s="1" t="s">
        <v>1756</v>
      </c>
      <c r="BN75" s="1">
        <v>4</v>
      </c>
      <c r="BO75" s="1"/>
      <c r="BP75" s="1" t="str">
        <f>HYPERLINK("https://nconnect.nicmar.ac.in/storage/profile/ProfilePhoto_P25700005_154637.jpg","Download")</f>
        <v>0</v>
      </c>
      <c r="BQ75" s="3"/>
      <c r="BR75" s="3"/>
    </row>
    <row r="76" spans="1:70">
      <c r="A76" s="1" t="s">
        <v>70</v>
      </c>
      <c r="B76" s="1" t="s">
        <v>1269</v>
      </c>
      <c r="C76" s="1" t="s">
        <v>1757</v>
      </c>
      <c r="D76" s="1" t="s">
        <v>1758</v>
      </c>
      <c r="E76" s="1" t="s">
        <v>1759</v>
      </c>
      <c r="F76" s="1" t="s">
        <v>1760</v>
      </c>
      <c r="G76" s="1" t="s">
        <v>1761</v>
      </c>
      <c r="H76" s="1" t="s">
        <v>1762</v>
      </c>
      <c r="I76" s="1" t="s">
        <v>1763</v>
      </c>
      <c r="J76" s="1">
        <v>9146795457</v>
      </c>
      <c r="K76" s="1" t="s">
        <v>79</v>
      </c>
      <c r="L76" s="1" t="s">
        <v>1764</v>
      </c>
      <c r="M76" s="1" t="s">
        <v>81</v>
      </c>
      <c r="N76" s="1" t="s">
        <v>1765</v>
      </c>
      <c r="O76" s="1"/>
      <c r="P76" s="1" t="s">
        <v>1766</v>
      </c>
      <c r="Q76" s="1" t="s">
        <v>1767</v>
      </c>
      <c r="R76" s="1" t="s">
        <v>1768</v>
      </c>
      <c r="S76" s="1">
        <v>9422765760</v>
      </c>
      <c r="T76" s="1" t="s">
        <v>1769</v>
      </c>
      <c r="U76" s="1" t="s">
        <v>1770</v>
      </c>
      <c r="V76" s="1">
        <v>8208766402</v>
      </c>
      <c r="W76" s="1" t="s">
        <v>1771</v>
      </c>
      <c r="X76" s="1" t="s">
        <v>1772</v>
      </c>
      <c r="Y76" s="1" t="s">
        <v>1174</v>
      </c>
      <c r="Z76" s="1" t="s">
        <v>92</v>
      </c>
      <c r="AA76" s="1" t="s">
        <v>1772</v>
      </c>
      <c r="AB76" s="1" t="s">
        <v>1174</v>
      </c>
      <c r="AC76" s="1" t="s">
        <v>92</v>
      </c>
      <c r="AD76" s="1">
        <v>7.74</v>
      </c>
      <c r="AE76" s="1" t="s">
        <v>93</v>
      </c>
      <c r="AF76" s="1" t="s">
        <v>1773</v>
      </c>
      <c r="AG76" s="1" t="s">
        <v>1774</v>
      </c>
      <c r="AH76" s="1" t="s">
        <v>165</v>
      </c>
      <c r="AI76" s="1" t="s">
        <v>166</v>
      </c>
      <c r="AJ76" s="1">
        <v>89.6</v>
      </c>
      <c r="AK76" s="1">
        <v>0</v>
      </c>
      <c r="AL76" s="1" t="s">
        <v>1775</v>
      </c>
      <c r="AM76" s="1" t="s">
        <v>1774</v>
      </c>
      <c r="AN76" s="1" t="s">
        <v>310</v>
      </c>
      <c r="AO76" s="1" t="s">
        <v>412</v>
      </c>
      <c r="AP76" s="1">
        <v>82.31</v>
      </c>
      <c r="AQ76" s="1">
        <v>0</v>
      </c>
      <c r="AR76" s="1"/>
      <c r="AS76" s="1"/>
      <c r="AT76" s="1"/>
      <c r="AU76" s="1"/>
      <c r="AV76" s="1"/>
      <c r="AW76" s="1"/>
      <c r="AX76" s="1" t="s">
        <v>361</v>
      </c>
      <c r="AY76" s="1" t="s">
        <v>1776</v>
      </c>
      <c r="AZ76" s="1" t="s">
        <v>1131</v>
      </c>
      <c r="BA76" s="1" t="s">
        <v>202</v>
      </c>
      <c r="BB76" s="1">
        <v>70.2</v>
      </c>
      <c r="BC76" s="1">
        <v>7.77</v>
      </c>
      <c r="BD76" s="1"/>
      <c r="BE76" s="1"/>
      <c r="BF76" s="1"/>
      <c r="BG76" s="1"/>
      <c r="BH76" s="1"/>
      <c r="BI76" s="1"/>
      <c r="BJ76" s="1" t="s">
        <v>1777</v>
      </c>
      <c r="BK76" s="1" t="s">
        <v>1778</v>
      </c>
      <c r="BL76" s="1" t="s">
        <v>1220</v>
      </c>
      <c r="BM76" s="1" t="s">
        <v>1779</v>
      </c>
      <c r="BN76" s="1">
        <v>4</v>
      </c>
      <c r="BO76" s="1"/>
      <c r="BP76" s="1" t="str">
        <f>HYPERLINK("https://nconnect.nicmar.ac.in/storage/profile/ProfilePhoto_P25700006_264513.jpg","Download")</f>
        <v>0</v>
      </c>
      <c r="BQ76" s="3"/>
      <c r="BR76" s="3"/>
    </row>
    <row r="77" spans="1:70">
      <c r="A77" s="1" t="s">
        <v>70</v>
      </c>
      <c r="B77" s="1" t="s">
        <v>1269</v>
      </c>
      <c r="C77" s="1" t="s">
        <v>1780</v>
      </c>
      <c r="D77" s="1" t="s">
        <v>1781</v>
      </c>
      <c r="E77" s="1"/>
      <c r="F77" s="1" t="s">
        <v>835</v>
      </c>
      <c r="G77" s="1" t="s">
        <v>1782</v>
      </c>
      <c r="H77" s="1" t="s">
        <v>1783</v>
      </c>
      <c r="I77" s="1" t="s">
        <v>1784</v>
      </c>
      <c r="J77" s="1">
        <v>7054367148</v>
      </c>
      <c r="K77" s="1" t="s">
        <v>79</v>
      </c>
      <c r="L77" s="1" t="s">
        <v>1785</v>
      </c>
      <c r="M77" s="1" t="s">
        <v>81</v>
      </c>
      <c r="N77" s="1" t="s">
        <v>241</v>
      </c>
      <c r="O77" s="1"/>
      <c r="P77" s="1" t="s">
        <v>1298</v>
      </c>
      <c r="Q77" s="1" t="s">
        <v>1786</v>
      </c>
      <c r="R77" s="1" t="s">
        <v>1787</v>
      </c>
      <c r="S77" s="1">
        <v>9415286161</v>
      </c>
      <c r="T77" s="1" t="s">
        <v>842</v>
      </c>
      <c r="U77" s="1" t="s">
        <v>1788</v>
      </c>
      <c r="V77" s="1">
        <v>6393880769</v>
      </c>
      <c r="W77" s="1" t="s">
        <v>156</v>
      </c>
      <c r="X77" s="1" t="s">
        <v>1789</v>
      </c>
      <c r="Y77" s="1" t="s">
        <v>1790</v>
      </c>
      <c r="Z77" s="1" t="s">
        <v>1355</v>
      </c>
      <c r="AA77" s="1" t="s">
        <v>1789</v>
      </c>
      <c r="AB77" s="1" t="s">
        <v>1790</v>
      </c>
      <c r="AC77" s="1" t="s">
        <v>1355</v>
      </c>
      <c r="AD77" s="1">
        <v>8.36</v>
      </c>
      <c r="AE77" s="1" t="s">
        <v>93</v>
      </c>
      <c r="AF77" s="1" t="s">
        <v>1791</v>
      </c>
      <c r="AG77" s="1" t="s">
        <v>1792</v>
      </c>
      <c r="AH77" s="1" t="s">
        <v>131</v>
      </c>
      <c r="AI77" s="1" t="s">
        <v>527</v>
      </c>
      <c r="AJ77" s="1">
        <v>85.5</v>
      </c>
      <c r="AK77" s="1">
        <v>9</v>
      </c>
      <c r="AL77" s="1" t="s">
        <v>1791</v>
      </c>
      <c r="AM77" s="1" t="s">
        <v>1793</v>
      </c>
      <c r="AN77" s="1" t="s">
        <v>479</v>
      </c>
      <c r="AO77" s="1" t="s">
        <v>166</v>
      </c>
      <c r="AP77" s="1">
        <v>67.6</v>
      </c>
      <c r="AQ77" s="1"/>
      <c r="AR77" s="1"/>
      <c r="AS77" s="1"/>
      <c r="AT77" s="1"/>
      <c r="AU77" s="1"/>
      <c r="AV77" s="1"/>
      <c r="AW77" s="1"/>
      <c r="AX77" s="1" t="s">
        <v>1794</v>
      </c>
      <c r="AY77" s="1" t="s">
        <v>1795</v>
      </c>
      <c r="AZ77" s="1" t="s">
        <v>201</v>
      </c>
      <c r="BA77" s="1" t="s">
        <v>549</v>
      </c>
      <c r="BB77" s="1">
        <v>69.1</v>
      </c>
      <c r="BC77" s="1">
        <v>6.91</v>
      </c>
      <c r="BD77" s="1"/>
      <c r="BE77" s="1"/>
      <c r="BF77" s="1"/>
      <c r="BG77" s="1"/>
      <c r="BH77" s="1"/>
      <c r="BI77" s="1"/>
      <c r="BJ77" s="1" t="s">
        <v>1796</v>
      </c>
      <c r="BK77" s="1"/>
      <c r="BL77" s="1"/>
      <c r="BM77" s="1"/>
      <c r="BN77" s="1"/>
      <c r="BO77" s="1" t="s">
        <v>1797</v>
      </c>
      <c r="BP77" s="1" t="str">
        <f>HYPERLINK("https://nconnect.nicmar.ac.in/storage/profile/ProfilePhoto_P25700007_897142.jpg","Download")</f>
        <v>0</v>
      </c>
      <c r="BQ77" s="3"/>
      <c r="BR77" s="3"/>
    </row>
    <row r="78" spans="1:70">
      <c r="A78" s="1" t="s">
        <v>70</v>
      </c>
      <c r="B78" s="1" t="s">
        <v>1269</v>
      </c>
      <c r="C78" s="1" t="s">
        <v>1798</v>
      </c>
      <c r="D78" s="1" t="s">
        <v>1799</v>
      </c>
      <c r="E78" s="1" t="s">
        <v>1800</v>
      </c>
      <c r="F78" s="1" t="s">
        <v>1801</v>
      </c>
      <c r="G78" s="1" t="s">
        <v>1802</v>
      </c>
      <c r="H78" s="1" t="s">
        <v>1803</v>
      </c>
      <c r="I78" s="1" t="s">
        <v>1804</v>
      </c>
      <c r="J78" s="1">
        <v>9404977653</v>
      </c>
      <c r="K78" s="1" t="s">
        <v>79</v>
      </c>
      <c r="L78" s="1" t="s">
        <v>1805</v>
      </c>
      <c r="M78" s="1" t="s">
        <v>81</v>
      </c>
      <c r="N78" s="1" t="s">
        <v>1806</v>
      </c>
      <c r="O78" s="1"/>
      <c r="P78" s="1" t="s">
        <v>1298</v>
      </c>
      <c r="Q78" s="1" t="s">
        <v>1807</v>
      </c>
      <c r="R78" s="1" t="s">
        <v>1800</v>
      </c>
      <c r="S78" s="1">
        <v>9850350800</v>
      </c>
      <c r="T78" s="1" t="s">
        <v>154</v>
      </c>
      <c r="U78" s="1" t="s">
        <v>1808</v>
      </c>
      <c r="V78" s="1">
        <v>9822236604</v>
      </c>
      <c r="W78" s="1" t="s">
        <v>156</v>
      </c>
      <c r="X78" s="1" t="s">
        <v>1809</v>
      </c>
      <c r="Y78" s="1" t="s">
        <v>191</v>
      </c>
      <c r="Z78" s="1" t="s">
        <v>92</v>
      </c>
      <c r="AA78" s="1" t="s">
        <v>1810</v>
      </c>
      <c r="AB78" s="1" t="s">
        <v>158</v>
      </c>
      <c r="AC78" s="1" t="s">
        <v>92</v>
      </c>
      <c r="AD78" s="1">
        <v>7.25</v>
      </c>
      <c r="AE78" s="1" t="s">
        <v>93</v>
      </c>
      <c r="AF78" s="1" t="s">
        <v>1811</v>
      </c>
      <c r="AG78" s="1" t="s">
        <v>160</v>
      </c>
      <c r="AH78" s="1" t="s">
        <v>162</v>
      </c>
      <c r="AI78" s="1" t="s">
        <v>195</v>
      </c>
      <c r="AJ78" s="1">
        <v>82</v>
      </c>
      <c r="AK78" s="1"/>
      <c r="AL78" s="1" t="s">
        <v>1812</v>
      </c>
      <c r="AM78" s="1" t="s">
        <v>160</v>
      </c>
      <c r="AN78" s="1" t="s">
        <v>101</v>
      </c>
      <c r="AO78" s="1" t="s">
        <v>198</v>
      </c>
      <c r="AP78" s="1">
        <v>60</v>
      </c>
      <c r="AQ78" s="1"/>
      <c r="AR78" s="1"/>
      <c r="AS78" s="1"/>
      <c r="AT78" s="1"/>
      <c r="AU78" s="1"/>
      <c r="AV78" s="1"/>
      <c r="AW78" s="1"/>
      <c r="AX78" s="1" t="s">
        <v>361</v>
      </c>
      <c r="AY78" s="1" t="s">
        <v>1813</v>
      </c>
      <c r="AZ78" s="1" t="s">
        <v>201</v>
      </c>
      <c r="BA78" s="1" t="s">
        <v>682</v>
      </c>
      <c r="BB78" s="1">
        <v>68.1</v>
      </c>
      <c r="BC78" s="1">
        <v>7.56</v>
      </c>
      <c r="BD78" s="1"/>
      <c r="BE78" s="1"/>
      <c r="BF78" s="1"/>
      <c r="BG78" s="1"/>
      <c r="BH78" s="1"/>
      <c r="BI78" s="1"/>
      <c r="BJ78" s="1" t="s">
        <v>364</v>
      </c>
      <c r="BK78" s="1" t="s">
        <v>1814</v>
      </c>
      <c r="BL78" s="1" t="s">
        <v>1561</v>
      </c>
      <c r="BM78" s="1" t="s">
        <v>1815</v>
      </c>
      <c r="BN78" s="1">
        <v>4</v>
      </c>
      <c r="BO78" s="1"/>
      <c r="BP78" s="1" t="str">
        <f>HYPERLINK("https://nconnect.nicmar.ac.in/storage/profile/ProfilePhoto_P25700008_976184.jpg","Download")</f>
        <v>0</v>
      </c>
      <c r="BQ78" s="3"/>
      <c r="BR78" s="3"/>
    </row>
    <row r="79" spans="1:70">
      <c r="A79" s="1" t="s">
        <v>70</v>
      </c>
      <c r="B79" s="1" t="s">
        <v>1269</v>
      </c>
      <c r="C79" s="1" t="s">
        <v>1816</v>
      </c>
      <c r="D79" s="1" t="s">
        <v>1817</v>
      </c>
      <c r="E79" s="1"/>
      <c r="F79" s="1" t="s">
        <v>1226</v>
      </c>
      <c r="G79" s="1" t="s">
        <v>1818</v>
      </c>
      <c r="H79" s="1" t="s">
        <v>1819</v>
      </c>
      <c r="I79" s="1" t="s">
        <v>1820</v>
      </c>
      <c r="J79" s="1">
        <v>9006389544</v>
      </c>
      <c r="K79" s="1" t="s">
        <v>79</v>
      </c>
      <c r="L79" s="1" t="s">
        <v>1821</v>
      </c>
      <c r="M79" s="1" t="s">
        <v>81</v>
      </c>
      <c r="N79" s="1" t="s">
        <v>1822</v>
      </c>
      <c r="O79" s="1"/>
      <c r="P79" s="1" t="s">
        <v>1278</v>
      </c>
      <c r="Q79" s="1" t="s">
        <v>1823</v>
      </c>
      <c r="R79" s="1" t="s">
        <v>1824</v>
      </c>
      <c r="S79" s="1">
        <v>7488584196</v>
      </c>
      <c r="T79" s="1" t="s">
        <v>87</v>
      </c>
      <c r="U79" s="1" t="s">
        <v>1825</v>
      </c>
      <c r="V79" s="1">
        <v>9006389544</v>
      </c>
      <c r="W79" s="1" t="s">
        <v>156</v>
      </c>
      <c r="X79" s="1" t="s">
        <v>1826</v>
      </c>
      <c r="Y79" s="1" t="s">
        <v>1827</v>
      </c>
      <c r="Z79" s="1" t="s">
        <v>1828</v>
      </c>
      <c r="AA79" s="1" t="s">
        <v>1826</v>
      </c>
      <c r="AB79" s="1" t="s">
        <v>1827</v>
      </c>
      <c r="AC79" s="1" t="s">
        <v>1828</v>
      </c>
      <c r="AD79" s="1">
        <v>8.44</v>
      </c>
      <c r="AE79" s="1" t="s">
        <v>93</v>
      </c>
      <c r="AF79" s="1" t="s">
        <v>1829</v>
      </c>
      <c r="AG79" s="1" t="s">
        <v>1830</v>
      </c>
      <c r="AH79" s="1" t="s">
        <v>1307</v>
      </c>
      <c r="AI79" s="1" t="s">
        <v>308</v>
      </c>
      <c r="AJ79" s="1">
        <v>75.2</v>
      </c>
      <c r="AK79" s="1">
        <v>7.5</v>
      </c>
      <c r="AL79" s="1" t="s">
        <v>1831</v>
      </c>
      <c r="AM79" s="1" t="s">
        <v>1832</v>
      </c>
      <c r="AN79" s="1" t="s">
        <v>1833</v>
      </c>
      <c r="AO79" s="1" t="s">
        <v>506</v>
      </c>
      <c r="AP79" s="1">
        <v>84</v>
      </c>
      <c r="AQ79" s="1">
        <v>8.4</v>
      </c>
      <c r="AR79" s="1"/>
      <c r="AS79" s="1"/>
      <c r="AT79" s="1"/>
      <c r="AU79" s="1"/>
      <c r="AV79" s="1"/>
      <c r="AW79" s="1"/>
      <c r="AX79" s="1" t="s">
        <v>1834</v>
      </c>
      <c r="AY79" s="1" t="s">
        <v>1835</v>
      </c>
      <c r="AZ79" s="1" t="s">
        <v>506</v>
      </c>
      <c r="BA79" s="1" t="s">
        <v>1714</v>
      </c>
      <c r="BB79" s="1">
        <v>77</v>
      </c>
      <c r="BC79" s="1">
        <v>7.77</v>
      </c>
      <c r="BD79" s="1"/>
      <c r="BE79" s="1"/>
      <c r="BF79" s="1"/>
      <c r="BG79" s="1"/>
      <c r="BH79" s="1"/>
      <c r="BI79" s="1"/>
      <c r="BJ79" s="1" t="s">
        <v>1836</v>
      </c>
      <c r="BK79" s="1"/>
      <c r="BL79" s="1"/>
      <c r="BM79" s="1" t="s">
        <v>1837</v>
      </c>
      <c r="BN79" s="1">
        <v>15</v>
      </c>
      <c r="BO79" s="1"/>
      <c r="BP79" s="1" t="str">
        <f>HYPERLINK("https://nconnect.nicmar.ac.in/storage/profile/ProfilePhoto_P25700009_213976.jpg","Download")</f>
        <v>0</v>
      </c>
      <c r="BQ79" s="3"/>
      <c r="BR79" s="3"/>
    </row>
    <row r="80" spans="1:70">
      <c r="A80" s="1" t="s">
        <v>70</v>
      </c>
      <c r="B80" s="1" t="s">
        <v>1269</v>
      </c>
      <c r="C80" s="1" t="s">
        <v>1838</v>
      </c>
      <c r="D80" s="1" t="s">
        <v>1839</v>
      </c>
      <c r="E80" s="1" t="s">
        <v>1840</v>
      </c>
      <c r="F80" s="1" t="s">
        <v>1841</v>
      </c>
      <c r="G80" s="1" t="s">
        <v>1842</v>
      </c>
      <c r="H80" s="1" t="s">
        <v>1843</v>
      </c>
      <c r="I80" s="1" t="s">
        <v>1844</v>
      </c>
      <c r="J80" s="1">
        <v>9527992237</v>
      </c>
      <c r="K80" s="1" t="s">
        <v>79</v>
      </c>
      <c r="L80" s="1" t="s">
        <v>1845</v>
      </c>
      <c r="M80" s="1" t="s">
        <v>81</v>
      </c>
      <c r="N80" s="1" t="s">
        <v>1846</v>
      </c>
      <c r="O80" s="1"/>
      <c r="P80" s="1" t="s">
        <v>1323</v>
      </c>
      <c r="Q80" s="1" t="s">
        <v>1847</v>
      </c>
      <c r="R80" s="1" t="s">
        <v>1848</v>
      </c>
      <c r="S80" s="1">
        <v>9850829798</v>
      </c>
      <c r="T80" s="1" t="s">
        <v>763</v>
      </c>
      <c r="U80" s="1" t="s">
        <v>1849</v>
      </c>
      <c r="V80" s="1">
        <v>9850081714</v>
      </c>
      <c r="W80" s="1" t="s">
        <v>156</v>
      </c>
      <c r="X80" s="1" t="s">
        <v>1850</v>
      </c>
      <c r="Y80" s="1" t="s">
        <v>405</v>
      </c>
      <c r="Z80" s="1" t="s">
        <v>92</v>
      </c>
      <c r="AA80" s="1" t="s">
        <v>1850</v>
      </c>
      <c r="AB80" s="1" t="s">
        <v>405</v>
      </c>
      <c r="AC80" s="1" t="s">
        <v>92</v>
      </c>
      <c r="AD80" s="1">
        <v>8.3</v>
      </c>
      <c r="AE80" s="1" t="s">
        <v>93</v>
      </c>
      <c r="AF80" s="1" t="s">
        <v>1851</v>
      </c>
      <c r="AG80" s="1" t="s">
        <v>544</v>
      </c>
      <c r="AH80" s="1" t="s">
        <v>165</v>
      </c>
      <c r="AI80" s="1" t="s">
        <v>101</v>
      </c>
      <c r="AJ80" s="1">
        <v>80.6</v>
      </c>
      <c r="AK80" s="1"/>
      <c r="AL80" s="1" t="s">
        <v>1851</v>
      </c>
      <c r="AM80" s="1" t="s">
        <v>544</v>
      </c>
      <c r="AN80" s="1" t="s">
        <v>433</v>
      </c>
      <c r="AO80" s="1" t="s">
        <v>699</v>
      </c>
      <c r="AP80" s="1">
        <v>69.38</v>
      </c>
      <c r="AQ80" s="1"/>
      <c r="AR80" s="1"/>
      <c r="AS80" s="1"/>
      <c r="AT80" s="1"/>
      <c r="AU80" s="1"/>
      <c r="AV80" s="1"/>
      <c r="AW80" s="1"/>
      <c r="AX80" s="1" t="s">
        <v>1852</v>
      </c>
      <c r="AY80" s="1" t="s">
        <v>1853</v>
      </c>
      <c r="AZ80" s="1" t="s">
        <v>363</v>
      </c>
      <c r="BA80" s="1" t="s">
        <v>413</v>
      </c>
      <c r="BB80" s="1">
        <v>64.3</v>
      </c>
      <c r="BC80" s="1">
        <v>7.18</v>
      </c>
      <c r="BD80" s="1"/>
      <c r="BE80" s="1"/>
      <c r="BF80" s="1"/>
      <c r="BG80" s="1"/>
      <c r="BH80" s="1"/>
      <c r="BI80" s="1"/>
      <c r="BJ80" s="1" t="s">
        <v>364</v>
      </c>
      <c r="BK80" s="1"/>
      <c r="BL80" s="1"/>
      <c r="BM80" s="1" t="s">
        <v>1854</v>
      </c>
      <c r="BN80" s="1">
        <v>26</v>
      </c>
      <c r="BO80" s="1"/>
      <c r="BP80" s="1" t="str">
        <f>HYPERLINK("https://nconnect.nicmar.ac.in/storage/profile/ProfilePhoto_P25700010_176259.jpg","Download")</f>
        <v>0</v>
      </c>
      <c r="BQ80" s="3"/>
      <c r="BR80" s="3"/>
    </row>
    <row r="81" spans="1:70">
      <c r="A81" s="1" t="s">
        <v>70</v>
      </c>
      <c r="B81" s="1" t="s">
        <v>1269</v>
      </c>
      <c r="C81" s="1" t="s">
        <v>1855</v>
      </c>
      <c r="D81" s="1" t="s">
        <v>1856</v>
      </c>
      <c r="E81" s="1"/>
      <c r="F81" s="1" t="s">
        <v>1857</v>
      </c>
      <c r="G81" s="1" t="s">
        <v>1858</v>
      </c>
      <c r="H81" s="1" t="s">
        <v>1859</v>
      </c>
      <c r="I81" s="1" t="s">
        <v>1860</v>
      </c>
      <c r="J81" s="1">
        <v>9588491747</v>
      </c>
      <c r="K81" s="1" t="s">
        <v>148</v>
      </c>
      <c r="L81" s="1" t="s">
        <v>1861</v>
      </c>
      <c r="M81" s="1" t="s">
        <v>81</v>
      </c>
      <c r="N81" s="1" t="s">
        <v>1862</v>
      </c>
      <c r="O81" s="1"/>
      <c r="P81" s="1" t="s">
        <v>1278</v>
      </c>
      <c r="Q81" s="1" t="s">
        <v>1863</v>
      </c>
      <c r="R81" s="1" t="s">
        <v>1864</v>
      </c>
      <c r="S81" s="1">
        <v>9823283222</v>
      </c>
      <c r="T81" s="1" t="s">
        <v>763</v>
      </c>
      <c r="U81" s="1" t="s">
        <v>1865</v>
      </c>
      <c r="V81" s="1">
        <v>7447771437</v>
      </c>
      <c r="W81" s="1" t="s">
        <v>89</v>
      </c>
      <c r="X81" s="1" t="s">
        <v>1866</v>
      </c>
      <c r="Y81" s="1" t="s">
        <v>766</v>
      </c>
      <c r="Z81" s="1" t="s">
        <v>92</v>
      </c>
      <c r="AA81" s="1" t="s">
        <v>1866</v>
      </c>
      <c r="AB81" s="1" t="s">
        <v>766</v>
      </c>
      <c r="AC81" s="1" t="s">
        <v>92</v>
      </c>
      <c r="AD81" s="1">
        <v>9.21</v>
      </c>
      <c r="AE81" s="1" t="s">
        <v>93</v>
      </c>
      <c r="AF81" s="1" t="s">
        <v>1867</v>
      </c>
      <c r="AG81" s="1" t="s">
        <v>160</v>
      </c>
      <c r="AH81" s="1" t="s">
        <v>165</v>
      </c>
      <c r="AI81" s="1" t="s">
        <v>281</v>
      </c>
      <c r="AJ81" s="1">
        <v>96.2</v>
      </c>
      <c r="AK81" s="1"/>
      <c r="AL81" s="1" t="s">
        <v>1868</v>
      </c>
      <c r="AM81" s="1" t="s">
        <v>160</v>
      </c>
      <c r="AN81" s="1" t="s">
        <v>433</v>
      </c>
      <c r="AO81" s="1" t="s">
        <v>360</v>
      </c>
      <c r="AP81" s="1">
        <v>80.62</v>
      </c>
      <c r="AQ81" s="1"/>
      <c r="AR81" s="1"/>
      <c r="AS81" s="1"/>
      <c r="AT81" s="1"/>
      <c r="AU81" s="1"/>
      <c r="AV81" s="1"/>
      <c r="AW81" s="1"/>
      <c r="AX81" s="1" t="s">
        <v>253</v>
      </c>
      <c r="AY81" s="1" t="s">
        <v>1869</v>
      </c>
      <c r="AZ81" s="1" t="s">
        <v>173</v>
      </c>
      <c r="BA81" s="1" t="s">
        <v>1408</v>
      </c>
      <c r="BB81" s="1">
        <v>75.93</v>
      </c>
      <c r="BC81" s="1">
        <v>8.64</v>
      </c>
      <c r="BD81" s="1"/>
      <c r="BE81" s="1"/>
      <c r="BF81" s="1"/>
      <c r="BG81" s="1"/>
      <c r="BH81" s="1"/>
      <c r="BI81" s="1"/>
      <c r="BJ81" s="1" t="s">
        <v>1870</v>
      </c>
      <c r="BK81" s="1"/>
      <c r="BL81" s="1"/>
      <c r="BM81" s="1" t="s">
        <v>1871</v>
      </c>
      <c r="BN81" s="1">
        <v>30</v>
      </c>
      <c r="BO81" s="1" t="s">
        <v>1872</v>
      </c>
      <c r="BP81" s="1" t="str">
        <f>HYPERLINK("https://nconnect.nicmar.ac.in/storage/profile/ProfilePhoto_P25700011_739251.jpg","Download")</f>
        <v>0</v>
      </c>
      <c r="BQ81" s="3"/>
      <c r="BR81" s="3"/>
    </row>
    <row r="82" spans="1:70">
      <c r="A82" s="1" t="s">
        <v>70</v>
      </c>
      <c r="B82" s="1" t="s">
        <v>1269</v>
      </c>
      <c r="C82" s="1" t="s">
        <v>1873</v>
      </c>
      <c r="D82" s="1" t="s">
        <v>1874</v>
      </c>
      <c r="E82" s="1" t="s">
        <v>1875</v>
      </c>
      <c r="F82" s="1" t="s">
        <v>1876</v>
      </c>
      <c r="G82" s="1" t="s">
        <v>1877</v>
      </c>
      <c r="H82" s="1" t="s">
        <v>1878</v>
      </c>
      <c r="I82" s="1" t="s">
        <v>1879</v>
      </c>
      <c r="J82" s="1">
        <v>8010918142</v>
      </c>
      <c r="K82" s="1" t="s">
        <v>79</v>
      </c>
      <c r="L82" s="1" t="s">
        <v>1880</v>
      </c>
      <c r="M82" s="1" t="s">
        <v>81</v>
      </c>
      <c r="N82" s="1" t="s">
        <v>1881</v>
      </c>
      <c r="O82" s="1"/>
      <c r="P82" s="1" t="s">
        <v>1766</v>
      </c>
      <c r="Q82" s="1" t="s">
        <v>1882</v>
      </c>
      <c r="R82" s="1" t="s">
        <v>1883</v>
      </c>
      <c r="S82" s="1">
        <v>9823149756</v>
      </c>
      <c r="T82" s="1" t="s">
        <v>496</v>
      </c>
      <c r="U82" s="1" t="s">
        <v>1884</v>
      </c>
      <c r="V82" s="1">
        <v>9028418958</v>
      </c>
      <c r="W82" s="1" t="s">
        <v>156</v>
      </c>
      <c r="X82" s="1" t="s">
        <v>1885</v>
      </c>
      <c r="Y82" s="1" t="s">
        <v>1886</v>
      </c>
      <c r="Z82" s="1" t="s">
        <v>92</v>
      </c>
      <c r="AA82" s="1" t="s">
        <v>1885</v>
      </c>
      <c r="AB82" s="1" t="s">
        <v>1886</v>
      </c>
      <c r="AC82" s="1" t="s">
        <v>92</v>
      </c>
      <c r="AD82" s="1">
        <v>8.62</v>
      </c>
      <c r="AE82" s="1" t="s">
        <v>93</v>
      </c>
      <c r="AF82" s="1" t="s">
        <v>1887</v>
      </c>
      <c r="AG82" s="1" t="s">
        <v>1888</v>
      </c>
      <c r="AH82" s="1" t="s">
        <v>165</v>
      </c>
      <c r="AI82" s="1" t="s">
        <v>281</v>
      </c>
      <c r="AJ82" s="1">
        <v>93.8</v>
      </c>
      <c r="AK82" s="1"/>
      <c r="AL82" s="1" t="s">
        <v>1889</v>
      </c>
      <c r="AM82" s="1" t="s">
        <v>1890</v>
      </c>
      <c r="AN82" s="1" t="s">
        <v>1065</v>
      </c>
      <c r="AO82" s="1" t="s">
        <v>360</v>
      </c>
      <c r="AP82" s="1">
        <v>70.31</v>
      </c>
      <c r="AQ82" s="1"/>
      <c r="AR82" s="1"/>
      <c r="AS82" s="1"/>
      <c r="AT82" s="1"/>
      <c r="AU82" s="1"/>
      <c r="AV82" s="1"/>
      <c r="AW82" s="1"/>
      <c r="AX82" s="1" t="s">
        <v>1891</v>
      </c>
      <c r="AY82" s="1" t="s">
        <v>1892</v>
      </c>
      <c r="AZ82" s="1" t="s">
        <v>681</v>
      </c>
      <c r="BA82" s="1" t="s">
        <v>413</v>
      </c>
      <c r="BB82" s="1">
        <v>65.6</v>
      </c>
      <c r="BC82" s="1">
        <v>7.31</v>
      </c>
      <c r="BD82" s="1"/>
      <c r="BE82" s="1"/>
      <c r="BF82" s="1"/>
      <c r="BG82" s="1"/>
      <c r="BH82" s="1"/>
      <c r="BI82" s="1"/>
      <c r="BJ82" s="1" t="s">
        <v>1893</v>
      </c>
      <c r="BK82" s="1" t="s">
        <v>1894</v>
      </c>
      <c r="BL82" s="1" t="s">
        <v>1895</v>
      </c>
      <c r="BM82" s="1" t="s">
        <v>1896</v>
      </c>
      <c r="BN82" s="1">
        <v>5</v>
      </c>
      <c r="BO82" s="1"/>
      <c r="BP82" s="1" t="str">
        <f>HYPERLINK("https://nconnect.nicmar.ac.in/storage/profile/ProfilePhoto_P25700012_849315.jpg","Download")</f>
        <v>0</v>
      </c>
      <c r="BQ82" s="3"/>
      <c r="BR82" s="3"/>
    </row>
    <row r="83" spans="1:70">
      <c r="A83" s="1" t="s">
        <v>70</v>
      </c>
      <c r="B83" s="1" t="s">
        <v>1269</v>
      </c>
      <c r="C83" s="1" t="s">
        <v>1897</v>
      </c>
      <c r="D83" s="1" t="s">
        <v>1898</v>
      </c>
      <c r="E83" s="1"/>
      <c r="F83" s="1" t="s">
        <v>1899</v>
      </c>
      <c r="G83" s="1" t="s">
        <v>1900</v>
      </c>
      <c r="H83" s="1" t="s">
        <v>1901</v>
      </c>
      <c r="I83" s="1" t="s">
        <v>1902</v>
      </c>
      <c r="J83" s="1">
        <v>7275960888</v>
      </c>
      <c r="K83" s="1" t="s">
        <v>79</v>
      </c>
      <c r="L83" s="1" t="s">
        <v>1903</v>
      </c>
      <c r="M83" s="1" t="s">
        <v>81</v>
      </c>
      <c r="N83" s="1" t="s">
        <v>1904</v>
      </c>
      <c r="O83" s="1"/>
      <c r="P83" s="1" t="s">
        <v>1766</v>
      </c>
      <c r="Q83" s="1" t="s">
        <v>1905</v>
      </c>
      <c r="R83" s="1" t="s">
        <v>1906</v>
      </c>
      <c r="S83" s="1">
        <v>9936918443</v>
      </c>
      <c r="T83" s="1" t="s">
        <v>271</v>
      </c>
      <c r="U83" s="1" t="s">
        <v>1907</v>
      </c>
      <c r="V83" s="1">
        <v>9936918443</v>
      </c>
      <c r="W83" s="1" t="s">
        <v>1908</v>
      </c>
      <c r="X83" s="1" t="s">
        <v>1909</v>
      </c>
      <c r="Y83" s="1" t="s">
        <v>191</v>
      </c>
      <c r="Z83" s="1" t="s">
        <v>92</v>
      </c>
      <c r="AA83" s="1" t="s">
        <v>1910</v>
      </c>
      <c r="AB83" s="1" t="s">
        <v>1911</v>
      </c>
      <c r="AC83" s="1" t="s">
        <v>1355</v>
      </c>
      <c r="AD83" s="1">
        <v>8.13</v>
      </c>
      <c r="AE83" s="1" t="s">
        <v>93</v>
      </c>
      <c r="AF83" s="1" t="s">
        <v>723</v>
      </c>
      <c r="AG83" s="1" t="s">
        <v>1912</v>
      </c>
      <c r="AH83" s="1" t="s">
        <v>162</v>
      </c>
      <c r="AI83" s="1" t="s">
        <v>165</v>
      </c>
      <c r="AJ83" s="1">
        <v>79.8</v>
      </c>
      <c r="AK83" s="1">
        <v>8.4</v>
      </c>
      <c r="AL83" s="1"/>
      <c r="AM83" s="1"/>
      <c r="AN83" s="1"/>
      <c r="AO83" s="1"/>
      <c r="AP83" s="1"/>
      <c r="AQ83" s="1"/>
      <c r="AR83" s="1" t="s">
        <v>1913</v>
      </c>
      <c r="AS83" s="1" t="s">
        <v>1914</v>
      </c>
      <c r="AT83" s="1" t="s">
        <v>636</v>
      </c>
      <c r="AU83" s="1" t="s">
        <v>1051</v>
      </c>
      <c r="AV83" s="1">
        <v>73.18</v>
      </c>
      <c r="AW83" s="1"/>
      <c r="AX83" s="1" t="s">
        <v>1915</v>
      </c>
      <c r="AY83" s="1" t="s">
        <v>1916</v>
      </c>
      <c r="AZ83" s="1" t="s">
        <v>506</v>
      </c>
      <c r="BA83" s="1" t="s">
        <v>202</v>
      </c>
      <c r="BB83" s="1">
        <v>83.98</v>
      </c>
      <c r="BC83" s="1"/>
      <c r="BD83" s="1"/>
      <c r="BE83" s="1"/>
      <c r="BF83" s="1"/>
      <c r="BG83" s="1"/>
      <c r="BH83" s="1"/>
      <c r="BI83" s="1"/>
      <c r="BJ83" s="1" t="s">
        <v>1917</v>
      </c>
      <c r="BK83" s="1" t="s">
        <v>1918</v>
      </c>
      <c r="BL83" s="1" t="s">
        <v>1919</v>
      </c>
      <c r="BM83" s="1" t="s">
        <v>1920</v>
      </c>
      <c r="BN83" s="1">
        <v>12</v>
      </c>
      <c r="BO83" s="1"/>
      <c r="BP83" s="1" t="str">
        <f>HYPERLINK("https://nconnect.nicmar.ac.in/storage/profile/ProfilePhoto_P25700013_135872.jpg","Download")</f>
        <v>0</v>
      </c>
      <c r="BQ83" s="3"/>
      <c r="BR83" s="3"/>
    </row>
    <row r="84" spans="1:70">
      <c r="A84" s="1" t="s">
        <v>70</v>
      </c>
      <c r="B84" s="1" t="s">
        <v>1269</v>
      </c>
      <c r="C84" s="1" t="s">
        <v>1921</v>
      </c>
      <c r="D84" s="1" t="s">
        <v>1922</v>
      </c>
      <c r="E84" s="1" t="s">
        <v>1923</v>
      </c>
      <c r="F84" s="1" t="s">
        <v>1924</v>
      </c>
      <c r="G84" s="1" t="s">
        <v>1925</v>
      </c>
      <c r="H84" s="1" t="s">
        <v>1926</v>
      </c>
      <c r="I84" s="1" t="s">
        <v>1927</v>
      </c>
      <c r="J84" s="1">
        <v>8793859482</v>
      </c>
      <c r="K84" s="1" t="s">
        <v>79</v>
      </c>
      <c r="L84" s="1" t="s">
        <v>1928</v>
      </c>
      <c r="M84" s="1" t="s">
        <v>81</v>
      </c>
      <c r="N84" s="1" t="s">
        <v>1929</v>
      </c>
      <c r="O84" s="1"/>
      <c r="P84" s="1" t="s">
        <v>1323</v>
      </c>
      <c r="Q84" s="1" t="s">
        <v>1930</v>
      </c>
      <c r="R84" s="1" t="s">
        <v>1931</v>
      </c>
      <c r="S84" s="1">
        <v>8983188171</v>
      </c>
      <c r="T84" s="1" t="s">
        <v>763</v>
      </c>
      <c r="U84" s="1" t="s">
        <v>1932</v>
      </c>
      <c r="V84" s="1">
        <v>9850425366</v>
      </c>
      <c r="W84" s="1" t="s">
        <v>156</v>
      </c>
      <c r="X84" s="1" t="s">
        <v>1933</v>
      </c>
      <c r="Y84" s="1" t="s">
        <v>405</v>
      </c>
      <c r="Z84" s="1" t="s">
        <v>92</v>
      </c>
      <c r="AA84" s="1" t="s">
        <v>1933</v>
      </c>
      <c r="AB84" s="1" t="s">
        <v>405</v>
      </c>
      <c r="AC84" s="1" t="s">
        <v>92</v>
      </c>
      <c r="AD84" s="1">
        <v>8.02</v>
      </c>
      <c r="AE84" s="1" t="s">
        <v>93</v>
      </c>
      <c r="AF84" s="1" t="s">
        <v>1934</v>
      </c>
      <c r="AG84" s="1" t="s">
        <v>1935</v>
      </c>
      <c r="AH84" s="1" t="s">
        <v>195</v>
      </c>
      <c r="AI84" s="1" t="s">
        <v>281</v>
      </c>
      <c r="AJ84" s="1">
        <v>78.2</v>
      </c>
      <c r="AK84" s="1"/>
      <c r="AL84" s="1" t="s">
        <v>1936</v>
      </c>
      <c r="AM84" s="1" t="s">
        <v>1935</v>
      </c>
      <c r="AN84" s="1" t="s">
        <v>198</v>
      </c>
      <c r="AO84" s="1" t="s">
        <v>360</v>
      </c>
      <c r="AP84" s="1">
        <v>69.54</v>
      </c>
      <c r="AQ84" s="1"/>
      <c r="AR84" s="1"/>
      <c r="AS84" s="1"/>
      <c r="AT84" s="1"/>
      <c r="AU84" s="1"/>
      <c r="AV84" s="1"/>
      <c r="AW84" s="1"/>
      <c r="AX84" s="1" t="s">
        <v>410</v>
      </c>
      <c r="AY84" s="1" t="s">
        <v>1937</v>
      </c>
      <c r="AZ84" s="1" t="s">
        <v>173</v>
      </c>
      <c r="BA84" s="1" t="s">
        <v>1938</v>
      </c>
      <c r="BB84" s="1">
        <v>65.3</v>
      </c>
      <c r="BC84" s="1">
        <v>7.28</v>
      </c>
      <c r="BD84" s="1"/>
      <c r="BE84" s="1"/>
      <c r="BF84" s="1"/>
      <c r="BG84" s="1"/>
      <c r="BH84" s="1"/>
      <c r="BI84" s="1"/>
      <c r="BJ84" s="1" t="s">
        <v>1939</v>
      </c>
      <c r="BK84" s="1" t="s">
        <v>1940</v>
      </c>
      <c r="BL84" s="1" t="s">
        <v>1475</v>
      </c>
      <c r="BM84" s="1" t="s">
        <v>1941</v>
      </c>
      <c r="BN84" s="1">
        <v>41</v>
      </c>
      <c r="BO84" s="1" t="s">
        <v>1942</v>
      </c>
      <c r="BP84" s="1" t="str">
        <f>HYPERLINK("https://nconnect.nicmar.ac.in/storage/profile/ProfilePhoto_P25700014_935186.jpg","Download")</f>
        <v>0</v>
      </c>
      <c r="BQ84" s="3"/>
      <c r="BR84" s="3"/>
    </row>
    <row r="85" spans="1:70">
      <c r="A85" s="1" t="s">
        <v>70</v>
      </c>
      <c r="B85" s="1" t="s">
        <v>1269</v>
      </c>
      <c r="C85" s="1" t="s">
        <v>1943</v>
      </c>
      <c r="D85" s="1" t="s">
        <v>1944</v>
      </c>
      <c r="E85" s="1"/>
      <c r="F85" s="1" t="s">
        <v>1945</v>
      </c>
      <c r="G85" s="1" t="s">
        <v>1946</v>
      </c>
      <c r="H85" s="1" t="s">
        <v>1947</v>
      </c>
      <c r="I85" s="1" t="s">
        <v>1948</v>
      </c>
      <c r="J85" s="1">
        <v>8860236608</v>
      </c>
      <c r="K85" s="1" t="s">
        <v>79</v>
      </c>
      <c r="L85" s="1" t="s">
        <v>1949</v>
      </c>
      <c r="M85" s="1" t="s">
        <v>81</v>
      </c>
      <c r="N85" s="1" t="s">
        <v>1950</v>
      </c>
      <c r="O85" s="1"/>
      <c r="P85" s="1" t="s">
        <v>1323</v>
      </c>
      <c r="Q85" s="1" t="s">
        <v>1951</v>
      </c>
      <c r="R85" s="1" t="s">
        <v>1952</v>
      </c>
      <c r="S85" s="1">
        <v>9717787805</v>
      </c>
      <c r="T85" s="1" t="s">
        <v>1953</v>
      </c>
      <c r="U85" s="1" t="s">
        <v>1954</v>
      </c>
      <c r="V85" s="1">
        <v>9971748647</v>
      </c>
      <c r="W85" s="1" t="s">
        <v>156</v>
      </c>
      <c r="X85" s="1" t="s">
        <v>1955</v>
      </c>
      <c r="Y85" s="1" t="s">
        <v>1956</v>
      </c>
      <c r="Z85" s="1" t="s">
        <v>1355</v>
      </c>
      <c r="AA85" s="1" t="s">
        <v>1955</v>
      </c>
      <c r="AB85" s="1" t="s">
        <v>1956</v>
      </c>
      <c r="AC85" s="1" t="s">
        <v>1355</v>
      </c>
      <c r="AD85" s="1">
        <v>7.39</v>
      </c>
      <c r="AE85" s="1" t="s">
        <v>93</v>
      </c>
      <c r="AF85" s="1" t="s">
        <v>1957</v>
      </c>
      <c r="AG85" s="1" t="s">
        <v>1958</v>
      </c>
      <c r="AH85" s="1" t="s">
        <v>503</v>
      </c>
      <c r="AI85" s="1" t="s">
        <v>456</v>
      </c>
      <c r="AJ85" s="1">
        <v>77.9</v>
      </c>
      <c r="AK85" s="1">
        <v>8.2</v>
      </c>
      <c r="AL85" s="1" t="s">
        <v>1957</v>
      </c>
      <c r="AM85" s="1" t="s">
        <v>1958</v>
      </c>
      <c r="AN85" s="1" t="s">
        <v>678</v>
      </c>
      <c r="AO85" s="1" t="s">
        <v>281</v>
      </c>
      <c r="AP85" s="1">
        <v>75.8</v>
      </c>
      <c r="AQ85" s="1"/>
      <c r="AR85" s="1"/>
      <c r="AS85" s="1"/>
      <c r="AT85" s="1"/>
      <c r="AU85" s="1"/>
      <c r="AV85" s="1"/>
      <c r="AW85" s="1"/>
      <c r="AX85" s="1" t="s">
        <v>1959</v>
      </c>
      <c r="AY85" s="1" t="s">
        <v>1960</v>
      </c>
      <c r="AZ85" s="1" t="s">
        <v>169</v>
      </c>
      <c r="BA85" s="1" t="s">
        <v>284</v>
      </c>
      <c r="BB85" s="1">
        <v>67.2</v>
      </c>
      <c r="BC85" s="1">
        <v>6.72</v>
      </c>
      <c r="BD85" s="1"/>
      <c r="BE85" s="1"/>
      <c r="BF85" s="1"/>
      <c r="BG85" s="1"/>
      <c r="BH85" s="1"/>
      <c r="BI85" s="1"/>
      <c r="BJ85" s="1" t="s">
        <v>1383</v>
      </c>
      <c r="BK85" s="1" t="s">
        <v>1961</v>
      </c>
      <c r="BL85" s="1" t="s">
        <v>1289</v>
      </c>
      <c r="BM85" s="1" t="s">
        <v>1962</v>
      </c>
      <c r="BN85" s="1">
        <v>34</v>
      </c>
      <c r="BO85" s="1"/>
      <c r="BP85" s="1" t="str">
        <f>HYPERLINK("https://nconnect.nicmar.ac.in/storage/profile/ProfilePhoto_P25700015_562978.jpg","Download")</f>
        <v>0</v>
      </c>
      <c r="BQ85" s="3"/>
      <c r="BR85" s="3"/>
    </row>
    <row r="86" spans="1:70">
      <c r="A86" s="1" t="s">
        <v>70</v>
      </c>
      <c r="B86" s="1" t="s">
        <v>1269</v>
      </c>
      <c r="C86" s="1" t="s">
        <v>1963</v>
      </c>
      <c r="D86" s="1" t="s">
        <v>1964</v>
      </c>
      <c r="E86" s="1" t="s">
        <v>1965</v>
      </c>
      <c r="F86" s="1" t="s">
        <v>1966</v>
      </c>
      <c r="G86" s="1" t="s">
        <v>1967</v>
      </c>
      <c r="H86" s="1" t="s">
        <v>1968</v>
      </c>
      <c r="I86" s="1" t="s">
        <v>1969</v>
      </c>
      <c r="J86" s="1">
        <v>9156686578</v>
      </c>
      <c r="K86" s="1" t="s">
        <v>79</v>
      </c>
      <c r="L86" s="1" t="s">
        <v>1970</v>
      </c>
      <c r="M86" s="1" t="s">
        <v>81</v>
      </c>
      <c r="N86" s="1" t="s">
        <v>860</v>
      </c>
      <c r="O86" s="1"/>
      <c r="P86" s="1" t="s">
        <v>1278</v>
      </c>
      <c r="Q86" s="1" t="s">
        <v>1971</v>
      </c>
      <c r="R86" s="1" t="s">
        <v>1965</v>
      </c>
      <c r="S86" s="1">
        <v>9922381754</v>
      </c>
      <c r="T86" s="1" t="s">
        <v>496</v>
      </c>
      <c r="U86" s="1" t="s">
        <v>693</v>
      </c>
      <c r="V86" s="1">
        <v>9284156494</v>
      </c>
      <c r="W86" s="1" t="s">
        <v>273</v>
      </c>
      <c r="X86" s="1" t="s">
        <v>1972</v>
      </c>
      <c r="Y86" s="1" t="s">
        <v>158</v>
      </c>
      <c r="Z86" s="1" t="s">
        <v>92</v>
      </c>
      <c r="AA86" s="1" t="s">
        <v>1972</v>
      </c>
      <c r="AB86" s="1" t="s">
        <v>158</v>
      </c>
      <c r="AC86" s="1" t="s">
        <v>92</v>
      </c>
      <c r="AD86" s="1">
        <v>6.48</v>
      </c>
      <c r="AE86" s="1" t="s">
        <v>93</v>
      </c>
      <c r="AF86" s="1" t="s">
        <v>1973</v>
      </c>
      <c r="AG86" s="1" t="s">
        <v>1974</v>
      </c>
      <c r="AH86" s="1" t="s">
        <v>165</v>
      </c>
      <c r="AI86" s="1" t="s">
        <v>281</v>
      </c>
      <c r="AJ86" s="1">
        <v>62.2</v>
      </c>
      <c r="AK86" s="1"/>
      <c r="AL86" s="1" t="s">
        <v>1975</v>
      </c>
      <c r="AM86" s="1" t="s">
        <v>1974</v>
      </c>
      <c r="AN86" s="1" t="s">
        <v>433</v>
      </c>
      <c r="AO86" s="1" t="s">
        <v>360</v>
      </c>
      <c r="AP86" s="1">
        <v>65.23</v>
      </c>
      <c r="AQ86" s="1"/>
      <c r="AR86" s="1"/>
      <c r="AS86" s="1"/>
      <c r="AT86" s="1"/>
      <c r="AU86" s="1"/>
      <c r="AV86" s="1"/>
      <c r="AW86" s="1"/>
      <c r="AX86" s="1" t="s">
        <v>361</v>
      </c>
      <c r="AY86" s="1" t="s">
        <v>1976</v>
      </c>
      <c r="AZ86" s="1" t="s">
        <v>1712</v>
      </c>
      <c r="BA86" s="1" t="s">
        <v>1977</v>
      </c>
      <c r="BB86" s="1">
        <v>63.02</v>
      </c>
      <c r="BC86" s="1">
        <v>7.08</v>
      </c>
      <c r="BD86" s="1"/>
      <c r="BE86" s="1"/>
      <c r="BF86" s="1"/>
      <c r="BG86" s="1"/>
      <c r="BH86" s="1"/>
      <c r="BI86" s="1"/>
      <c r="BJ86" s="1" t="s">
        <v>255</v>
      </c>
      <c r="BK86" s="1"/>
      <c r="BL86" s="1"/>
      <c r="BM86" s="1" t="s">
        <v>1978</v>
      </c>
      <c r="BN86" s="1">
        <v>17</v>
      </c>
      <c r="BO86" s="1"/>
      <c r="BP86" s="1" t="str">
        <f>HYPERLINK("https://nconnect.nicmar.ac.in/storage/profile/ProfilePhoto_P25700016_175486.jpg","Download")</f>
        <v>0</v>
      </c>
      <c r="BQ86" s="3"/>
      <c r="BR86" s="3"/>
    </row>
    <row r="87" spans="1:70">
      <c r="A87" s="1" t="s">
        <v>70</v>
      </c>
      <c r="B87" s="1" t="s">
        <v>1269</v>
      </c>
      <c r="C87" s="1" t="s">
        <v>1979</v>
      </c>
      <c r="D87" s="1" t="s">
        <v>1980</v>
      </c>
      <c r="E87" s="1" t="s">
        <v>1981</v>
      </c>
      <c r="F87" s="1" t="s">
        <v>142</v>
      </c>
      <c r="G87" s="1" t="s">
        <v>1982</v>
      </c>
      <c r="H87" s="1" t="s">
        <v>1983</v>
      </c>
      <c r="I87" s="1" t="s">
        <v>1984</v>
      </c>
      <c r="J87" s="1">
        <v>7666173714</v>
      </c>
      <c r="K87" s="1" t="s">
        <v>79</v>
      </c>
      <c r="L87" s="1" t="s">
        <v>1985</v>
      </c>
      <c r="M87" s="1" t="s">
        <v>81</v>
      </c>
      <c r="N87" s="1" t="s">
        <v>1986</v>
      </c>
      <c r="O87" s="1"/>
      <c r="P87" s="1" t="s">
        <v>1766</v>
      </c>
      <c r="Q87" s="1" t="s">
        <v>1987</v>
      </c>
      <c r="R87" s="1" t="s">
        <v>1988</v>
      </c>
      <c r="S87" s="1">
        <v>9890697361</v>
      </c>
      <c r="T87" s="1" t="s">
        <v>122</v>
      </c>
      <c r="U87" s="1" t="s">
        <v>1989</v>
      </c>
      <c r="V87" s="1">
        <v>9561877051</v>
      </c>
      <c r="W87" s="1" t="s">
        <v>156</v>
      </c>
      <c r="X87" s="1" t="s">
        <v>1990</v>
      </c>
      <c r="Y87" s="1" t="s">
        <v>191</v>
      </c>
      <c r="Z87" s="1" t="s">
        <v>92</v>
      </c>
      <c r="AA87" s="1" t="s">
        <v>1991</v>
      </c>
      <c r="AB87" s="1" t="s">
        <v>1992</v>
      </c>
      <c r="AC87" s="1" t="s">
        <v>92</v>
      </c>
      <c r="AD87" s="1">
        <v>9.08</v>
      </c>
      <c r="AE87" s="1" t="s">
        <v>93</v>
      </c>
      <c r="AF87" s="1" t="s">
        <v>1993</v>
      </c>
      <c r="AG87" s="1" t="s">
        <v>160</v>
      </c>
      <c r="AH87" s="1" t="s">
        <v>162</v>
      </c>
      <c r="AI87" s="1" t="s">
        <v>195</v>
      </c>
      <c r="AJ87" s="1">
        <v>94.4</v>
      </c>
      <c r="AK87" s="1"/>
      <c r="AL87" s="1" t="s">
        <v>1994</v>
      </c>
      <c r="AM87" s="1" t="s">
        <v>160</v>
      </c>
      <c r="AN87" s="1" t="s">
        <v>101</v>
      </c>
      <c r="AO87" s="1" t="s">
        <v>198</v>
      </c>
      <c r="AP87" s="1">
        <v>65.38</v>
      </c>
      <c r="AQ87" s="1"/>
      <c r="AR87" s="1"/>
      <c r="AS87" s="1"/>
      <c r="AT87" s="1"/>
      <c r="AU87" s="1"/>
      <c r="AV87" s="1"/>
      <c r="AW87" s="1"/>
      <c r="AX87" s="1" t="s">
        <v>361</v>
      </c>
      <c r="AY87" s="1" t="s">
        <v>1995</v>
      </c>
      <c r="AZ87" s="1" t="s">
        <v>201</v>
      </c>
      <c r="BA87" s="1" t="s">
        <v>229</v>
      </c>
      <c r="BB87" s="1">
        <v>79.6</v>
      </c>
      <c r="BC87" s="1">
        <v>8.71</v>
      </c>
      <c r="BD87" s="1"/>
      <c r="BE87" s="1"/>
      <c r="BF87" s="1"/>
      <c r="BG87" s="1"/>
      <c r="BH87" s="1"/>
      <c r="BI87" s="1"/>
      <c r="BJ87" s="1" t="s">
        <v>1996</v>
      </c>
      <c r="BK87" s="1" t="s">
        <v>1997</v>
      </c>
      <c r="BL87" s="1" t="s">
        <v>1629</v>
      </c>
      <c r="BM87" s="1" t="s">
        <v>1998</v>
      </c>
      <c r="BN87" s="1">
        <v>20</v>
      </c>
      <c r="BO87" s="1" t="s">
        <v>1999</v>
      </c>
      <c r="BP87" s="1" t="str">
        <f>HYPERLINK("https://nconnect.nicmar.ac.in/storage/profile/ProfilePhoto_P25700017_325687.jpg","Download")</f>
        <v>0</v>
      </c>
      <c r="BQ87" s="3"/>
      <c r="BR87" s="3"/>
    </row>
    <row r="88" spans="1:70">
      <c r="A88" s="1" t="s">
        <v>70</v>
      </c>
      <c r="B88" s="1" t="s">
        <v>1269</v>
      </c>
      <c r="C88" s="1" t="s">
        <v>2000</v>
      </c>
      <c r="D88" s="1" t="s">
        <v>2001</v>
      </c>
      <c r="E88" s="1" t="s">
        <v>2002</v>
      </c>
      <c r="F88" s="1" t="s">
        <v>2003</v>
      </c>
      <c r="G88" s="1" t="s">
        <v>2004</v>
      </c>
      <c r="H88" s="1" t="s">
        <v>2005</v>
      </c>
      <c r="I88" s="1" t="s">
        <v>2006</v>
      </c>
      <c r="J88" s="1">
        <v>9284135423</v>
      </c>
      <c r="K88" s="1" t="s">
        <v>79</v>
      </c>
      <c r="L88" s="1" t="s">
        <v>2007</v>
      </c>
      <c r="M88" s="1" t="s">
        <v>81</v>
      </c>
      <c r="N88" s="1" t="s">
        <v>2008</v>
      </c>
      <c r="O88" s="1"/>
      <c r="P88" s="1" t="s">
        <v>1278</v>
      </c>
      <c r="Q88" s="1" t="s">
        <v>2009</v>
      </c>
      <c r="R88" s="1" t="s">
        <v>2010</v>
      </c>
      <c r="S88" s="1">
        <v>9975721584</v>
      </c>
      <c r="T88" s="1" t="s">
        <v>763</v>
      </c>
      <c r="U88" s="1" t="s">
        <v>2011</v>
      </c>
      <c r="V88" s="1">
        <v>9960097816</v>
      </c>
      <c r="W88" s="1" t="s">
        <v>763</v>
      </c>
      <c r="X88" s="1" t="s">
        <v>2012</v>
      </c>
      <c r="Y88" s="1" t="s">
        <v>158</v>
      </c>
      <c r="Z88" s="1" t="s">
        <v>92</v>
      </c>
      <c r="AA88" s="1" t="s">
        <v>2012</v>
      </c>
      <c r="AB88" s="1" t="s">
        <v>158</v>
      </c>
      <c r="AC88" s="1" t="s">
        <v>92</v>
      </c>
      <c r="AD88" s="1">
        <v>8.39</v>
      </c>
      <c r="AE88" s="1" t="s">
        <v>93</v>
      </c>
      <c r="AF88" s="1" t="s">
        <v>2013</v>
      </c>
      <c r="AG88" s="1" t="s">
        <v>160</v>
      </c>
      <c r="AH88" s="1" t="s">
        <v>165</v>
      </c>
      <c r="AI88" s="1" t="s">
        <v>281</v>
      </c>
      <c r="AJ88" s="1">
        <v>88.6</v>
      </c>
      <c r="AK88" s="1"/>
      <c r="AL88" s="1" t="s">
        <v>2014</v>
      </c>
      <c r="AM88" s="1" t="s">
        <v>160</v>
      </c>
      <c r="AN88" s="1" t="s">
        <v>433</v>
      </c>
      <c r="AO88" s="1" t="s">
        <v>360</v>
      </c>
      <c r="AP88" s="1">
        <v>78.77</v>
      </c>
      <c r="AQ88" s="1"/>
      <c r="AR88" s="1"/>
      <c r="AS88" s="1"/>
      <c r="AT88" s="1"/>
      <c r="AU88" s="1"/>
      <c r="AV88" s="1"/>
      <c r="AW88" s="1"/>
      <c r="AX88" s="1" t="s">
        <v>1891</v>
      </c>
      <c r="AY88" s="1" t="s">
        <v>2015</v>
      </c>
      <c r="AZ88" s="1" t="s">
        <v>2016</v>
      </c>
      <c r="BA88" s="1" t="s">
        <v>413</v>
      </c>
      <c r="BB88" s="1">
        <v>65</v>
      </c>
      <c r="BC88" s="1">
        <v>7.25</v>
      </c>
      <c r="BD88" s="1"/>
      <c r="BE88" s="1"/>
      <c r="BF88" s="1"/>
      <c r="BG88" s="1"/>
      <c r="BH88" s="1"/>
      <c r="BI88" s="1"/>
      <c r="BJ88" s="1" t="s">
        <v>2017</v>
      </c>
      <c r="BK88" s="1" t="s">
        <v>2018</v>
      </c>
      <c r="BL88" s="1" t="s">
        <v>2019</v>
      </c>
      <c r="BM88" s="1" t="s">
        <v>2020</v>
      </c>
      <c r="BN88" s="1">
        <v>18</v>
      </c>
      <c r="BO88" s="1"/>
      <c r="BP88" s="1" t="str">
        <f>HYPERLINK("https://nconnect.nicmar.ac.in/storage/profile/ProfilePhoto_P25700018_349268.jpg","Download")</f>
        <v>0</v>
      </c>
      <c r="BQ88" s="3"/>
      <c r="BR88" s="3"/>
    </row>
    <row r="89" spans="1:70">
      <c r="A89" s="1" t="s">
        <v>70</v>
      </c>
      <c r="B89" s="1" t="s">
        <v>1269</v>
      </c>
      <c r="C89" s="1" t="s">
        <v>2021</v>
      </c>
      <c r="D89" s="1" t="s">
        <v>2022</v>
      </c>
      <c r="E89" s="1" t="s">
        <v>2023</v>
      </c>
      <c r="F89" s="1" t="s">
        <v>2024</v>
      </c>
      <c r="G89" s="1" t="s">
        <v>2025</v>
      </c>
      <c r="H89" s="1" t="s">
        <v>2026</v>
      </c>
      <c r="I89" s="1" t="s">
        <v>2027</v>
      </c>
      <c r="J89" s="1">
        <v>7385339761</v>
      </c>
      <c r="K89" s="1" t="s">
        <v>79</v>
      </c>
      <c r="L89" s="1" t="s">
        <v>2028</v>
      </c>
      <c r="M89" s="1" t="s">
        <v>81</v>
      </c>
      <c r="N89" s="1" t="s">
        <v>2029</v>
      </c>
      <c r="O89" s="1"/>
      <c r="P89" s="1" t="s">
        <v>1278</v>
      </c>
      <c r="Q89" s="1" t="s">
        <v>2030</v>
      </c>
      <c r="R89" s="1" t="s">
        <v>2031</v>
      </c>
      <c r="S89" s="1">
        <v>9004969014</v>
      </c>
      <c r="T89" s="1" t="s">
        <v>496</v>
      </c>
      <c r="U89" s="1" t="s">
        <v>2032</v>
      </c>
      <c r="V89" s="1">
        <v>9004969014</v>
      </c>
      <c r="W89" s="1" t="s">
        <v>156</v>
      </c>
      <c r="X89" s="1" t="s">
        <v>2033</v>
      </c>
      <c r="Y89" s="1" t="s">
        <v>1018</v>
      </c>
      <c r="Z89" s="1" t="s">
        <v>92</v>
      </c>
      <c r="AA89" s="1" t="s">
        <v>2033</v>
      </c>
      <c r="AB89" s="1" t="s">
        <v>1018</v>
      </c>
      <c r="AC89" s="1" t="s">
        <v>92</v>
      </c>
      <c r="AD89" s="1">
        <v>8.43</v>
      </c>
      <c r="AE89" s="1" t="s">
        <v>93</v>
      </c>
      <c r="AF89" s="1" t="s">
        <v>2034</v>
      </c>
      <c r="AG89" s="1" t="s">
        <v>455</v>
      </c>
      <c r="AH89" s="1" t="s">
        <v>281</v>
      </c>
      <c r="AI89" s="1" t="s">
        <v>409</v>
      </c>
      <c r="AJ89" s="1">
        <v>73.4</v>
      </c>
      <c r="AK89" s="1"/>
      <c r="AL89" s="1" t="s">
        <v>2035</v>
      </c>
      <c r="AM89" s="1" t="s">
        <v>455</v>
      </c>
      <c r="AN89" s="1" t="s">
        <v>941</v>
      </c>
      <c r="AO89" s="1" t="s">
        <v>504</v>
      </c>
      <c r="AP89" s="1">
        <v>86.83</v>
      </c>
      <c r="AQ89" s="1"/>
      <c r="AR89" s="1"/>
      <c r="AS89" s="1"/>
      <c r="AT89" s="1"/>
      <c r="AU89" s="1"/>
      <c r="AV89" s="1"/>
      <c r="AW89" s="1"/>
      <c r="AX89" s="1" t="s">
        <v>253</v>
      </c>
      <c r="AY89" s="1" t="s">
        <v>2036</v>
      </c>
      <c r="AZ89" s="1" t="s">
        <v>504</v>
      </c>
      <c r="BA89" s="1" t="s">
        <v>1361</v>
      </c>
      <c r="BB89" s="1">
        <v>69.18</v>
      </c>
      <c r="BC89" s="1">
        <v>7.67</v>
      </c>
      <c r="BD89" s="1"/>
      <c r="BE89" s="1"/>
      <c r="BF89" s="1"/>
      <c r="BG89" s="1"/>
      <c r="BH89" s="1"/>
      <c r="BI89" s="1"/>
      <c r="BJ89" s="1" t="s">
        <v>255</v>
      </c>
      <c r="BK89" s="1"/>
      <c r="BL89" s="1"/>
      <c r="BM89" s="1" t="s">
        <v>2037</v>
      </c>
      <c r="BN89" s="1">
        <v>12</v>
      </c>
      <c r="BO89" s="1" t="s">
        <v>2038</v>
      </c>
      <c r="BP89" s="1" t="str">
        <f>HYPERLINK("https://nconnect.nicmar.ac.in/storage/profile/ProfilePhoto_P25700019_693821.jpg","Download")</f>
        <v>0</v>
      </c>
      <c r="BQ89" s="3"/>
      <c r="BR89" s="3"/>
    </row>
    <row r="90" spans="1:70">
      <c r="A90" s="1" t="s">
        <v>70</v>
      </c>
      <c r="B90" s="1" t="s">
        <v>1269</v>
      </c>
      <c r="C90" s="1" t="s">
        <v>2039</v>
      </c>
      <c r="D90" s="1" t="s">
        <v>2040</v>
      </c>
      <c r="E90" s="1"/>
      <c r="F90" s="1" t="s">
        <v>2041</v>
      </c>
      <c r="G90" s="1" t="s">
        <v>2042</v>
      </c>
      <c r="H90" s="1" t="s">
        <v>2043</v>
      </c>
      <c r="I90" s="1" t="s">
        <v>2044</v>
      </c>
      <c r="J90" s="1">
        <v>7975576963</v>
      </c>
      <c r="K90" s="1" t="s">
        <v>148</v>
      </c>
      <c r="L90" s="1" t="s">
        <v>2045</v>
      </c>
      <c r="M90" s="1" t="s">
        <v>81</v>
      </c>
      <c r="N90" s="1" t="s">
        <v>2046</v>
      </c>
      <c r="O90" s="1"/>
      <c r="P90" s="1" t="s">
        <v>1278</v>
      </c>
      <c r="Q90" s="1" t="s">
        <v>2047</v>
      </c>
      <c r="R90" s="1" t="s">
        <v>2048</v>
      </c>
      <c r="S90" s="1">
        <v>9986859394</v>
      </c>
      <c r="T90" s="1" t="s">
        <v>2049</v>
      </c>
      <c r="U90" s="1" t="s">
        <v>2050</v>
      </c>
      <c r="V90" s="1">
        <v>9916281122</v>
      </c>
      <c r="W90" s="1" t="s">
        <v>651</v>
      </c>
      <c r="X90" s="1" t="s">
        <v>2051</v>
      </c>
      <c r="Y90" s="1" t="s">
        <v>2052</v>
      </c>
      <c r="Z90" s="1" t="s">
        <v>1084</v>
      </c>
      <c r="AA90" s="1" t="s">
        <v>2051</v>
      </c>
      <c r="AB90" s="1" t="s">
        <v>2052</v>
      </c>
      <c r="AC90" s="1" t="s">
        <v>1084</v>
      </c>
      <c r="AD90" s="1">
        <v>8.3</v>
      </c>
      <c r="AE90" s="1" t="s">
        <v>93</v>
      </c>
      <c r="AF90" s="1" t="s">
        <v>2053</v>
      </c>
      <c r="AG90" s="1" t="s">
        <v>2054</v>
      </c>
      <c r="AH90" s="1" t="s">
        <v>998</v>
      </c>
      <c r="AI90" s="1" t="s">
        <v>477</v>
      </c>
      <c r="AJ90" s="1">
        <v>92.32</v>
      </c>
      <c r="AK90" s="1">
        <v>9.71</v>
      </c>
      <c r="AL90" s="1" t="s">
        <v>2055</v>
      </c>
      <c r="AM90" s="1" t="s">
        <v>2056</v>
      </c>
      <c r="AN90" s="1" t="s">
        <v>503</v>
      </c>
      <c r="AO90" s="1" t="s">
        <v>527</v>
      </c>
      <c r="AP90" s="1">
        <v>82.34</v>
      </c>
      <c r="AQ90" s="1">
        <v>8.66</v>
      </c>
      <c r="AR90" s="1"/>
      <c r="AS90" s="1"/>
      <c r="AT90" s="1"/>
      <c r="AU90" s="1"/>
      <c r="AV90" s="1"/>
      <c r="AW90" s="1"/>
      <c r="AX90" s="1" t="s">
        <v>1088</v>
      </c>
      <c r="AY90" s="1" t="s">
        <v>2057</v>
      </c>
      <c r="AZ90" s="1" t="s">
        <v>134</v>
      </c>
      <c r="BA90" s="1" t="s">
        <v>681</v>
      </c>
      <c r="BB90" s="1">
        <v>65.3</v>
      </c>
      <c r="BC90" s="1">
        <v>7.28</v>
      </c>
      <c r="BD90" s="1"/>
      <c r="BE90" s="1"/>
      <c r="BF90" s="1"/>
      <c r="BG90" s="1"/>
      <c r="BH90" s="1"/>
      <c r="BI90" s="1"/>
      <c r="BJ90" s="1" t="s">
        <v>2058</v>
      </c>
      <c r="BK90" s="1"/>
      <c r="BL90" s="1"/>
      <c r="BM90" s="1" t="s">
        <v>2059</v>
      </c>
      <c r="BN90" s="1">
        <v>91</v>
      </c>
      <c r="BO90" s="1"/>
      <c r="BP90" s="1" t="str">
        <f>HYPERLINK("https://nconnect.nicmar.ac.in/storage/profile/ProfilePhoto_P25700020_954273.jpg","Download")</f>
        <v>0</v>
      </c>
      <c r="BQ90" s="3"/>
      <c r="BR90" s="3"/>
    </row>
    <row r="91" spans="1:70">
      <c r="A91" s="1" t="s">
        <v>70</v>
      </c>
      <c r="B91" s="1" t="s">
        <v>1269</v>
      </c>
      <c r="C91" s="1" t="s">
        <v>2060</v>
      </c>
      <c r="D91" s="1" t="s">
        <v>2061</v>
      </c>
      <c r="E91" s="1"/>
      <c r="F91" s="1" t="s">
        <v>2062</v>
      </c>
      <c r="G91" s="1" t="s">
        <v>2063</v>
      </c>
      <c r="H91" s="1" t="s">
        <v>2064</v>
      </c>
      <c r="I91" s="1" t="s">
        <v>2065</v>
      </c>
      <c r="J91" s="1">
        <v>7003977682</v>
      </c>
      <c r="K91" s="1" t="s">
        <v>79</v>
      </c>
      <c r="L91" s="1" t="s">
        <v>2066</v>
      </c>
      <c r="M91" s="1" t="s">
        <v>81</v>
      </c>
      <c r="N91" s="1" t="s">
        <v>2067</v>
      </c>
      <c r="O91" s="1"/>
      <c r="P91" s="1" t="s">
        <v>1323</v>
      </c>
      <c r="Q91" s="1" t="s">
        <v>2068</v>
      </c>
      <c r="R91" s="1" t="s">
        <v>2069</v>
      </c>
      <c r="S91" s="1">
        <v>9874494195</v>
      </c>
      <c r="T91" s="1" t="s">
        <v>496</v>
      </c>
      <c r="U91" s="1" t="s">
        <v>2070</v>
      </c>
      <c r="V91" s="1">
        <v>7686960438</v>
      </c>
      <c r="W91" s="1" t="s">
        <v>156</v>
      </c>
      <c r="X91" s="1" t="s">
        <v>2071</v>
      </c>
      <c r="Y91" s="1" t="s">
        <v>2072</v>
      </c>
      <c r="Z91" s="1" t="s">
        <v>783</v>
      </c>
      <c r="AA91" s="1" t="s">
        <v>2071</v>
      </c>
      <c r="AB91" s="1" t="s">
        <v>2072</v>
      </c>
      <c r="AC91" s="1" t="s">
        <v>783</v>
      </c>
      <c r="AD91" s="1">
        <v>8.69</v>
      </c>
      <c r="AE91" s="1" t="s">
        <v>93</v>
      </c>
      <c r="AF91" s="1" t="s">
        <v>2073</v>
      </c>
      <c r="AG91" s="1" t="s">
        <v>2074</v>
      </c>
      <c r="AH91" s="1" t="s">
        <v>2075</v>
      </c>
      <c r="AI91" s="1" t="s">
        <v>527</v>
      </c>
      <c r="AJ91" s="1">
        <v>85</v>
      </c>
      <c r="AK91" s="1"/>
      <c r="AL91" s="1" t="s">
        <v>2073</v>
      </c>
      <c r="AM91" s="1" t="s">
        <v>2076</v>
      </c>
      <c r="AN91" s="1" t="s">
        <v>479</v>
      </c>
      <c r="AO91" s="1" t="s">
        <v>101</v>
      </c>
      <c r="AP91" s="1">
        <v>72.4</v>
      </c>
      <c r="AQ91" s="1"/>
      <c r="AR91" s="1" t="s">
        <v>434</v>
      </c>
      <c r="AS91" s="1" t="s">
        <v>2077</v>
      </c>
      <c r="AT91" s="1" t="s">
        <v>636</v>
      </c>
      <c r="AU91" s="1" t="s">
        <v>1051</v>
      </c>
      <c r="AV91" s="1">
        <v>84.7</v>
      </c>
      <c r="AW91" s="1"/>
      <c r="AX91" s="1" t="s">
        <v>2078</v>
      </c>
      <c r="AY91" s="1" t="s">
        <v>2079</v>
      </c>
      <c r="AZ91" s="1" t="s">
        <v>1051</v>
      </c>
      <c r="BA91" s="1" t="s">
        <v>944</v>
      </c>
      <c r="BB91" s="1">
        <v>84</v>
      </c>
      <c r="BC91" s="1"/>
      <c r="BD91" s="1"/>
      <c r="BE91" s="1"/>
      <c r="BF91" s="1"/>
      <c r="BG91" s="1"/>
      <c r="BH91" s="1"/>
      <c r="BI91" s="1"/>
      <c r="BJ91" s="1" t="s">
        <v>2080</v>
      </c>
      <c r="BK91" s="1"/>
      <c r="BL91" s="1"/>
      <c r="BM91" s="1" t="s">
        <v>2081</v>
      </c>
      <c r="BN91" s="1">
        <v>13</v>
      </c>
      <c r="BO91" s="1" t="s">
        <v>2082</v>
      </c>
      <c r="BP91" s="1" t="str">
        <f>HYPERLINK("https://nconnect.nicmar.ac.in/storage/profile/ProfilePhoto_P25700021_349526.jpg","Download")</f>
        <v>0</v>
      </c>
      <c r="BQ91" s="3"/>
      <c r="BR91" s="3"/>
    </row>
    <row r="92" spans="1:70">
      <c r="A92" s="1" t="s">
        <v>70</v>
      </c>
      <c r="B92" s="1" t="s">
        <v>1269</v>
      </c>
      <c r="C92" s="1" t="s">
        <v>2083</v>
      </c>
      <c r="D92" s="1" t="s">
        <v>2084</v>
      </c>
      <c r="E92" s="1" t="s">
        <v>2085</v>
      </c>
      <c r="F92" s="1" t="s">
        <v>2086</v>
      </c>
      <c r="G92" s="1" t="s">
        <v>2087</v>
      </c>
      <c r="H92" s="1" t="s">
        <v>2088</v>
      </c>
      <c r="I92" s="1" t="s">
        <v>2089</v>
      </c>
      <c r="J92" s="1">
        <v>8895290519</v>
      </c>
      <c r="K92" s="1" t="s">
        <v>79</v>
      </c>
      <c r="L92" s="1" t="s">
        <v>2090</v>
      </c>
      <c r="M92" s="1" t="s">
        <v>81</v>
      </c>
      <c r="N92" s="1" t="s">
        <v>1746</v>
      </c>
      <c r="O92" s="1"/>
      <c r="P92" s="1" t="s">
        <v>1298</v>
      </c>
      <c r="Q92" s="1" t="s">
        <v>2091</v>
      </c>
      <c r="R92" s="1" t="s">
        <v>2092</v>
      </c>
      <c r="S92" s="1">
        <v>7978767607</v>
      </c>
      <c r="T92" s="1" t="s">
        <v>496</v>
      </c>
      <c r="U92" s="1" t="s">
        <v>2093</v>
      </c>
      <c r="V92" s="1">
        <v>9437190177</v>
      </c>
      <c r="W92" s="1" t="s">
        <v>2094</v>
      </c>
      <c r="X92" s="1" t="s">
        <v>2095</v>
      </c>
      <c r="Y92" s="1" t="s">
        <v>2096</v>
      </c>
      <c r="Z92" s="1" t="s">
        <v>1731</v>
      </c>
      <c r="AA92" s="1" t="s">
        <v>2095</v>
      </c>
      <c r="AB92" s="1" t="s">
        <v>2096</v>
      </c>
      <c r="AC92" s="1" t="s">
        <v>1731</v>
      </c>
      <c r="AD92" s="1">
        <v>8.02</v>
      </c>
      <c r="AE92" s="1" t="s">
        <v>93</v>
      </c>
      <c r="AF92" s="1" t="s">
        <v>2097</v>
      </c>
      <c r="AG92" s="1" t="s">
        <v>2098</v>
      </c>
      <c r="AH92" s="1" t="s">
        <v>1197</v>
      </c>
      <c r="AI92" s="1" t="s">
        <v>131</v>
      </c>
      <c r="AJ92" s="1">
        <v>85.5</v>
      </c>
      <c r="AK92" s="1">
        <v>9</v>
      </c>
      <c r="AL92" s="1" t="s">
        <v>2099</v>
      </c>
      <c r="AM92" s="1" t="s">
        <v>2098</v>
      </c>
      <c r="AN92" s="1" t="s">
        <v>527</v>
      </c>
      <c r="AO92" s="1" t="s">
        <v>479</v>
      </c>
      <c r="AP92" s="1">
        <v>73.4</v>
      </c>
      <c r="AQ92" s="1"/>
      <c r="AR92" s="1"/>
      <c r="AS92" s="1"/>
      <c r="AT92" s="1"/>
      <c r="AU92" s="1"/>
      <c r="AV92" s="1"/>
      <c r="AW92" s="1"/>
      <c r="AX92" s="1" t="s">
        <v>2100</v>
      </c>
      <c r="AY92" s="1" t="s">
        <v>2101</v>
      </c>
      <c r="AZ92" s="1" t="s">
        <v>169</v>
      </c>
      <c r="BA92" s="1" t="s">
        <v>1003</v>
      </c>
      <c r="BB92" s="1">
        <v>79.5</v>
      </c>
      <c r="BC92" s="1">
        <v>8.45</v>
      </c>
      <c r="BD92" s="1" t="s">
        <v>2102</v>
      </c>
      <c r="BE92" s="1" t="s">
        <v>1647</v>
      </c>
      <c r="BF92" s="1" t="s">
        <v>1134</v>
      </c>
      <c r="BG92" s="1" t="s">
        <v>2103</v>
      </c>
      <c r="BH92" s="1">
        <v>50</v>
      </c>
      <c r="BI92" s="1"/>
      <c r="BJ92" s="1" t="s">
        <v>2104</v>
      </c>
      <c r="BK92" s="1"/>
      <c r="BL92" s="1"/>
      <c r="BM92" s="1" t="s">
        <v>2105</v>
      </c>
      <c r="BN92" s="1">
        <v>48</v>
      </c>
      <c r="BO92" s="1"/>
      <c r="BP92" s="1" t="str">
        <f>HYPERLINK("https://nconnect.nicmar.ac.in/storage/profile/ProfilePhoto_P25700022_164257.jpg","Download")</f>
        <v>0</v>
      </c>
      <c r="BQ92" s="3"/>
      <c r="BR92" s="3"/>
    </row>
    <row r="93" spans="1:70">
      <c r="A93" s="1" t="s">
        <v>70</v>
      </c>
      <c r="B93" s="1" t="s">
        <v>1269</v>
      </c>
      <c r="C93" s="1" t="s">
        <v>2106</v>
      </c>
      <c r="D93" s="1" t="s">
        <v>2107</v>
      </c>
      <c r="E93" s="1"/>
      <c r="F93" s="1" t="s">
        <v>2108</v>
      </c>
      <c r="G93" s="1" t="s">
        <v>2109</v>
      </c>
      <c r="H93" s="1" t="s">
        <v>2110</v>
      </c>
      <c r="I93" s="1" t="s">
        <v>2111</v>
      </c>
      <c r="J93" s="1">
        <v>9207286609</v>
      </c>
      <c r="K93" s="1" t="s">
        <v>79</v>
      </c>
      <c r="L93" s="1" t="s">
        <v>2112</v>
      </c>
      <c r="M93" s="1" t="s">
        <v>81</v>
      </c>
      <c r="N93" s="1" t="s">
        <v>1395</v>
      </c>
      <c r="O93" s="1"/>
      <c r="P93" s="1" t="s">
        <v>1278</v>
      </c>
      <c r="Q93" s="1" t="s">
        <v>2113</v>
      </c>
      <c r="R93" s="1" t="s">
        <v>2114</v>
      </c>
      <c r="S93" s="1">
        <v>9496155865</v>
      </c>
      <c r="T93" s="1" t="s">
        <v>120</v>
      </c>
      <c r="U93" s="1" t="s">
        <v>2115</v>
      </c>
      <c r="V93" s="1">
        <v>9400636849</v>
      </c>
      <c r="W93" s="1" t="s">
        <v>120</v>
      </c>
      <c r="X93" s="1" t="s">
        <v>2116</v>
      </c>
      <c r="Y93" s="1" t="s">
        <v>1260</v>
      </c>
      <c r="Z93" s="1" t="s">
        <v>125</v>
      </c>
      <c r="AA93" s="1" t="s">
        <v>2116</v>
      </c>
      <c r="AB93" s="1" t="s">
        <v>1260</v>
      </c>
      <c r="AC93" s="1" t="s">
        <v>125</v>
      </c>
      <c r="AD93" s="1">
        <v>8.61</v>
      </c>
      <c r="AE93" s="1" t="s">
        <v>93</v>
      </c>
      <c r="AF93" s="1" t="s">
        <v>2117</v>
      </c>
      <c r="AG93" s="1" t="s">
        <v>1403</v>
      </c>
      <c r="AH93" s="1" t="s">
        <v>162</v>
      </c>
      <c r="AI93" s="1" t="s">
        <v>195</v>
      </c>
      <c r="AJ93" s="1">
        <v>94</v>
      </c>
      <c r="AK93" s="1">
        <v>9</v>
      </c>
      <c r="AL93" s="1" t="s">
        <v>2118</v>
      </c>
      <c r="AM93" s="1" t="s">
        <v>2119</v>
      </c>
      <c r="AN93" s="1" t="s">
        <v>101</v>
      </c>
      <c r="AO93" s="1" t="s">
        <v>409</v>
      </c>
      <c r="AP93" s="1">
        <v>92.33</v>
      </c>
      <c r="AQ93" s="1"/>
      <c r="AR93" s="1"/>
      <c r="AS93" s="1"/>
      <c r="AT93" s="1"/>
      <c r="AU93" s="1"/>
      <c r="AV93" s="1"/>
      <c r="AW93" s="1"/>
      <c r="AX93" s="1" t="s">
        <v>2120</v>
      </c>
      <c r="AY93" s="1" t="s">
        <v>2121</v>
      </c>
      <c r="AZ93" s="1" t="s">
        <v>201</v>
      </c>
      <c r="BA93" s="1" t="s">
        <v>386</v>
      </c>
      <c r="BB93" s="1">
        <v>82</v>
      </c>
      <c r="BC93" s="1">
        <v>8.2</v>
      </c>
      <c r="BD93" s="1"/>
      <c r="BE93" s="1"/>
      <c r="BF93" s="1"/>
      <c r="BG93" s="1"/>
      <c r="BH93" s="1"/>
      <c r="BI93" s="1"/>
      <c r="BJ93" s="1" t="s">
        <v>2122</v>
      </c>
      <c r="BK93" s="1" t="s">
        <v>2123</v>
      </c>
      <c r="BL93" s="1" t="s">
        <v>1919</v>
      </c>
      <c r="BM93" s="1" t="s">
        <v>2124</v>
      </c>
      <c r="BN93" s="1">
        <v>46</v>
      </c>
      <c r="BO93" s="1" t="s">
        <v>2125</v>
      </c>
      <c r="BP93" s="1" t="str">
        <f>HYPERLINK("https://nconnect.nicmar.ac.in/storage/profile/ProfilePhoto_P25700023_836724.jpg","Download")</f>
        <v>0</v>
      </c>
      <c r="BQ93" s="3"/>
      <c r="BR93" s="3"/>
    </row>
    <row r="94" spans="1:70">
      <c r="A94" s="1" t="s">
        <v>70</v>
      </c>
      <c r="B94" s="1" t="s">
        <v>1269</v>
      </c>
      <c r="C94" s="1" t="s">
        <v>2126</v>
      </c>
      <c r="D94" s="1" t="s">
        <v>2127</v>
      </c>
      <c r="E94" s="1" t="s">
        <v>2128</v>
      </c>
      <c r="F94" s="1" t="s">
        <v>1280</v>
      </c>
      <c r="G94" s="1" t="s">
        <v>2129</v>
      </c>
      <c r="H94" s="1" t="s">
        <v>2130</v>
      </c>
      <c r="I94" s="1" t="s">
        <v>2131</v>
      </c>
      <c r="J94" s="1">
        <v>9747558878</v>
      </c>
      <c r="K94" s="1" t="s">
        <v>79</v>
      </c>
      <c r="L94" s="1" t="s">
        <v>2132</v>
      </c>
      <c r="M94" s="1" t="s">
        <v>81</v>
      </c>
      <c r="N94" s="1" t="s">
        <v>2133</v>
      </c>
      <c r="O94" s="1"/>
      <c r="P94" s="1" t="s">
        <v>1298</v>
      </c>
      <c r="Q94" s="1" t="s">
        <v>2134</v>
      </c>
      <c r="R94" s="1" t="s">
        <v>2135</v>
      </c>
      <c r="S94" s="1">
        <v>9446519121</v>
      </c>
      <c r="T94" s="1" t="s">
        <v>2136</v>
      </c>
      <c r="U94" s="1" t="s">
        <v>2137</v>
      </c>
      <c r="V94" s="1">
        <v>9447619121</v>
      </c>
      <c r="W94" s="1" t="s">
        <v>273</v>
      </c>
      <c r="X94" s="1" t="s">
        <v>2138</v>
      </c>
      <c r="Y94" s="1" t="s">
        <v>2139</v>
      </c>
      <c r="Z94" s="1" t="s">
        <v>125</v>
      </c>
      <c r="AA94" s="1" t="s">
        <v>2138</v>
      </c>
      <c r="AB94" s="1" t="s">
        <v>2139</v>
      </c>
      <c r="AC94" s="1" t="s">
        <v>125</v>
      </c>
      <c r="AD94" s="1">
        <v>8.56</v>
      </c>
      <c r="AE94" s="1" t="s">
        <v>93</v>
      </c>
      <c r="AF94" s="1" t="s">
        <v>2140</v>
      </c>
      <c r="AG94" s="1" t="s">
        <v>2141</v>
      </c>
      <c r="AH94" s="1" t="s">
        <v>165</v>
      </c>
      <c r="AI94" s="1" t="s">
        <v>281</v>
      </c>
      <c r="AJ94" s="1">
        <v>73</v>
      </c>
      <c r="AK94" s="1"/>
      <c r="AL94" s="1" t="s">
        <v>2142</v>
      </c>
      <c r="AM94" s="1" t="s">
        <v>2143</v>
      </c>
      <c r="AN94" s="1" t="s">
        <v>310</v>
      </c>
      <c r="AO94" s="1" t="s">
        <v>412</v>
      </c>
      <c r="AP94" s="1">
        <v>76.6</v>
      </c>
      <c r="AQ94" s="1"/>
      <c r="AR94" s="1"/>
      <c r="AS94" s="1"/>
      <c r="AT94" s="1"/>
      <c r="AU94" s="1"/>
      <c r="AV94" s="1"/>
      <c r="AW94" s="1"/>
      <c r="AX94" s="1" t="s">
        <v>132</v>
      </c>
      <c r="AY94" s="1" t="s">
        <v>2144</v>
      </c>
      <c r="AZ94" s="1" t="s">
        <v>173</v>
      </c>
      <c r="BA94" s="1" t="s">
        <v>702</v>
      </c>
      <c r="BB94" s="1">
        <v>77.8</v>
      </c>
      <c r="BC94" s="1">
        <v>7.78</v>
      </c>
      <c r="BD94" s="1"/>
      <c r="BE94" s="1"/>
      <c r="BF94" s="1"/>
      <c r="BG94" s="1"/>
      <c r="BH94" s="1"/>
      <c r="BI94" s="1"/>
      <c r="BJ94" s="1" t="s">
        <v>2145</v>
      </c>
      <c r="BK94" s="1"/>
      <c r="BL94" s="1"/>
      <c r="BM94" s="1" t="s">
        <v>2146</v>
      </c>
      <c r="BN94" s="1">
        <v>13</v>
      </c>
      <c r="BO94" s="1" t="s">
        <v>2147</v>
      </c>
      <c r="BP94" s="1" t="str">
        <f>HYPERLINK("https://nconnect.nicmar.ac.in/storage/profile/ProfilePhoto_P25700024_183579.jpg","Download")</f>
        <v>0</v>
      </c>
      <c r="BQ94" s="3"/>
      <c r="BR94" s="3"/>
    </row>
    <row r="95" spans="1:70">
      <c r="A95" s="1" t="s">
        <v>70</v>
      </c>
      <c r="B95" s="1" t="s">
        <v>1269</v>
      </c>
      <c r="C95" s="1" t="s">
        <v>2148</v>
      </c>
      <c r="D95" s="1" t="s">
        <v>2149</v>
      </c>
      <c r="E95" s="1" t="s">
        <v>596</v>
      </c>
      <c r="F95" s="1" t="s">
        <v>2150</v>
      </c>
      <c r="G95" s="1" t="s">
        <v>2151</v>
      </c>
      <c r="H95" s="1" t="s">
        <v>2152</v>
      </c>
      <c r="I95" s="1" t="s">
        <v>2153</v>
      </c>
      <c r="J95" s="1">
        <v>7488920327</v>
      </c>
      <c r="K95" s="1" t="s">
        <v>79</v>
      </c>
      <c r="L95" s="1" t="s">
        <v>2154</v>
      </c>
      <c r="M95" s="1" t="s">
        <v>81</v>
      </c>
      <c r="N95" s="1" t="s">
        <v>350</v>
      </c>
      <c r="O95" s="1"/>
      <c r="P95" s="1" t="s">
        <v>1278</v>
      </c>
      <c r="Q95" s="1" t="s">
        <v>2155</v>
      </c>
      <c r="R95" s="1" t="s">
        <v>2156</v>
      </c>
      <c r="S95" s="1">
        <v>9472959639</v>
      </c>
      <c r="T95" s="1" t="s">
        <v>216</v>
      </c>
      <c r="U95" s="1" t="s">
        <v>2157</v>
      </c>
      <c r="V95" s="1">
        <v>7277669632</v>
      </c>
      <c r="W95" s="1" t="s">
        <v>156</v>
      </c>
      <c r="X95" s="1" t="s">
        <v>2158</v>
      </c>
      <c r="Y95" s="1" t="s">
        <v>845</v>
      </c>
      <c r="Z95" s="1" t="s">
        <v>846</v>
      </c>
      <c r="AA95" s="1" t="s">
        <v>2158</v>
      </c>
      <c r="AB95" s="1" t="s">
        <v>845</v>
      </c>
      <c r="AC95" s="1" t="s">
        <v>846</v>
      </c>
      <c r="AD95" s="1">
        <v>7.79</v>
      </c>
      <c r="AE95" s="1" t="s">
        <v>93</v>
      </c>
      <c r="AF95" s="1" t="s">
        <v>2159</v>
      </c>
      <c r="AG95" s="1" t="s">
        <v>2160</v>
      </c>
      <c r="AH95" s="1" t="s">
        <v>678</v>
      </c>
      <c r="AI95" s="1" t="s">
        <v>166</v>
      </c>
      <c r="AJ95" s="1">
        <v>67.6</v>
      </c>
      <c r="AK95" s="1"/>
      <c r="AL95" s="1" t="s">
        <v>2161</v>
      </c>
      <c r="AM95" s="1" t="s">
        <v>2160</v>
      </c>
      <c r="AN95" s="1" t="s">
        <v>101</v>
      </c>
      <c r="AO95" s="1" t="s">
        <v>173</v>
      </c>
      <c r="AP95" s="1">
        <v>70.8</v>
      </c>
      <c r="AQ95" s="1"/>
      <c r="AR95" s="1"/>
      <c r="AS95" s="1"/>
      <c r="AT95" s="1"/>
      <c r="AU95" s="1"/>
      <c r="AV95" s="1"/>
      <c r="AW95" s="1"/>
      <c r="AX95" s="1" t="s">
        <v>2162</v>
      </c>
      <c r="AY95" s="1" t="s">
        <v>2163</v>
      </c>
      <c r="AZ95" s="1" t="s">
        <v>920</v>
      </c>
      <c r="BA95" s="1" t="s">
        <v>413</v>
      </c>
      <c r="BB95" s="1">
        <v>84.3</v>
      </c>
      <c r="BC95" s="1">
        <v>8.43</v>
      </c>
      <c r="BD95" s="1"/>
      <c r="BE95" s="1"/>
      <c r="BF95" s="1"/>
      <c r="BG95" s="1"/>
      <c r="BH95" s="1"/>
      <c r="BI95" s="1"/>
      <c r="BJ95" s="1" t="s">
        <v>1383</v>
      </c>
      <c r="BK95" s="1"/>
      <c r="BL95" s="1"/>
      <c r="BM95" s="1" t="s">
        <v>2164</v>
      </c>
      <c r="BN95" s="1">
        <v>8</v>
      </c>
      <c r="BO95" s="1"/>
      <c r="BP95" s="1" t="str">
        <f>HYPERLINK("https://nconnect.nicmar.ac.in/storage/profile/ProfilePhoto_P25700026_164829.jpg","Download")</f>
        <v>0</v>
      </c>
      <c r="BQ95" s="3"/>
      <c r="BR95" s="3"/>
    </row>
    <row r="96" spans="1:70">
      <c r="A96" s="1" t="s">
        <v>70</v>
      </c>
      <c r="B96" s="1" t="s">
        <v>1269</v>
      </c>
      <c r="C96" s="1" t="s">
        <v>2165</v>
      </c>
      <c r="D96" s="1" t="s">
        <v>2166</v>
      </c>
      <c r="E96" s="1"/>
      <c r="F96" s="1" t="s">
        <v>2167</v>
      </c>
      <c r="G96" s="1" t="s">
        <v>2168</v>
      </c>
      <c r="H96" s="1" t="s">
        <v>2169</v>
      </c>
      <c r="I96" s="1" t="s">
        <v>2170</v>
      </c>
      <c r="J96" s="1">
        <v>8660484703</v>
      </c>
      <c r="K96" s="1" t="s">
        <v>79</v>
      </c>
      <c r="L96" s="1" t="s">
        <v>2171</v>
      </c>
      <c r="M96" s="1" t="s">
        <v>81</v>
      </c>
      <c r="N96" s="1" t="s">
        <v>2172</v>
      </c>
      <c r="O96" s="1"/>
      <c r="P96" s="1" t="s">
        <v>1298</v>
      </c>
      <c r="Q96" s="1" t="s">
        <v>2173</v>
      </c>
      <c r="R96" s="1" t="s">
        <v>2174</v>
      </c>
      <c r="S96" s="1">
        <v>8867120724</v>
      </c>
      <c r="T96" s="1" t="s">
        <v>2175</v>
      </c>
      <c r="U96" s="1" t="s">
        <v>2176</v>
      </c>
      <c r="V96" s="1">
        <v>9448341389</v>
      </c>
      <c r="W96" s="1" t="s">
        <v>273</v>
      </c>
      <c r="X96" s="1" t="s">
        <v>2177</v>
      </c>
      <c r="Y96" s="1" t="s">
        <v>2178</v>
      </c>
      <c r="Z96" s="1" t="s">
        <v>1084</v>
      </c>
      <c r="AA96" s="1" t="s">
        <v>2179</v>
      </c>
      <c r="AB96" s="1" t="s">
        <v>2178</v>
      </c>
      <c r="AC96" s="1" t="s">
        <v>1084</v>
      </c>
      <c r="AD96" s="1">
        <v>8.96</v>
      </c>
      <c r="AE96" s="1" t="s">
        <v>93</v>
      </c>
      <c r="AF96" s="1" t="s">
        <v>2180</v>
      </c>
      <c r="AG96" s="1" t="s">
        <v>2181</v>
      </c>
      <c r="AH96" s="1" t="s">
        <v>162</v>
      </c>
      <c r="AI96" s="1" t="s">
        <v>165</v>
      </c>
      <c r="AJ96" s="1">
        <v>95</v>
      </c>
      <c r="AK96" s="1">
        <v>10</v>
      </c>
      <c r="AL96" s="1" t="s">
        <v>2182</v>
      </c>
      <c r="AM96" s="1" t="s">
        <v>2056</v>
      </c>
      <c r="AN96" s="1" t="s">
        <v>101</v>
      </c>
      <c r="AO96" s="1" t="s">
        <v>1065</v>
      </c>
      <c r="AP96" s="1">
        <v>89.66</v>
      </c>
      <c r="AQ96" s="1">
        <v>0</v>
      </c>
      <c r="AR96" s="1"/>
      <c r="AS96" s="1"/>
      <c r="AT96" s="1"/>
      <c r="AU96" s="1"/>
      <c r="AV96" s="1"/>
      <c r="AW96" s="1"/>
      <c r="AX96" s="1" t="s">
        <v>2183</v>
      </c>
      <c r="AY96" s="1" t="s">
        <v>2184</v>
      </c>
      <c r="AZ96" s="1" t="s">
        <v>201</v>
      </c>
      <c r="BA96" s="1" t="s">
        <v>386</v>
      </c>
      <c r="BB96" s="1">
        <v>72.7</v>
      </c>
      <c r="BC96" s="1">
        <v>8.02</v>
      </c>
      <c r="BD96" s="1"/>
      <c r="BE96" s="1"/>
      <c r="BF96" s="1"/>
      <c r="BG96" s="1"/>
      <c r="BH96" s="1"/>
      <c r="BI96" s="1"/>
      <c r="BJ96" s="1" t="s">
        <v>364</v>
      </c>
      <c r="BK96" s="1" t="s">
        <v>2185</v>
      </c>
      <c r="BL96" s="1" t="s">
        <v>2186</v>
      </c>
      <c r="BM96" s="1" t="s">
        <v>2187</v>
      </c>
      <c r="BN96" s="1">
        <v>4</v>
      </c>
      <c r="BO96" s="1"/>
      <c r="BP96" s="1" t="str">
        <f>HYPERLINK("https://nconnect.nicmar.ac.in/storage/profile/ProfilePhoto_P25700027_837251.jpg","Download")</f>
        <v>0</v>
      </c>
      <c r="BQ96" s="3"/>
      <c r="BR96" s="3"/>
    </row>
    <row r="97" spans="1:70">
      <c r="A97" s="1" t="s">
        <v>70</v>
      </c>
      <c r="B97" s="1" t="s">
        <v>1269</v>
      </c>
      <c r="C97" s="1" t="s">
        <v>2188</v>
      </c>
      <c r="D97" s="1" t="s">
        <v>2189</v>
      </c>
      <c r="E97" s="1" t="s">
        <v>2190</v>
      </c>
      <c r="F97" s="1" t="s">
        <v>2191</v>
      </c>
      <c r="G97" s="1" t="s">
        <v>2192</v>
      </c>
      <c r="H97" s="1" t="s">
        <v>2193</v>
      </c>
      <c r="I97" s="1" t="s">
        <v>2194</v>
      </c>
      <c r="J97" s="1">
        <v>9447191968</v>
      </c>
      <c r="K97" s="1" t="s">
        <v>79</v>
      </c>
      <c r="L97" s="1" t="s">
        <v>296</v>
      </c>
      <c r="M97" s="1" t="s">
        <v>81</v>
      </c>
      <c r="N97" s="1" t="s">
        <v>1395</v>
      </c>
      <c r="O97" s="1"/>
      <c r="P97" s="1" t="s">
        <v>1298</v>
      </c>
      <c r="Q97" s="1" t="s">
        <v>2195</v>
      </c>
      <c r="R97" s="1" t="s">
        <v>2196</v>
      </c>
      <c r="S97" s="1">
        <v>9446102694</v>
      </c>
      <c r="T97" s="1" t="s">
        <v>2197</v>
      </c>
      <c r="U97" s="1" t="s">
        <v>2198</v>
      </c>
      <c r="V97" s="1">
        <v>9446749400</v>
      </c>
      <c r="W97" s="1" t="s">
        <v>122</v>
      </c>
      <c r="X97" s="1" t="s">
        <v>2199</v>
      </c>
      <c r="Y97" s="1" t="s">
        <v>1491</v>
      </c>
      <c r="Z97" s="1" t="s">
        <v>125</v>
      </c>
      <c r="AA97" s="1" t="s">
        <v>2199</v>
      </c>
      <c r="AB97" s="1" t="s">
        <v>1491</v>
      </c>
      <c r="AC97" s="1" t="s">
        <v>125</v>
      </c>
      <c r="AD97" s="1">
        <v>8.62</v>
      </c>
      <c r="AE97" s="1" t="s">
        <v>93</v>
      </c>
      <c r="AF97" s="1" t="s">
        <v>2200</v>
      </c>
      <c r="AG97" s="1" t="s">
        <v>2201</v>
      </c>
      <c r="AH97" s="1" t="s">
        <v>161</v>
      </c>
      <c r="AI97" s="1" t="s">
        <v>527</v>
      </c>
      <c r="AJ97" s="1">
        <v>95</v>
      </c>
      <c r="AK97" s="1">
        <v>10</v>
      </c>
      <c r="AL97" s="1" t="s">
        <v>2200</v>
      </c>
      <c r="AM97" s="1" t="s">
        <v>2201</v>
      </c>
      <c r="AN97" s="1" t="s">
        <v>165</v>
      </c>
      <c r="AO97" s="1" t="s">
        <v>166</v>
      </c>
      <c r="AP97" s="1">
        <v>90.4</v>
      </c>
      <c r="AQ97" s="1">
        <v>0</v>
      </c>
      <c r="AR97" s="1"/>
      <c r="AS97" s="1"/>
      <c r="AT97" s="1"/>
      <c r="AU97" s="1"/>
      <c r="AV97" s="1"/>
      <c r="AW97" s="1"/>
      <c r="AX97" s="1" t="s">
        <v>132</v>
      </c>
      <c r="AY97" s="1" t="s">
        <v>2202</v>
      </c>
      <c r="AZ97" s="1" t="s">
        <v>636</v>
      </c>
      <c r="BA97" s="1" t="s">
        <v>702</v>
      </c>
      <c r="BB97" s="1">
        <v>65.4</v>
      </c>
      <c r="BC97" s="1">
        <v>6.54</v>
      </c>
      <c r="BD97" s="1"/>
      <c r="BE97" s="1"/>
      <c r="BF97" s="1"/>
      <c r="BG97" s="1"/>
      <c r="BH97" s="1"/>
      <c r="BI97" s="1"/>
      <c r="BJ97" s="1" t="s">
        <v>2203</v>
      </c>
      <c r="BK97" s="1" t="s">
        <v>2204</v>
      </c>
      <c r="BL97" s="1" t="s">
        <v>1561</v>
      </c>
      <c r="BM97" s="1"/>
      <c r="BN97" s="1"/>
      <c r="BO97" s="1" t="s">
        <v>2205</v>
      </c>
      <c r="BP97" s="1" t="str">
        <f>HYPERLINK("https://nconnect.nicmar.ac.in/storage/profile/ProfilePhoto_P25700029_659732.jpg","Download")</f>
        <v>0</v>
      </c>
      <c r="BQ97" s="3"/>
      <c r="BR97" s="3"/>
    </row>
    <row r="98" spans="1:70">
      <c r="A98" s="1" t="s">
        <v>70</v>
      </c>
      <c r="B98" s="1" t="s">
        <v>1269</v>
      </c>
      <c r="C98" s="1" t="s">
        <v>2206</v>
      </c>
      <c r="D98" s="1" t="s">
        <v>2207</v>
      </c>
      <c r="E98" s="1"/>
      <c r="F98" s="1" t="s">
        <v>2208</v>
      </c>
      <c r="G98" s="1" t="s">
        <v>2209</v>
      </c>
      <c r="H98" s="1" t="s">
        <v>2210</v>
      </c>
      <c r="I98" s="1" t="s">
        <v>2211</v>
      </c>
      <c r="J98" s="1">
        <v>9680573729</v>
      </c>
      <c r="K98" s="1" t="s">
        <v>79</v>
      </c>
      <c r="L98" s="1" t="s">
        <v>2212</v>
      </c>
      <c r="M98" s="1" t="s">
        <v>81</v>
      </c>
      <c r="N98" s="1" t="s">
        <v>2213</v>
      </c>
      <c r="O98" s="1"/>
      <c r="P98" s="1" t="s">
        <v>1766</v>
      </c>
      <c r="Q98" s="1" t="s">
        <v>2214</v>
      </c>
      <c r="R98" s="1" t="s">
        <v>2215</v>
      </c>
      <c r="S98" s="1">
        <v>9815744370</v>
      </c>
      <c r="T98" s="1" t="s">
        <v>842</v>
      </c>
      <c r="U98" s="1" t="s">
        <v>2216</v>
      </c>
      <c r="V98" s="1">
        <v>8288071500</v>
      </c>
      <c r="W98" s="1" t="s">
        <v>273</v>
      </c>
      <c r="X98" s="1" t="s">
        <v>2217</v>
      </c>
      <c r="Y98" s="1" t="s">
        <v>2218</v>
      </c>
      <c r="Z98" s="1" t="s">
        <v>1828</v>
      </c>
      <c r="AA98" s="1" t="s">
        <v>2217</v>
      </c>
      <c r="AB98" s="1" t="s">
        <v>2218</v>
      </c>
      <c r="AC98" s="1" t="s">
        <v>1828</v>
      </c>
      <c r="AD98" s="1">
        <v>8.07</v>
      </c>
      <c r="AE98" s="1" t="s">
        <v>93</v>
      </c>
      <c r="AF98" s="1" t="s">
        <v>2219</v>
      </c>
      <c r="AG98" s="1" t="s">
        <v>2220</v>
      </c>
      <c r="AH98" s="1" t="s">
        <v>2221</v>
      </c>
      <c r="AI98" s="1" t="s">
        <v>162</v>
      </c>
      <c r="AJ98" s="1">
        <v>80.33</v>
      </c>
      <c r="AK98" s="1">
        <v>0</v>
      </c>
      <c r="AL98" s="1" t="s">
        <v>2222</v>
      </c>
      <c r="AM98" s="1" t="s">
        <v>2223</v>
      </c>
      <c r="AN98" s="1" t="s">
        <v>733</v>
      </c>
      <c r="AO98" s="1" t="s">
        <v>166</v>
      </c>
      <c r="AP98" s="1">
        <v>75.4</v>
      </c>
      <c r="AQ98" s="1">
        <v>0</v>
      </c>
      <c r="AR98" s="1" t="s">
        <v>2224</v>
      </c>
      <c r="AS98" s="1" t="s">
        <v>2220</v>
      </c>
      <c r="AT98" s="1" t="s">
        <v>173</v>
      </c>
      <c r="AU98" s="1" t="s">
        <v>284</v>
      </c>
      <c r="AV98" s="1">
        <v>84</v>
      </c>
      <c r="AW98" s="1"/>
      <c r="AX98" s="1" t="s">
        <v>2225</v>
      </c>
      <c r="AY98" s="1" t="s">
        <v>2226</v>
      </c>
      <c r="AZ98" s="1" t="s">
        <v>481</v>
      </c>
      <c r="BA98" s="1" t="s">
        <v>1584</v>
      </c>
      <c r="BB98" s="1">
        <v>0</v>
      </c>
      <c r="BC98" s="1">
        <v>7.72</v>
      </c>
      <c r="BD98" s="1"/>
      <c r="BE98" s="1"/>
      <c r="BF98" s="1"/>
      <c r="BG98" s="1"/>
      <c r="BH98" s="1"/>
      <c r="BI98" s="1"/>
      <c r="BJ98" s="1" t="s">
        <v>364</v>
      </c>
      <c r="BK98" s="1"/>
      <c r="BL98" s="1"/>
      <c r="BM98" s="1" t="s">
        <v>2227</v>
      </c>
      <c r="BN98" s="1">
        <v>26</v>
      </c>
      <c r="BO98" s="1"/>
      <c r="BP98" s="1" t="str">
        <f>HYPERLINK("https://nconnect.nicmar.ac.in/storage/profile/ProfilePhoto_P25700030_527831.jpg","Download")</f>
        <v>0</v>
      </c>
      <c r="BQ98" s="3"/>
      <c r="BR98" s="3"/>
    </row>
    <row r="99" spans="1:70">
      <c r="A99" s="1" t="s">
        <v>70</v>
      </c>
      <c r="B99" s="1" t="s">
        <v>1269</v>
      </c>
      <c r="C99" s="1" t="s">
        <v>2228</v>
      </c>
      <c r="D99" s="1" t="s">
        <v>2229</v>
      </c>
      <c r="E99" s="1" t="s">
        <v>262</v>
      </c>
      <c r="F99" s="1" t="s">
        <v>2230</v>
      </c>
      <c r="G99" s="1" t="s">
        <v>2231</v>
      </c>
      <c r="H99" s="1" t="s">
        <v>2232</v>
      </c>
      <c r="I99" s="1" t="s">
        <v>2233</v>
      </c>
      <c r="J99" s="1">
        <v>9949077030</v>
      </c>
      <c r="K99" s="1" t="s">
        <v>79</v>
      </c>
      <c r="L99" s="1" t="s">
        <v>2234</v>
      </c>
      <c r="M99" s="1" t="s">
        <v>81</v>
      </c>
      <c r="N99" s="1" t="s">
        <v>2235</v>
      </c>
      <c r="O99" s="1"/>
      <c r="P99" s="1" t="s">
        <v>1278</v>
      </c>
      <c r="Q99" s="1" t="s">
        <v>2236</v>
      </c>
      <c r="R99" s="1" t="s">
        <v>2237</v>
      </c>
      <c r="S99" s="1">
        <v>8500236810</v>
      </c>
      <c r="T99" s="1" t="s">
        <v>2238</v>
      </c>
      <c r="U99" s="1" t="s">
        <v>2239</v>
      </c>
      <c r="V99" s="1">
        <v>9293926810</v>
      </c>
      <c r="W99" s="1" t="s">
        <v>156</v>
      </c>
      <c r="X99" s="1" t="s">
        <v>2240</v>
      </c>
      <c r="Y99" s="1" t="s">
        <v>2241</v>
      </c>
      <c r="Z99" s="1" t="s">
        <v>276</v>
      </c>
      <c r="AA99" s="1" t="s">
        <v>2240</v>
      </c>
      <c r="AB99" s="1" t="s">
        <v>2241</v>
      </c>
      <c r="AC99" s="1" t="s">
        <v>276</v>
      </c>
      <c r="AD99" s="1">
        <v>8.38</v>
      </c>
      <c r="AE99" s="1" t="s">
        <v>93</v>
      </c>
      <c r="AF99" s="1" t="s">
        <v>2242</v>
      </c>
      <c r="AG99" s="1" t="s">
        <v>2243</v>
      </c>
      <c r="AH99" s="1" t="s">
        <v>101</v>
      </c>
      <c r="AI99" s="1" t="s">
        <v>409</v>
      </c>
      <c r="AJ99" s="1">
        <v>100</v>
      </c>
      <c r="AK99" s="1">
        <v>10</v>
      </c>
      <c r="AL99" s="1" t="s">
        <v>2244</v>
      </c>
      <c r="AM99" s="1" t="s">
        <v>2245</v>
      </c>
      <c r="AN99" s="1" t="s">
        <v>433</v>
      </c>
      <c r="AO99" s="1" t="s">
        <v>504</v>
      </c>
      <c r="AP99" s="1">
        <v>92.6</v>
      </c>
      <c r="AQ99" s="1">
        <v>0</v>
      </c>
      <c r="AR99" s="1"/>
      <c r="AS99" s="1"/>
      <c r="AT99" s="1"/>
      <c r="AU99" s="1"/>
      <c r="AV99" s="1"/>
      <c r="AW99" s="1"/>
      <c r="AX99" s="1" t="s">
        <v>282</v>
      </c>
      <c r="AY99" s="1" t="s">
        <v>2246</v>
      </c>
      <c r="AZ99" s="1" t="s">
        <v>1131</v>
      </c>
      <c r="BA99" s="1" t="s">
        <v>1408</v>
      </c>
      <c r="BB99" s="1">
        <v>70.5</v>
      </c>
      <c r="BC99" s="1">
        <v>7.8</v>
      </c>
      <c r="BD99" s="1"/>
      <c r="BE99" s="1"/>
      <c r="BF99" s="1"/>
      <c r="BG99" s="1"/>
      <c r="BH99" s="1"/>
      <c r="BI99" s="1"/>
      <c r="BJ99" s="1" t="s">
        <v>2247</v>
      </c>
      <c r="BK99" s="1"/>
      <c r="BL99" s="1"/>
      <c r="BM99" s="1" t="s">
        <v>2248</v>
      </c>
      <c r="BN99" s="1">
        <v>39</v>
      </c>
      <c r="BO99" s="1"/>
      <c r="BP99" s="1" t="str">
        <f>HYPERLINK("https://nconnect.nicmar.ac.in/storage/profile/ProfilePhoto_P25700032_169785.jpg","Download")</f>
        <v>0</v>
      </c>
      <c r="BQ99" s="3"/>
      <c r="BR99" s="3"/>
    </row>
    <row r="100" spans="1:70">
      <c r="A100" s="1" t="s">
        <v>70</v>
      </c>
      <c r="B100" s="1" t="s">
        <v>1269</v>
      </c>
      <c r="C100" s="1" t="s">
        <v>2249</v>
      </c>
      <c r="D100" s="1" t="s">
        <v>2250</v>
      </c>
      <c r="E100" s="1" t="s">
        <v>596</v>
      </c>
      <c r="F100" s="1" t="s">
        <v>2251</v>
      </c>
      <c r="G100" s="1" t="s">
        <v>2252</v>
      </c>
      <c r="H100" s="1" t="s">
        <v>2253</v>
      </c>
      <c r="I100" s="1" t="s">
        <v>2254</v>
      </c>
      <c r="J100" s="1">
        <v>7093268002</v>
      </c>
      <c r="K100" s="1" t="s">
        <v>79</v>
      </c>
      <c r="L100" s="1" t="s">
        <v>2255</v>
      </c>
      <c r="M100" s="1" t="s">
        <v>81</v>
      </c>
      <c r="N100" s="1" t="s">
        <v>2256</v>
      </c>
      <c r="O100" s="1"/>
      <c r="P100" s="1" t="s">
        <v>1278</v>
      </c>
      <c r="Q100" s="1" t="s">
        <v>2257</v>
      </c>
      <c r="R100" s="1" t="s">
        <v>2258</v>
      </c>
      <c r="S100" s="1">
        <v>8247872975</v>
      </c>
      <c r="T100" s="1" t="s">
        <v>122</v>
      </c>
      <c r="U100" s="1" t="s">
        <v>2259</v>
      </c>
      <c r="V100" s="1">
        <v>7093268802</v>
      </c>
      <c r="W100" s="1" t="s">
        <v>273</v>
      </c>
      <c r="X100" s="1" t="s">
        <v>2260</v>
      </c>
      <c r="Y100" s="1" t="s">
        <v>2261</v>
      </c>
      <c r="Z100" s="1" t="s">
        <v>276</v>
      </c>
      <c r="AA100" s="1" t="s">
        <v>2260</v>
      </c>
      <c r="AB100" s="1" t="s">
        <v>2261</v>
      </c>
      <c r="AC100" s="1" t="s">
        <v>276</v>
      </c>
      <c r="AD100" s="1">
        <v>6.94</v>
      </c>
      <c r="AE100" s="1" t="s">
        <v>93</v>
      </c>
      <c r="AF100" s="1" t="s">
        <v>2262</v>
      </c>
      <c r="AG100" s="1" t="s">
        <v>2263</v>
      </c>
      <c r="AH100" s="1" t="s">
        <v>1307</v>
      </c>
      <c r="AI100" s="1" t="s">
        <v>409</v>
      </c>
      <c r="AJ100" s="1">
        <v>83</v>
      </c>
      <c r="AK100" s="1"/>
      <c r="AL100" s="1" t="s">
        <v>2264</v>
      </c>
      <c r="AM100" s="1" t="s">
        <v>2263</v>
      </c>
      <c r="AN100" s="1" t="s">
        <v>433</v>
      </c>
      <c r="AO100" s="1" t="s">
        <v>506</v>
      </c>
      <c r="AP100" s="1">
        <v>68.9</v>
      </c>
      <c r="AQ100" s="1"/>
      <c r="AR100" s="1"/>
      <c r="AS100" s="1"/>
      <c r="AT100" s="1"/>
      <c r="AU100" s="1"/>
      <c r="AV100" s="1"/>
      <c r="AW100" s="1"/>
      <c r="AX100" s="1" t="s">
        <v>2265</v>
      </c>
      <c r="AY100" s="1" t="s">
        <v>2266</v>
      </c>
      <c r="AZ100" s="1" t="s">
        <v>135</v>
      </c>
      <c r="BA100" s="1" t="s">
        <v>1361</v>
      </c>
      <c r="BB100" s="1">
        <v>60.13</v>
      </c>
      <c r="BC100" s="1">
        <v>6.33</v>
      </c>
      <c r="BD100" s="1"/>
      <c r="BE100" s="1"/>
      <c r="BF100" s="1"/>
      <c r="BG100" s="1"/>
      <c r="BH100" s="1"/>
      <c r="BI100" s="1"/>
      <c r="BJ100" s="1" t="s">
        <v>1383</v>
      </c>
      <c r="BK100" s="1"/>
      <c r="BL100" s="1"/>
      <c r="BM100" s="1" t="s">
        <v>2267</v>
      </c>
      <c r="BN100" s="1">
        <v>4</v>
      </c>
      <c r="BO100" s="1"/>
      <c r="BP100" s="1" t="str">
        <f>HYPERLINK("https://nconnect.nicmar.ac.in/storage/profile/ProfilePhoto_P25700033_798215.jpg","Download")</f>
        <v>0</v>
      </c>
      <c r="BQ100" s="3"/>
      <c r="BR100" s="3"/>
    </row>
    <row r="101" spans="1:70">
      <c r="A101" s="1" t="s">
        <v>70</v>
      </c>
      <c r="B101" s="1" t="s">
        <v>1269</v>
      </c>
      <c r="C101" s="1" t="s">
        <v>2268</v>
      </c>
      <c r="D101" s="1" t="s">
        <v>2269</v>
      </c>
      <c r="E101" s="1"/>
      <c r="F101" s="1" t="s">
        <v>2270</v>
      </c>
      <c r="G101" s="1" t="s">
        <v>2271</v>
      </c>
      <c r="H101" s="1" t="s">
        <v>2272</v>
      </c>
      <c r="I101" s="1" t="s">
        <v>2272</v>
      </c>
      <c r="J101" s="1">
        <v>8096844639</v>
      </c>
      <c r="K101" s="1" t="s">
        <v>79</v>
      </c>
      <c r="L101" s="1" t="s">
        <v>2273</v>
      </c>
      <c r="M101" s="1" t="s">
        <v>81</v>
      </c>
      <c r="N101" s="1" t="s">
        <v>2274</v>
      </c>
      <c r="O101" s="1"/>
      <c r="P101" s="1" t="s">
        <v>1278</v>
      </c>
      <c r="Q101" s="1" t="s">
        <v>2275</v>
      </c>
      <c r="R101" s="1" t="s">
        <v>2276</v>
      </c>
      <c r="S101" s="1">
        <v>7093092339</v>
      </c>
      <c r="T101" s="1" t="s">
        <v>154</v>
      </c>
      <c r="U101" s="1" t="s">
        <v>2277</v>
      </c>
      <c r="V101" s="1">
        <v>9133224388</v>
      </c>
      <c r="W101" s="1" t="s">
        <v>273</v>
      </c>
      <c r="X101" s="1" t="s">
        <v>2278</v>
      </c>
      <c r="Y101" s="1" t="s">
        <v>1150</v>
      </c>
      <c r="Z101" s="1" t="s">
        <v>276</v>
      </c>
      <c r="AA101" s="1" t="s">
        <v>2278</v>
      </c>
      <c r="AB101" s="1" t="s">
        <v>1150</v>
      </c>
      <c r="AC101" s="1" t="s">
        <v>276</v>
      </c>
      <c r="AD101" s="1">
        <v>7.95</v>
      </c>
      <c r="AE101" s="1" t="s">
        <v>93</v>
      </c>
      <c r="AF101" s="1" t="s">
        <v>2279</v>
      </c>
      <c r="AG101" s="1" t="s">
        <v>2280</v>
      </c>
      <c r="AH101" s="1" t="s">
        <v>1242</v>
      </c>
      <c r="AI101" s="1" t="s">
        <v>308</v>
      </c>
      <c r="AJ101" s="1">
        <v>81.8</v>
      </c>
      <c r="AK101" s="1"/>
      <c r="AL101" s="1" t="s">
        <v>2281</v>
      </c>
      <c r="AM101" s="1" t="s">
        <v>2282</v>
      </c>
      <c r="AN101" s="1" t="s">
        <v>433</v>
      </c>
      <c r="AO101" s="1" t="s">
        <v>506</v>
      </c>
      <c r="AP101" s="1">
        <v>81.9</v>
      </c>
      <c r="AQ101" s="1"/>
      <c r="AR101" s="1"/>
      <c r="AS101" s="1"/>
      <c r="AT101" s="1"/>
      <c r="AU101" s="1"/>
      <c r="AV101" s="1"/>
      <c r="AW101" s="1"/>
      <c r="AX101" s="1" t="s">
        <v>2265</v>
      </c>
      <c r="AY101" s="1" t="s">
        <v>2266</v>
      </c>
      <c r="AZ101" s="1" t="s">
        <v>135</v>
      </c>
      <c r="BA101" s="1" t="s">
        <v>1361</v>
      </c>
      <c r="BB101" s="1">
        <v>68.78</v>
      </c>
      <c r="BC101" s="1"/>
      <c r="BD101" s="1"/>
      <c r="BE101" s="1"/>
      <c r="BF101" s="1"/>
      <c r="BG101" s="1"/>
      <c r="BH101" s="1"/>
      <c r="BI101" s="1"/>
      <c r="BJ101" s="1" t="s">
        <v>2283</v>
      </c>
      <c r="BK101" s="1"/>
      <c r="BL101" s="1"/>
      <c r="BM101" s="1" t="s">
        <v>2284</v>
      </c>
      <c r="BN101" s="1">
        <v>4</v>
      </c>
      <c r="BO101" s="1"/>
      <c r="BP101" s="1" t="str">
        <f>HYPERLINK("https://nconnect.nicmar.ac.in/storage/profile/ProfilePhoto_P25700034_597426.jpg","Download")</f>
        <v>0</v>
      </c>
      <c r="BQ101" s="3"/>
      <c r="BR101" s="3"/>
    </row>
    <row r="102" spans="1:70">
      <c r="A102" s="1" t="s">
        <v>70</v>
      </c>
      <c r="B102" s="1" t="s">
        <v>1269</v>
      </c>
      <c r="C102" s="1" t="s">
        <v>2285</v>
      </c>
      <c r="D102" s="1" t="s">
        <v>2286</v>
      </c>
      <c r="E102" s="1" t="s">
        <v>2287</v>
      </c>
      <c r="F102" s="1" t="s">
        <v>2288</v>
      </c>
      <c r="G102" s="1" t="s">
        <v>2289</v>
      </c>
      <c r="H102" s="1" t="s">
        <v>2290</v>
      </c>
      <c r="I102" s="1" t="s">
        <v>2291</v>
      </c>
      <c r="J102" s="1">
        <v>8830930460</v>
      </c>
      <c r="K102" s="1" t="s">
        <v>148</v>
      </c>
      <c r="L102" s="1" t="s">
        <v>2292</v>
      </c>
      <c r="M102" s="1" t="s">
        <v>81</v>
      </c>
      <c r="N102" s="1" t="s">
        <v>2293</v>
      </c>
      <c r="O102" s="1"/>
      <c r="P102" s="1" t="s">
        <v>1278</v>
      </c>
      <c r="Q102" s="1" t="s">
        <v>2294</v>
      </c>
      <c r="R102" s="1" t="s">
        <v>2295</v>
      </c>
      <c r="S102" s="1">
        <v>9890128044</v>
      </c>
      <c r="T102" s="1" t="s">
        <v>120</v>
      </c>
      <c r="U102" s="1" t="s">
        <v>2296</v>
      </c>
      <c r="V102" s="1">
        <v>9673177796</v>
      </c>
      <c r="W102" s="1" t="s">
        <v>156</v>
      </c>
      <c r="X102" s="1" t="s">
        <v>2297</v>
      </c>
      <c r="Y102" s="1" t="s">
        <v>405</v>
      </c>
      <c r="Z102" s="1" t="s">
        <v>92</v>
      </c>
      <c r="AA102" s="1" t="s">
        <v>2297</v>
      </c>
      <c r="AB102" s="1" t="s">
        <v>405</v>
      </c>
      <c r="AC102" s="1" t="s">
        <v>92</v>
      </c>
      <c r="AD102" s="1">
        <v>7.99</v>
      </c>
      <c r="AE102" s="1" t="s">
        <v>93</v>
      </c>
      <c r="AF102" s="1" t="s">
        <v>2298</v>
      </c>
      <c r="AG102" s="1" t="s">
        <v>160</v>
      </c>
      <c r="AH102" s="1" t="s">
        <v>161</v>
      </c>
      <c r="AI102" s="1" t="s">
        <v>456</v>
      </c>
      <c r="AJ102" s="1">
        <v>89.2</v>
      </c>
      <c r="AK102" s="1"/>
      <c r="AL102" s="1" t="s">
        <v>2299</v>
      </c>
      <c r="AM102" s="1" t="s">
        <v>160</v>
      </c>
      <c r="AN102" s="1" t="s">
        <v>165</v>
      </c>
      <c r="AO102" s="1" t="s">
        <v>457</v>
      </c>
      <c r="AP102" s="1">
        <v>74.62</v>
      </c>
      <c r="AQ102" s="1"/>
      <c r="AR102" s="1"/>
      <c r="AS102" s="1"/>
      <c r="AT102" s="1"/>
      <c r="AU102" s="1"/>
      <c r="AV102" s="1"/>
      <c r="AW102" s="1"/>
      <c r="AX102" s="1" t="s">
        <v>410</v>
      </c>
      <c r="AY102" s="1" t="s">
        <v>2300</v>
      </c>
      <c r="AZ102" s="1" t="s">
        <v>636</v>
      </c>
      <c r="BA102" s="1" t="s">
        <v>229</v>
      </c>
      <c r="BB102" s="1">
        <v>74.2</v>
      </c>
      <c r="BC102" s="1">
        <v>8.17</v>
      </c>
      <c r="BD102" s="1"/>
      <c r="BE102" s="1"/>
      <c r="BF102" s="1"/>
      <c r="BG102" s="1"/>
      <c r="BH102" s="1"/>
      <c r="BI102" s="1"/>
      <c r="BJ102" s="1" t="s">
        <v>2301</v>
      </c>
      <c r="BK102" s="1" t="s">
        <v>2302</v>
      </c>
      <c r="BL102" s="1" t="s">
        <v>2303</v>
      </c>
      <c r="BM102" s="1" t="s">
        <v>2304</v>
      </c>
      <c r="BN102" s="1">
        <v>42</v>
      </c>
      <c r="BO102" s="1"/>
      <c r="BP102" s="1" t="str">
        <f>HYPERLINK("https://nconnect.nicmar.ac.in/storage/profile/ProfilePhoto_P25700035_724139.jpg","Download")</f>
        <v>0</v>
      </c>
      <c r="BQ102" s="3"/>
      <c r="BR102" s="3"/>
    </row>
    <row r="103" spans="1:70">
      <c r="A103" s="1" t="s">
        <v>70</v>
      </c>
      <c r="B103" s="1" t="s">
        <v>1269</v>
      </c>
      <c r="C103" s="1" t="s">
        <v>2305</v>
      </c>
      <c r="D103" s="1" t="s">
        <v>2306</v>
      </c>
      <c r="E103" s="1" t="s">
        <v>2307</v>
      </c>
      <c r="F103" s="1" t="s">
        <v>2308</v>
      </c>
      <c r="G103" s="1" t="s">
        <v>2309</v>
      </c>
      <c r="H103" s="1" t="s">
        <v>2310</v>
      </c>
      <c r="I103" s="1" t="s">
        <v>2311</v>
      </c>
      <c r="J103" s="1">
        <v>9443459000</v>
      </c>
      <c r="K103" s="1" t="s">
        <v>148</v>
      </c>
      <c r="L103" s="1" t="s">
        <v>2312</v>
      </c>
      <c r="M103" s="1" t="s">
        <v>81</v>
      </c>
      <c r="N103" s="1" t="s">
        <v>2313</v>
      </c>
      <c r="O103" s="1"/>
      <c r="P103" s="1" t="s">
        <v>1323</v>
      </c>
      <c r="Q103" s="1" t="s">
        <v>2314</v>
      </c>
      <c r="R103" s="1" t="s">
        <v>2315</v>
      </c>
      <c r="S103" s="1">
        <v>9840608107</v>
      </c>
      <c r="T103" s="1" t="s">
        <v>863</v>
      </c>
      <c r="U103" s="1" t="s">
        <v>2316</v>
      </c>
      <c r="V103" s="1">
        <v>9944222210</v>
      </c>
      <c r="W103" s="1" t="s">
        <v>89</v>
      </c>
      <c r="X103" s="1" t="s">
        <v>2317</v>
      </c>
      <c r="Y103" s="1" t="s">
        <v>2318</v>
      </c>
      <c r="Z103" s="1" t="s">
        <v>1377</v>
      </c>
      <c r="AA103" s="1" t="s">
        <v>2317</v>
      </c>
      <c r="AB103" s="1" t="s">
        <v>2318</v>
      </c>
      <c r="AC103" s="1" t="s">
        <v>1377</v>
      </c>
      <c r="AD103" s="1">
        <v>8.43</v>
      </c>
      <c r="AE103" s="1" t="s">
        <v>93</v>
      </c>
      <c r="AF103" s="1" t="s">
        <v>2319</v>
      </c>
      <c r="AG103" s="1" t="s">
        <v>2319</v>
      </c>
      <c r="AH103" s="1" t="s">
        <v>101</v>
      </c>
      <c r="AI103" s="1" t="s">
        <v>409</v>
      </c>
      <c r="AJ103" s="1">
        <v>79.2</v>
      </c>
      <c r="AK103" s="1"/>
      <c r="AL103" s="1" t="s">
        <v>2319</v>
      </c>
      <c r="AM103" s="1" t="s">
        <v>2319</v>
      </c>
      <c r="AN103" s="1" t="s">
        <v>173</v>
      </c>
      <c r="AO103" s="1" t="s">
        <v>504</v>
      </c>
      <c r="AP103" s="1">
        <v>84.83</v>
      </c>
      <c r="AQ103" s="1"/>
      <c r="AR103" s="1"/>
      <c r="AS103" s="1"/>
      <c r="AT103" s="1"/>
      <c r="AU103" s="1"/>
      <c r="AV103" s="1"/>
      <c r="AW103" s="1"/>
      <c r="AX103" s="1" t="s">
        <v>1381</v>
      </c>
      <c r="AY103" s="1" t="s">
        <v>2320</v>
      </c>
      <c r="AZ103" s="1" t="s">
        <v>1407</v>
      </c>
      <c r="BA103" s="1" t="s">
        <v>1361</v>
      </c>
      <c r="BB103" s="1">
        <v>75.1</v>
      </c>
      <c r="BC103" s="1"/>
      <c r="BD103" s="1"/>
      <c r="BE103" s="1"/>
      <c r="BF103" s="1"/>
      <c r="BG103" s="1"/>
      <c r="BH103" s="1"/>
      <c r="BI103" s="1"/>
      <c r="BJ103" s="1" t="s">
        <v>2321</v>
      </c>
      <c r="BK103" s="1"/>
      <c r="BL103" s="1"/>
      <c r="BM103" s="1" t="s">
        <v>2322</v>
      </c>
      <c r="BN103" s="1">
        <v>4</v>
      </c>
      <c r="BO103" s="1" t="s">
        <v>2323</v>
      </c>
      <c r="BP103" s="1" t="str">
        <f>HYPERLINK("https://nconnect.nicmar.ac.in/storage/profile/ProfilePhoto_P25700036_987541.jpg","Download")</f>
        <v>0</v>
      </c>
      <c r="BQ103" s="3"/>
      <c r="BR103" s="3"/>
    </row>
    <row r="104" spans="1:70">
      <c r="A104" s="1" t="s">
        <v>70</v>
      </c>
      <c r="B104" s="1" t="s">
        <v>1269</v>
      </c>
      <c r="C104" s="1" t="s">
        <v>2324</v>
      </c>
      <c r="D104" s="1" t="s">
        <v>2325</v>
      </c>
      <c r="E104" s="1" t="s">
        <v>2326</v>
      </c>
      <c r="F104" s="1" t="s">
        <v>2327</v>
      </c>
      <c r="G104" s="1" t="s">
        <v>2328</v>
      </c>
      <c r="H104" s="1" t="s">
        <v>2329</v>
      </c>
      <c r="I104" s="1" t="s">
        <v>2330</v>
      </c>
      <c r="J104" s="1">
        <v>9325957968</v>
      </c>
      <c r="K104" s="1" t="s">
        <v>79</v>
      </c>
      <c r="L104" s="1" t="s">
        <v>2331</v>
      </c>
      <c r="M104" s="1" t="s">
        <v>81</v>
      </c>
      <c r="N104" s="1" t="s">
        <v>1765</v>
      </c>
      <c r="O104" s="1"/>
      <c r="P104" s="1" t="s">
        <v>1278</v>
      </c>
      <c r="Q104" s="1" t="s">
        <v>2332</v>
      </c>
      <c r="R104" s="1" t="s">
        <v>2326</v>
      </c>
      <c r="S104" s="1">
        <v>8767123108</v>
      </c>
      <c r="T104" s="1" t="s">
        <v>2333</v>
      </c>
      <c r="U104" s="1" t="s">
        <v>2334</v>
      </c>
      <c r="V104" s="1">
        <v>9665373615</v>
      </c>
      <c r="W104" s="1" t="s">
        <v>156</v>
      </c>
      <c r="X104" s="1" t="s">
        <v>2335</v>
      </c>
      <c r="Y104" s="1" t="s">
        <v>379</v>
      </c>
      <c r="Z104" s="1" t="s">
        <v>92</v>
      </c>
      <c r="AA104" s="1" t="s">
        <v>2335</v>
      </c>
      <c r="AB104" s="1" t="s">
        <v>379</v>
      </c>
      <c r="AC104" s="1" t="s">
        <v>92</v>
      </c>
      <c r="AD104" s="1" t="s">
        <v>93</v>
      </c>
      <c r="AE104" s="1" t="s">
        <v>93</v>
      </c>
      <c r="AF104" s="1" t="s">
        <v>2336</v>
      </c>
      <c r="AG104" s="1" t="s">
        <v>2337</v>
      </c>
      <c r="AH104" s="1" t="s">
        <v>161</v>
      </c>
      <c r="AI104" s="1" t="s">
        <v>456</v>
      </c>
      <c r="AJ104" s="1">
        <v>85.2</v>
      </c>
      <c r="AK104" s="1"/>
      <c r="AL104" s="1" t="s">
        <v>2338</v>
      </c>
      <c r="AM104" s="1" t="s">
        <v>2339</v>
      </c>
      <c r="AN104" s="1" t="s">
        <v>383</v>
      </c>
      <c r="AO104" s="1" t="s">
        <v>457</v>
      </c>
      <c r="AP104" s="1">
        <v>72.15</v>
      </c>
      <c r="AQ104" s="1"/>
      <c r="AR104" s="1"/>
      <c r="AS104" s="1"/>
      <c r="AT104" s="1"/>
      <c r="AU104" s="1"/>
      <c r="AV104" s="1"/>
      <c r="AW104" s="1"/>
      <c r="AX104" s="1" t="s">
        <v>2340</v>
      </c>
      <c r="AY104" s="1" t="s">
        <v>2341</v>
      </c>
      <c r="AZ104" s="1" t="s">
        <v>169</v>
      </c>
      <c r="BA104" s="1" t="s">
        <v>105</v>
      </c>
      <c r="BB104" s="1">
        <v>74.2</v>
      </c>
      <c r="BC104" s="1">
        <v>7.92</v>
      </c>
      <c r="BD104" s="1"/>
      <c r="BE104" s="1"/>
      <c r="BF104" s="1"/>
      <c r="BG104" s="1"/>
      <c r="BH104" s="1"/>
      <c r="BI104" s="1"/>
      <c r="BJ104" s="1" t="s">
        <v>2342</v>
      </c>
      <c r="BK104" s="1"/>
      <c r="BL104" s="1"/>
      <c r="BM104" s="1" t="s">
        <v>2343</v>
      </c>
      <c r="BN104" s="1">
        <v>25</v>
      </c>
      <c r="BO104" s="1"/>
      <c r="BP104" s="1" t="str">
        <f>HYPERLINK("https://nconnect.nicmar.ac.in/storage/profile/ProfilePhoto_P25700037_381245.jpg","Download")</f>
        <v>0</v>
      </c>
      <c r="BQ104" s="3"/>
      <c r="BR104" s="3"/>
    </row>
    <row r="105" spans="1:70">
      <c r="A105" s="1" t="s">
        <v>70</v>
      </c>
      <c r="B105" s="1" t="s">
        <v>1269</v>
      </c>
      <c r="C105" s="1" t="s">
        <v>2344</v>
      </c>
      <c r="D105" s="1" t="s">
        <v>2345</v>
      </c>
      <c r="E105" s="1" t="s">
        <v>392</v>
      </c>
      <c r="F105" s="1" t="s">
        <v>2346</v>
      </c>
      <c r="G105" s="1" t="s">
        <v>2347</v>
      </c>
      <c r="H105" s="1" t="s">
        <v>2348</v>
      </c>
      <c r="I105" s="1" t="s">
        <v>2349</v>
      </c>
      <c r="J105" s="1">
        <v>9503975050</v>
      </c>
      <c r="K105" s="1" t="s">
        <v>79</v>
      </c>
      <c r="L105" s="1" t="s">
        <v>2350</v>
      </c>
      <c r="M105" s="1" t="s">
        <v>81</v>
      </c>
      <c r="N105" s="1" t="s">
        <v>1418</v>
      </c>
      <c r="O105" s="1"/>
      <c r="P105" s="1" t="s">
        <v>1298</v>
      </c>
      <c r="Q105" s="1" t="s">
        <v>2351</v>
      </c>
      <c r="R105" s="1" t="s">
        <v>2352</v>
      </c>
      <c r="S105" s="1">
        <v>9822941138</v>
      </c>
      <c r="T105" s="1" t="s">
        <v>216</v>
      </c>
      <c r="U105" s="1" t="s">
        <v>2353</v>
      </c>
      <c r="V105" s="1">
        <v>9767223937</v>
      </c>
      <c r="W105" s="1" t="s">
        <v>216</v>
      </c>
      <c r="X105" s="1" t="s">
        <v>2354</v>
      </c>
      <c r="Y105" s="1" t="s">
        <v>405</v>
      </c>
      <c r="Z105" s="1" t="s">
        <v>92</v>
      </c>
      <c r="AA105" s="1" t="s">
        <v>2354</v>
      </c>
      <c r="AB105" s="1" t="s">
        <v>405</v>
      </c>
      <c r="AC105" s="1" t="s">
        <v>92</v>
      </c>
      <c r="AD105" s="1">
        <v>7.82</v>
      </c>
      <c r="AE105" s="1" t="s">
        <v>93</v>
      </c>
      <c r="AF105" s="1" t="s">
        <v>2355</v>
      </c>
      <c r="AG105" s="1" t="s">
        <v>2356</v>
      </c>
      <c r="AH105" s="1" t="s">
        <v>1307</v>
      </c>
      <c r="AI105" s="1" t="s">
        <v>433</v>
      </c>
      <c r="AJ105" s="1">
        <v>75.8</v>
      </c>
      <c r="AK105" s="1"/>
      <c r="AL105" s="1" t="s">
        <v>2357</v>
      </c>
      <c r="AM105" s="1" t="s">
        <v>2358</v>
      </c>
      <c r="AN105" s="1" t="s">
        <v>699</v>
      </c>
      <c r="AO105" s="1" t="s">
        <v>1712</v>
      </c>
      <c r="AP105" s="1">
        <v>90.33</v>
      </c>
      <c r="AQ105" s="1"/>
      <c r="AR105" s="1"/>
      <c r="AS105" s="1"/>
      <c r="AT105" s="1"/>
      <c r="AU105" s="1"/>
      <c r="AV105" s="1"/>
      <c r="AW105" s="1"/>
      <c r="AX105" s="1" t="s">
        <v>410</v>
      </c>
      <c r="AY105" s="1" t="s">
        <v>2359</v>
      </c>
      <c r="AZ105" s="1" t="s">
        <v>1131</v>
      </c>
      <c r="BA105" s="1" t="s">
        <v>1714</v>
      </c>
      <c r="BB105" s="1">
        <v>68.62</v>
      </c>
      <c r="BC105" s="1">
        <v>7.61</v>
      </c>
      <c r="BD105" s="1"/>
      <c r="BE105" s="1"/>
      <c r="BF105" s="1"/>
      <c r="BG105" s="1"/>
      <c r="BH105" s="1"/>
      <c r="BI105" s="1"/>
      <c r="BJ105" s="1" t="s">
        <v>2360</v>
      </c>
      <c r="BK105" s="1"/>
      <c r="BL105" s="1"/>
      <c r="BM105" s="1" t="s">
        <v>2361</v>
      </c>
      <c r="BN105" s="1">
        <v>24</v>
      </c>
      <c r="BO105" s="1"/>
      <c r="BP105" s="1" t="str">
        <f>HYPERLINK("https://nconnect.nicmar.ac.in/storage/profile/ProfilePhoto_P25700038_471395.jpg","Download")</f>
        <v>0</v>
      </c>
      <c r="BQ105" s="3"/>
      <c r="BR105" s="3"/>
    </row>
    <row r="106" spans="1:70">
      <c r="A106" s="1" t="s">
        <v>70</v>
      </c>
      <c r="B106" s="1" t="s">
        <v>1269</v>
      </c>
      <c r="C106" s="1" t="s">
        <v>2362</v>
      </c>
      <c r="D106" s="1" t="s">
        <v>2108</v>
      </c>
      <c r="E106" s="1" t="s">
        <v>2363</v>
      </c>
      <c r="F106" s="1" t="s">
        <v>2364</v>
      </c>
      <c r="G106" s="1" t="s">
        <v>2365</v>
      </c>
      <c r="H106" s="1" t="s">
        <v>2366</v>
      </c>
      <c r="I106" s="1" t="s">
        <v>2367</v>
      </c>
      <c r="J106" s="1">
        <v>9401658598</v>
      </c>
      <c r="K106" s="1" t="s">
        <v>79</v>
      </c>
      <c r="L106" s="1" t="s">
        <v>2368</v>
      </c>
      <c r="M106" s="1" t="s">
        <v>81</v>
      </c>
      <c r="N106" s="1" t="s">
        <v>2369</v>
      </c>
      <c r="O106" s="1"/>
      <c r="P106" s="1" t="s">
        <v>1278</v>
      </c>
      <c r="Q106" s="1" t="s">
        <v>2370</v>
      </c>
      <c r="R106" s="1" t="s">
        <v>2371</v>
      </c>
      <c r="S106" s="1">
        <v>9706049288</v>
      </c>
      <c r="T106" s="1" t="s">
        <v>674</v>
      </c>
      <c r="U106" s="1" t="s">
        <v>2372</v>
      </c>
      <c r="V106" s="1">
        <v>9435149288</v>
      </c>
      <c r="W106" s="1" t="s">
        <v>89</v>
      </c>
      <c r="X106" s="1" t="s">
        <v>2373</v>
      </c>
      <c r="Y106" s="1" t="s">
        <v>2374</v>
      </c>
      <c r="Z106" s="1" t="s">
        <v>2375</v>
      </c>
      <c r="AA106" s="1" t="s">
        <v>2373</v>
      </c>
      <c r="AB106" s="1" t="s">
        <v>2374</v>
      </c>
      <c r="AC106" s="1" t="s">
        <v>2375</v>
      </c>
      <c r="AD106" s="1">
        <v>8.84</v>
      </c>
      <c r="AE106" s="1" t="s">
        <v>93</v>
      </c>
      <c r="AF106" s="1" t="s">
        <v>2376</v>
      </c>
      <c r="AG106" s="1" t="s">
        <v>2377</v>
      </c>
      <c r="AH106" s="1" t="s">
        <v>1197</v>
      </c>
      <c r="AI106" s="1" t="s">
        <v>131</v>
      </c>
      <c r="AJ106" s="1">
        <v>81.7</v>
      </c>
      <c r="AK106" s="1">
        <v>8.6</v>
      </c>
      <c r="AL106" s="1" t="s">
        <v>2376</v>
      </c>
      <c r="AM106" s="1" t="s">
        <v>2377</v>
      </c>
      <c r="AN106" s="1" t="s">
        <v>527</v>
      </c>
      <c r="AO106" s="1" t="s">
        <v>479</v>
      </c>
      <c r="AP106" s="1">
        <v>83.33</v>
      </c>
      <c r="AQ106" s="1">
        <v>0</v>
      </c>
      <c r="AR106" s="1"/>
      <c r="AS106" s="1"/>
      <c r="AT106" s="1"/>
      <c r="AU106" s="1"/>
      <c r="AV106" s="1"/>
      <c r="AW106" s="1"/>
      <c r="AX106" s="1" t="s">
        <v>2378</v>
      </c>
      <c r="AY106" s="1" t="s">
        <v>2379</v>
      </c>
      <c r="AZ106" s="1" t="s">
        <v>225</v>
      </c>
      <c r="BA106" s="1" t="s">
        <v>1003</v>
      </c>
      <c r="BB106" s="1">
        <v>80.9</v>
      </c>
      <c r="BC106" s="1">
        <v>8.09</v>
      </c>
      <c r="BD106" s="1"/>
      <c r="BE106" s="1"/>
      <c r="BF106" s="1"/>
      <c r="BG106" s="1"/>
      <c r="BH106" s="1"/>
      <c r="BI106" s="1"/>
      <c r="BJ106" s="1" t="s">
        <v>2380</v>
      </c>
      <c r="BK106" s="1" t="s">
        <v>2381</v>
      </c>
      <c r="BL106" s="1" t="s">
        <v>2382</v>
      </c>
      <c r="BM106" s="1" t="s">
        <v>2383</v>
      </c>
      <c r="BN106" s="1">
        <v>25</v>
      </c>
      <c r="BO106" s="1"/>
      <c r="BP106" s="1" t="str">
        <f>HYPERLINK("https://nconnect.nicmar.ac.in/storage/profile/ProfilePhoto_P25700039_852764.jpg","Download")</f>
        <v>0</v>
      </c>
      <c r="BQ106" s="3"/>
      <c r="BR106" s="3"/>
    </row>
    <row r="107" spans="1:70">
      <c r="A107" s="1" t="s">
        <v>70</v>
      </c>
      <c r="B107" s="1" t="s">
        <v>1269</v>
      </c>
      <c r="C107" s="1" t="s">
        <v>2384</v>
      </c>
      <c r="D107" s="1" t="s">
        <v>2385</v>
      </c>
      <c r="E107" s="1"/>
      <c r="F107" s="1" t="s">
        <v>2386</v>
      </c>
      <c r="G107" s="1" t="s">
        <v>2387</v>
      </c>
      <c r="H107" s="1" t="s">
        <v>2388</v>
      </c>
      <c r="I107" s="1" t="s">
        <v>2389</v>
      </c>
      <c r="J107" s="1">
        <v>8908946303</v>
      </c>
      <c r="K107" s="1" t="s">
        <v>148</v>
      </c>
      <c r="L107" s="1" t="s">
        <v>2390</v>
      </c>
      <c r="M107" s="1" t="s">
        <v>81</v>
      </c>
      <c r="N107" s="1" t="s">
        <v>2391</v>
      </c>
      <c r="O107" s="1"/>
      <c r="P107" s="1" t="s">
        <v>1298</v>
      </c>
      <c r="Q107" s="1" t="s">
        <v>2392</v>
      </c>
      <c r="R107" s="1" t="s">
        <v>2393</v>
      </c>
      <c r="S107" s="1">
        <v>9938577168</v>
      </c>
      <c r="T107" s="1" t="s">
        <v>120</v>
      </c>
      <c r="U107" s="1" t="s">
        <v>2394</v>
      </c>
      <c r="V107" s="1">
        <v>9938139502</v>
      </c>
      <c r="W107" s="1" t="s">
        <v>2395</v>
      </c>
      <c r="X107" s="1" t="s">
        <v>2396</v>
      </c>
      <c r="Y107" s="1" t="s">
        <v>2096</v>
      </c>
      <c r="Z107" s="1" t="s">
        <v>1731</v>
      </c>
      <c r="AA107" s="1" t="s">
        <v>2396</v>
      </c>
      <c r="AB107" s="1" t="s">
        <v>2096</v>
      </c>
      <c r="AC107" s="1" t="s">
        <v>1731</v>
      </c>
      <c r="AD107" s="1">
        <v>8.63</v>
      </c>
      <c r="AE107" s="1" t="s">
        <v>93</v>
      </c>
      <c r="AF107" s="1" t="s">
        <v>2397</v>
      </c>
      <c r="AG107" s="1" t="s">
        <v>2398</v>
      </c>
      <c r="AH107" s="1" t="s">
        <v>128</v>
      </c>
      <c r="AI107" s="1" t="s">
        <v>129</v>
      </c>
      <c r="AJ107" s="1">
        <v>91.2</v>
      </c>
      <c r="AK107" s="1">
        <v>9.6</v>
      </c>
      <c r="AL107" s="1" t="s">
        <v>2399</v>
      </c>
      <c r="AM107" s="1" t="s">
        <v>2400</v>
      </c>
      <c r="AN107" s="1" t="s">
        <v>2401</v>
      </c>
      <c r="AO107" s="1" t="s">
        <v>161</v>
      </c>
      <c r="AP107" s="1">
        <v>68.33</v>
      </c>
      <c r="AQ107" s="1"/>
      <c r="AR107" s="1"/>
      <c r="AS107" s="1"/>
      <c r="AT107" s="1"/>
      <c r="AU107" s="1"/>
      <c r="AV107" s="1"/>
      <c r="AW107" s="1"/>
      <c r="AX107" s="1" t="s">
        <v>2402</v>
      </c>
      <c r="AY107" s="1" t="s">
        <v>2402</v>
      </c>
      <c r="AZ107" s="1" t="s">
        <v>225</v>
      </c>
      <c r="BA107" s="1" t="s">
        <v>481</v>
      </c>
      <c r="BB107" s="1">
        <v>62.5</v>
      </c>
      <c r="BC107" s="1">
        <v>6.75</v>
      </c>
      <c r="BD107" s="1" t="s">
        <v>2402</v>
      </c>
      <c r="BE107" s="1" t="s">
        <v>2403</v>
      </c>
      <c r="BF107" s="1" t="s">
        <v>225</v>
      </c>
      <c r="BG107" s="1" t="s">
        <v>481</v>
      </c>
      <c r="BH107" s="1">
        <v>79.8</v>
      </c>
      <c r="BI107" s="1">
        <v>8.39</v>
      </c>
      <c r="BJ107" s="1" t="s">
        <v>2404</v>
      </c>
      <c r="BK107" s="1"/>
      <c r="BL107" s="1"/>
      <c r="BM107" s="1" t="s">
        <v>2405</v>
      </c>
      <c r="BN107" s="1">
        <v>60</v>
      </c>
      <c r="BO107" s="1"/>
      <c r="BP107" s="1" t="str">
        <f>HYPERLINK("https://nconnect.nicmar.ac.in/storage/profile/ProfilePhoto_P25700041_954768.jpg","Download")</f>
        <v>0</v>
      </c>
      <c r="BQ107" s="3"/>
      <c r="BR107" s="3"/>
    </row>
    <row r="108" spans="1:70">
      <c r="A108" s="1" t="s">
        <v>70</v>
      </c>
      <c r="B108" s="1" t="s">
        <v>1269</v>
      </c>
      <c r="C108" s="1" t="s">
        <v>2406</v>
      </c>
      <c r="D108" s="1" t="s">
        <v>2407</v>
      </c>
      <c r="E108" s="1"/>
      <c r="F108" s="1" t="s">
        <v>111</v>
      </c>
      <c r="G108" s="1" t="s">
        <v>2408</v>
      </c>
      <c r="H108" s="1" t="s">
        <v>2409</v>
      </c>
      <c r="I108" s="1" t="s">
        <v>2410</v>
      </c>
      <c r="J108" s="1">
        <v>9422648317</v>
      </c>
      <c r="K108" s="1" t="s">
        <v>148</v>
      </c>
      <c r="L108" s="1" t="s">
        <v>2411</v>
      </c>
      <c r="M108" s="1" t="s">
        <v>81</v>
      </c>
      <c r="N108" s="1" t="s">
        <v>2412</v>
      </c>
      <c r="O108" s="1"/>
      <c r="P108" s="1" t="s">
        <v>1298</v>
      </c>
      <c r="Q108" s="1" t="s">
        <v>2413</v>
      </c>
      <c r="R108" s="1" t="s">
        <v>2414</v>
      </c>
      <c r="S108" s="1">
        <v>8446177702</v>
      </c>
      <c r="T108" s="1" t="s">
        <v>763</v>
      </c>
      <c r="U108" s="1" t="s">
        <v>2415</v>
      </c>
      <c r="V108" s="1">
        <v>9404289015</v>
      </c>
      <c r="W108" s="1" t="s">
        <v>651</v>
      </c>
      <c r="X108" s="1" t="s">
        <v>2416</v>
      </c>
      <c r="Y108" s="1" t="s">
        <v>158</v>
      </c>
      <c r="Z108" s="1" t="s">
        <v>92</v>
      </c>
      <c r="AA108" s="1" t="s">
        <v>2416</v>
      </c>
      <c r="AB108" s="1" t="s">
        <v>158</v>
      </c>
      <c r="AC108" s="1" t="s">
        <v>92</v>
      </c>
      <c r="AD108" s="1">
        <v>8.79</v>
      </c>
      <c r="AE108" s="1" t="s">
        <v>93</v>
      </c>
      <c r="AF108" s="1" t="s">
        <v>2417</v>
      </c>
      <c r="AG108" s="1" t="s">
        <v>750</v>
      </c>
      <c r="AH108" s="1" t="s">
        <v>2418</v>
      </c>
      <c r="AI108" s="1" t="s">
        <v>161</v>
      </c>
      <c r="AJ108" s="1">
        <v>94</v>
      </c>
      <c r="AK108" s="1"/>
      <c r="AL108" s="1" t="s">
        <v>2419</v>
      </c>
      <c r="AM108" s="1" t="s">
        <v>750</v>
      </c>
      <c r="AN108" s="1" t="s">
        <v>161</v>
      </c>
      <c r="AO108" s="1" t="s">
        <v>479</v>
      </c>
      <c r="AP108" s="1">
        <v>91.1</v>
      </c>
      <c r="AQ108" s="1"/>
      <c r="AR108" s="1"/>
      <c r="AS108" s="1"/>
      <c r="AT108" s="1"/>
      <c r="AU108" s="1"/>
      <c r="AV108" s="1"/>
      <c r="AW108" s="1"/>
      <c r="AX108" s="1" t="s">
        <v>2420</v>
      </c>
      <c r="AY108" s="1" t="s">
        <v>2421</v>
      </c>
      <c r="AZ108" s="1" t="s">
        <v>225</v>
      </c>
      <c r="BA108" s="1" t="s">
        <v>1131</v>
      </c>
      <c r="BB108" s="1">
        <v>75.09</v>
      </c>
      <c r="BC108" s="1">
        <v>8.91</v>
      </c>
      <c r="BD108" s="1" t="s">
        <v>2422</v>
      </c>
      <c r="BE108" s="1" t="s">
        <v>2403</v>
      </c>
      <c r="BF108" s="1" t="s">
        <v>436</v>
      </c>
      <c r="BG108" s="1" t="s">
        <v>174</v>
      </c>
      <c r="BH108" s="1">
        <v>81.57</v>
      </c>
      <c r="BI108" s="1">
        <v>9.08</v>
      </c>
      <c r="BJ108" s="1" t="s">
        <v>2423</v>
      </c>
      <c r="BK108" s="1" t="s">
        <v>2424</v>
      </c>
      <c r="BL108" s="1" t="s">
        <v>2019</v>
      </c>
      <c r="BM108" s="1" t="s">
        <v>2425</v>
      </c>
      <c r="BN108" s="1">
        <v>60</v>
      </c>
      <c r="BO108" s="1"/>
      <c r="BP108" s="1" t="str">
        <f>HYPERLINK("https://nconnect.nicmar.ac.in/storage/profile/ProfilePhoto_P25700042_851493.jpg","Download")</f>
        <v>0</v>
      </c>
      <c r="BQ108" s="3"/>
      <c r="BR108" s="3"/>
    </row>
    <row r="109" spans="1:70">
      <c r="A109" s="1" t="s">
        <v>70</v>
      </c>
      <c r="B109" s="1" t="s">
        <v>1269</v>
      </c>
      <c r="C109" s="1" t="s">
        <v>2426</v>
      </c>
      <c r="D109" s="1" t="s">
        <v>2427</v>
      </c>
      <c r="E109" s="1" t="s">
        <v>2428</v>
      </c>
      <c r="F109" s="1" t="s">
        <v>2024</v>
      </c>
      <c r="G109" s="1" t="s">
        <v>2429</v>
      </c>
      <c r="H109" s="1" t="s">
        <v>2430</v>
      </c>
      <c r="I109" s="1" t="s">
        <v>2431</v>
      </c>
      <c r="J109" s="1">
        <v>9019547321</v>
      </c>
      <c r="K109" s="1" t="s">
        <v>148</v>
      </c>
      <c r="L109" s="1" t="s">
        <v>2432</v>
      </c>
      <c r="M109" s="1" t="s">
        <v>81</v>
      </c>
      <c r="N109" s="1" t="s">
        <v>2433</v>
      </c>
      <c r="O109" s="1"/>
      <c r="P109" s="1" t="s">
        <v>1323</v>
      </c>
      <c r="Q109" s="1" t="s">
        <v>2434</v>
      </c>
      <c r="R109" s="1" t="s">
        <v>2435</v>
      </c>
      <c r="S109" s="1">
        <v>9845254251</v>
      </c>
      <c r="T109" s="1" t="s">
        <v>910</v>
      </c>
      <c r="U109" s="1" t="s">
        <v>2436</v>
      </c>
      <c r="V109" s="1">
        <v>9880954991</v>
      </c>
      <c r="W109" s="1" t="s">
        <v>651</v>
      </c>
      <c r="X109" s="1" t="s">
        <v>2437</v>
      </c>
      <c r="Y109" s="1" t="s">
        <v>2438</v>
      </c>
      <c r="Z109" s="1" t="s">
        <v>1084</v>
      </c>
      <c r="AA109" s="1" t="s">
        <v>2437</v>
      </c>
      <c r="AB109" s="1" t="s">
        <v>2438</v>
      </c>
      <c r="AC109" s="1" t="s">
        <v>1084</v>
      </c>
      <c r="AD109" s="1">
        <v>8.92</v>
      </c>
      <c r="AE109" s="1" t="s">
        <v>93</v>
      </c>
      <c r="AF109" s="1" t="s">
        <v>501</v>
      </c>
      <c r="AG109" s="1" t="s">
        <v>307</v>
      </c>
      <c r="AH109" s="1" t="s">
        <v>131</v>
      </c>
      <c r="AI109" s="1" t="s">
        <v>456</v>
      </c>
      <c r="AJ109" s="1">
        <v>87.4</v>
      </c>
      <c r="AK109" s="1"/>
      <c r="AL109" s="1" t="s">
        <v>2439</v>
      </c>
      <c r="AM109" s="1" t="s">
        <v>2440</v>
      </c>
      <c r="AN109" s="1" t="s">
        <v>162</v>
      </c>
      <c r="AO109" s="1" t="s">
        <v>101</v>
      </c>
      <c r="AP109" s="1">
        <v>70.66</v>
      </c>
      <c r="AQ109" s="1"/>
      <c r="AR109" s="1"/>
      <c r="AS109" s="1"/>
      <c r="AT109" s="1"/>
      <c r="AU109" s="1"/>
      <c r="AV109" s="1"/>
      <c r="AW109" s="1"/>
      <c r="AX109" s="1" t="s">
        <v>2441</v>
      </c>
      <c r="AY109" s="1" t="s">
        <v>2442</v>
      </c>
      <c r="AZ109" s="1" t="s">
        <v>169</v>
      </c>
      <c r="BA109" s="1" t="s">
        <v>229</v>
      </c>
      <c r="BB109" s="1">
        <v>66.9</v>
      </c>
      <c r="BC109" s="1"/>
      <c r="BD109" s="1"/>
      <c r="BE109" s="1"/>
      <c r="BF109" s="1"/>
      <c r="BG109" s="1"/>
      <c r="BH109" s="1"/>
      <c r="BI109" s="1"/>
      <c r="BJ109" s="1" t="s">
        <v>2443</v>
      </c>
      <c r="BK109" s="1" t="s">
        <v>2444</v>
      </c>
      <c r="BL109" s="1" t="s">
        <v>2019</v>
      </c>
      <c r="BM109" s="1" t="s">
        <v>2445</v>
      </c>
      <c r="BN109" s="1">
        <v>17</v>
      </c>
      <c r="BO109" s="1"/>
      <c r="BP109" s="1" t="str">
        <f>HYPERLINK("https://nconnect.nicmar.ac.in/storage/profile/ProfilePhoto_P25700043_197362.jpg","Download")</f>
        <v>0</v>
      </c>
      <c r="BQ109" s="3"/>
      <c r="BR109" s="3"/>
    </row>
    <row r="110" spans="1:70">
      <c r="A110" s="1" t="s">
        <v>70</v>
      </c>
      <c r="B110" s="1" t="s">
        <v>1269</v>
      </c>
      <c r="C110" s="1" t="s">
        <v>2446</v>
      </c>
      <c r="D110" s="1" t="s">
        <v>2447</v>
      </c>
      <c r="E110" s="1" t="s">
        <v>2308</v>
      </c>
      <c r="F110" s="1" t="s">
        <v>2448</v>
      </c>
      <c r="G110" s="1" t="s">
        <v>2449</v>
      </c>
      <c r="H110" s="1" t="s">
        <v>2450</v>
      </c>
      <c r="I110" s="1" t="s">
        <v>2451</v>
      </c>
      <c r="J110" s="1">
        <v>9447652134</v>
      </c>
      <c r="K110" s="1" t="s">
        <v>79</v>
      </c>
      <c r="L110" s="1" t="s">
        <v>2452</v>
      </c>
      <c r="M110" s="1" t="s">
        <v>81</v>
      </c>
      <c r="N110" s="1" t="s">
        <v>2453</v>
      </c>
      <c r="O110" s="1"/>
      <c r="P110" s="1" t="s">
        <v>1278</v>
      </c>
      <c r="Q110" s="1" t="s">
        <v>2454</v>
      </c>
      <c r="R110" s="1" t="s">
        <v>2455</v>
      </c>
      <c r="S110" s="1">
        <v>9447396900</v>
      </c>
      <c r="T110" s="1" t="s">
        <v>842</v>
      </c>
      <c r="U110" s="1" t="s">
        <v>2456</v>
      </c>
      <c r="V110" s="1">
        <v>9207595826</v>
      </c>
      <c r="W110" s="1" t="s">
        <v>122</v>
      </c>
      <c r="X110" s="1" t="s">
        <v>2457</v>
      </c>
      <c r="Y110" s="1" t="s">
        <v>1491</v>
      </c>
      <c r="Z110" s="1" t="s">
        <v>125</v>
      </c>
      <c r="AA110" s="1" t="s">
        <v>2457</v>
      </c>
      <c r="AB110" s="1" t="s">
        <v>1491</v>
      </c>
      <c r="AC110" s="1" t="s">
        <v>125</v>
      </c>
      <c r="AD110" s="1">
        <v>8.57</v>
      </c>
      <c r="AE110" s="1" t="s">
        <v>93</v>
      </c>
      <c r="AF110" s="1" t="s">
        <v>2458</v>
      </c>
      <c r="AG110" s="1" t="s">
        <v>1493</v>
      </c>
      <c r="AH110" s="1" t="s">
        <v>165</v>
      </c>
      <c r="AI110" s="1" t="s">
        <v>166</v>
      </c>
      <c r="AJ110" s="1">
        <v>91</v>
      </c>
      <c r="AK110" s="1"/>
      <c r="AL110" s="1" t="s">
        <v>2458</v>
      </c>
      <c r="AM110" s="1" t="s">
        <v>1493</v>
      </c>
      <c r="AN110" s="1" t="s">
        <v>433</v>
      </c>
      <c r="AO110" s="1" t="s">
        <v>173</v>
      </c>
      <c r="AP110" s="1">
        <v>89.2</v>
      </c>
      <c r="AQ110" s="1"/>
      <c r="AR110" s="1"/>
      <c r="AS110" s="1"/>
      <c r="AT110" s="1"/>
      <c r="AU110" s="1"/>
      <c r="AV110" s="1"/>
      <c r="AW110" s="1"/>
      <c r="AX110" s="1" t="s">
        <v>2459</v>
      </c>
      <c r="AY110" s="1" t="s">
        <v>2460</v>
      </c>
      <c r="AZ110" s="1" t="s">
        <v>2461</v>
      </c>
      <c r="BA110" s="1" t="s">
        <v>1938</v>
      </c>
      <c r="BB110" s="1">
        <v>76.6</v>
      </c>
      <c r="BC110" s="1"/>
      <c r="BD110" s="1"/>
      <c r="BE110" s="1"/>
      <c r="BF110" s="1"/>
      <c r="BG110" s="1"/>
      <c r="BH110" s="1"/>
      <c r="BI110" s="1"/>
      <c r="BJ110" s="1" t="s">
        <v>1383</v>
      </c>
      <c r="BK110" s="1"/>
      <c r="BL110" s="1"/>
      <c r="BM110" s="1" t="s">
        <v>2462</v>
      </c>
      <c r="BN110" s="1">
        <v>9</v>
      </c>
      <c r="BO110" s="1"/>
      <c r="BP110" s="1" t="str">
        <f>HYPERLINK("https://nconnect.nicmar.ac.in/storage/profile/ProfilePhoto_P25700044_489275.jpg","Download")</f>
        <v>0</v>
      </c>
      <c r="BQ110" s="3"/>
      <c r="BR110" s="3"/>
    </row>
    <row r="111" spans="1:70">
      <c r="A111" s="1" t="s">
        <v>70</v>
      </c>
      <c r="B111" s="1" t="s">
        <v>1269</v>
      </c>
      <c r="C111" s="1" t="s">
        <v>2463</v>
      </c>
      <c r="D111" s="1" t="s">
        <v>2464</v>
      </c>
      <c r="E111" s="1"/>
      <c r="F111" s="1" t="s">
        <v>2465</v>
      </c>
      <c r="G111" s="1" t="s">
        <v>2466</v>
      </c>
      <c r="H111" s="1" t="s">
        <v>2467</v>
      </c>
      <c r="I111" s="1" t="s">
        <v>2468</v>
      </c>
      <c r="J111" s="1">
        <v>9746445008</v>
      </c>
      <c r="K111" s="1" t="s">
        <v>79</v>
      </c>
      <c r="L111" s="1" t="s">
        <v>2469</v>
      </c>
      <c r="M111" s="1" t="s">
        <v>81</v>
      </c>
      <c r="N111" s="1" t="s">
        <v>2470</v>
      </c>
      <c r="O111" s="1"/>
      <c r="P111" s="1" t="s">
        <v>1278</v>
      </c>
      <c r="Q111" s="1" t="s">
        <v>2471</v>
      </c>
      <c r="R111" s="1" t="s">
        <v>2472</v>
      </c>
      <c r="S111" s="1">
        <v>9744517376</v>
      </c>
      <c r="T111" s="1" t="s">
        <v>496</v>
      </c>
      <c r="U111" s="1" t="s">
        <v>2473</v>
      </c>
      <c r="V111" s="1">
        <v>9744517376</v>
      </c>
      <c r="W111" s="1" t="s">
        <v>156</v>
      </c>
      <c r="X111" s="1" t="s">
        <v>2474</v>
      </c>
      <c r="Y111" s="1" t="s">
        <v>124</v>
      </c>
      <c r="Z111" s="1" t="s">
        <v>125</v>
      </c>
      <c r="AA111" s="1" t="s">
        <v>2474</v>
      </c>
      <c r="AB111" s="1" t="s">
        <v>124</v>
      </c>
      <c r="AC111" s="1" t="s">
        <v>125</v>
      </c>
      <c r="AD111" s="1">
        <v>8.26</v>
      </c>
      <c r="AE111" s="1" t="s">
        <v>93</v>
      </c>
      <c r="AF111" s="1" t="s">
        <v>2475</v>
      </c>
      <c r="AG111" s="1" t="s">
        <v>2476</v>
      </c>
      <c r="AH111" s="1" t="s">
        <v>162</v>
      </c>
      <c r="AI111" s="1" t="s">
        <v>165</v>
      </c>
      <c r="AJ111" s="1">
        <v>91.2</v>
      </c>
      <c r="AK111" s="1">
        <v>9.6</v>
      </c>
      <c r="AL111" s="1" t="s">
        <v>2475</v>
      </c>
      <c r="AM111" s="1" t="s">
        <v>2476</v>
      </c>
      <c r="AN111" s="1" t="s">
        <v>166</v>
      </c>
      <c r="AO111" s="1" t="s">
        <v>308</v>
      </c>
      <c r="AP111" s="1">
        <v>77.6</v>
      </c>
      <c r="AQ111" s="1">
        <v>8.17</v>
      </c>
      <c r="AR111" s="1"/>
      <c r="AS111" s="1"/>
      <c r="AT111" s="1"/>
      <c r="AU111" s="1"/>
      <c r="AV111" s="1"/>
      <c r="AW111" s="1"/>
      <c r="AX111" s="1" t="s">
        <v>2477</v>
      </c>
      <c r="AY111" s="1" t="s">
        <v>2478</v>
      </c>
      <c r="AZ111" s="1" t="s">
        <v>412</v>
      </c>
      <c r="BA111" s="1" t="s">
        <v>413</v>
      </c>
      <c r="BB111" s="1">
        <v>71.3</v>
      </c>
      <c r="BC111" s="1">
        <v>7.13</v>
      </c>
      <c r="BD111" s="1"/>
      <c r="BE111" s="1"/>
      <c r="BF111" s="1"/>
      <c r="BG111" s="1"/>
      <c r="BH111" s="1"/>
      <c r="BI111" s="1"/>
      <c r="BJ111" s="1" t="s">
        <v>255</v>
      </c>
      <c r="BK111" s="1"/>
      <c r="BL111" s="1"/>
      <c r="BM111" s="1" t="s">
        <v>2479</v>
      </c>
      <c r="BN111" s="1">
        <v>8</v>
      </c>
      <c r="BO111" s="1" t="s">
        <v>2480</v>
      </c>
      <c r="BP111" s="1" t="str">
        <f>HYPERLINK("https://nconnect.nicmar.ac.in/storage/profile/ProfilePhoto_P25700045_159487.jpg","Download")</f>
        <v>0</v>
      </c>
      <c r="BQ111" s="3"/>
      <c r="BR111" s="3"/>
    </row>
    <row r="112" spans="1:70">
      <c r="A112" s="1" t="s">
        <v>70</v>
      </c>
      <c r="B112" s="1" t="s">
        <v>1269</v>
      </c>
      <c r="C112" s="1" t="s">
        <v>2481</v>
      </c>
      <c r="D112" s="1" t="s">
        <v>2482</v>
      </c>
      <c r="E112" s="1" t="s">
        <v>2483</v>
      </c>
      <c r="F112" s="1" t="s">
        <v>2484</v>
      </c>
      <c r="G112" s="1" t="s">
        <v>2485</v>
      </c>
      <c r="H112" s="1" t="s">
        <v>2486</v>
      </c>
      <c r="I112" s="1" t="s">
        <v>2487</v>
      </c>
      <c r="J112" s="1">
        <v>9545927573</v>
      </c>
      <c r="K112" s="1" t="s">
        <v>148</v>
      </c>
      <c r="L112" s="1" t="s">
        <v>2488</v>
      </c>
      <c r="M112" s="1" t="s">
        <v>81</v>
      </c>
      <c r="N112" s="1" t="s">
        <v>2008</v>
      </c>
      <c r="O112" s="1"/>
      <c r="P112" s="1" t="s">
        <v>1323</v>
      </c>
      <c r="Q112" s="1" t="s">
        <v>2489</v>
      </c>
      <c r="R112" s="1" t="s">
        <v>2490</v>
      </c>
      <c r="S112" s="1">
        <v>9579424990</v>
      </c>
      <c r="T112" s="1" t="s">
        <v>496</v>
      </c>
      <c r="U112" s="1" t="s">
        <v>2491</v>
      </c>
      <c r="V112" s="1">
        <v>9673653672</v>
      </c>
      <c r="W112" s="1" t="s">
        <v>2492</v>
      </c>
      <c r="X112" s="1" t="s">
        <v>2493</v>
      </c>
      <c r="Y112" s="1" t="s">
        <v>191</v>
      </c>
      <c r="Z112" s="1" t="s">
        <v>92</v>
      </c>
      <c r="AA112" s="1" t="s">
        <v>2493</v>
      </c>
      <c r="AB112" s="1" t="s">
        <v>191</v>
      </c>
      <c r="AC112" s="1" t="s">
        <v>92</v>
      </c>
      <c r="AD112" s="1">
        <v>8.59</v>
      </c>
      <c r="AE112" s="1" t="s">
        <v>93</v>
      </c>
      <c r="AF112" s="1" t="s">
        <v>2494</v>
      </c>
      <c r="AG112" s="1" t="s">
        <v>2495</v>
      </c>
      <c r="AH112" s="1" t="s">
        <v>162</v>
      </c>
      <c r="AI112" s="1" t="s">
        <v>195</v>
      </c>
      <c r="AJ112" s="1">
        <v>86.6</v>
      </c>
      <c r="AK112" s="1"/>
      <c r="AL112" s="1"/>
      <c r="AM112" s="1"/>
      <c r="AN112" s="1"/>
      <c r="AO112" s="1"/>
      <c r="AP112" s="1"/>
      <c r="AQ112" s="1"/>
      <c r="AR112" s="1" t="s">
        <v>98</v>
      </c>
      <c r="AS112" s="1" t="s">
        <v>2496</v>
      </c>
      <c r="AT112" s="1" t="s">
        <v>225</v>
      </c>
      <c r="AU112" s="1" t="s">
        <v>412</v>
      </c>
      <c r="AV112" s="1">
        <v>84.38</v>
      </c>
      <c r="AW112" s="1">
        <v>8.9</v>
      </c>
      <c r="AX112" s="1" t="s">
        <v>361</v>
      </c>
      <c r="AY112" s="1" t="s">
        <v>2497</v>
      </c>
      <c r="AZ112" s="1" t="s">
        <v>363</v>
      </c>
      <c r="BA112" s="1" t="s">
        <v>682</v>
      </c>
      <c r="BB112" s="1">
        <v>73.07</v>
      </c>
      <c r="BC112" s="1">
        <v>8.21</v>
      </c>
      <c r="BD112" s="1"/>
      <c r="BE112" s="1"/>
      <c r="BF112" s="1"/>
      <c r="BG112" s="1"/>
      <c r="BH112" s="1"/>
      <c r="BI112" s="1"/>
      <c r="BJ112" s="1" t="s">
        <v>2080</v>
      </c>
      <c r="BK112" s="1" t="s">
        <v>2498</v>
      </c>
      <c r="BL112" s="1" t="s">
        <v>1385</v>
      </c>
      <c r="BM112" s="1" t="s">
        <v>2499</v>
      </c>
      <c r="BN112" s="1">
        <v>4</v>
      </c>
      <c r="BO112" s="1"/>
      <c r="BP112" s="1" t="str">
        <f>HYPERLINK("https://nconnect.nicmar.ac.in/storage/profile/ProfilePhoto_P25700046_792813.jpg","Download")</f>
        <v>0</v>
      </c>
      <c r="BQ112" s="3"/>
      <c r="BR112" s="3"/>
    </row>
    <row r="113" spans="1:70">
      <c r="A113" s="1" t="s">
        <v>70</v>
      </c>
      <c r="B113" s="1" t="s">
        <v>1269</v>
      </c>
      <c r="C113" s="1" t="s">
        <v>2500</v>
      </c>
      <c r="D113" s="1" t="s">
        <v>1875</v>
      </c>
      <c r="E113" s="1"/>
      <c r="F113" s="1" t="s">
        <v>345</v>
      </c>
      <c r="G113" s="1" t="s">
        <v>2501</v>
      </c>
      <c r="H113" s="1" t="s">
        <v>2502</v>
      </c>
      <c r="I113" s="1" t="s">
        <v>2503</v>
      </c>
      <c r="J113" s="1">
        <v>8168493770</v>
      </c>
      <c r="K113" s="1" t="s">
        <v>79</v>
      </c>
      <c r="L113" s="1" t="s">
        <v>2504</v>
      </c>
      <c r="M113" s="1" t="s">
        <v>81</v>
      </c>
      <c r="N113" s="1" t="s">
        <v>82</v>
      </c>
      <c r="O113" s="1"/>
      <c r="P113" s="1" t="s">
        <v>2505</v>
      </c>
      <c r="Q113" s="1" t="s">
        <v>2506</v>
      </c>
      <c r="R113" s="1" t="s">
        <v>2507</v>
      </c>
      <c r="S113" s="1">
        <v>9596992288</v>
      </c>
      <c r="T113" s="1" t="s">
        <v>2508</v>
      </c>
      <c r="U113" s="1" t="s">
        <v>2509</v>
      </c>
      <c r="V113" s="1">
        <v>7006547114</v>
      </c>
      <c r="W113" s="1" t="s">
        <v>156</v>
      </c>
      <c r="X113" s="1" t="s">
        <v>2510</v>
      </c>
      <c r="Y113" s="1" t="s">
        <v>2511</v>
      </c>
      <c r="Z113" s="1" t="s">
        <v>719</v>
      </c>
      <c r="AA113" s="1" t="s">
        <v>2510</v>
      </c>
      <c r="AB113" s="1" t="s">
        <v>2511</v>
      </c>
      <c r="AC113" s="1" t="s">
        <v>719</v>
      </c>
      <c r="AD113" s="1">
        <v>7.67</v>
      </c>
      <c r="AE113" s="1" t="s">
        <v>93</v>
      </c>
      <c r="AF113" s="1" t="s">
        <v>2512</v>
      </c>
      <c r="AG113" s="1" t="s">
        <v>1665</v>
      </c>
      <c r="AH113" s="1" t="s">
        <v>279</v>
      </c>
      <c r="AI113" s="1" t="s">
        <v>165</v>
      </c>
      <c r="AJ113" s="1">
        <v>66.5</v>
      </c>
      <c r="AK113" s="1">
        <v>7</v>
      </c>
      <c r="AL113" s="1" t="s">
        <v>2513</v>
      </c>
      <c r="AM113" s="1" t="s">
        <v>1665</v>
      </c>
      <c r="AN113" s="1" t="s">
        <v>1065</v>
      </c>
      <c r="AO113" s="1" t="s">
        <v>173</v>
      </c>
      <c r="AP113" s="1">
        <v>67.2</v>
      </c>
      <c r="AQ113" s="1"/>
      <c r="AR113" s="1"/>
      <c r="AS113" s="1"/>
      <c r="AT113" s="1"/>
      <c r="AU113" s="1"/>
      <c r="AV113" s="1"/>
      <c r="AW113" s="1"/>
      <c r="AX113" s="1" t="s">
        <v>2514</v>
      </c>
      <c r="AY113" s="1" t="s">
        <v>2514</v>
      </c>
      <c r="AZ113" s="1" t="s">
        <v>681</v>
      </c>
      <c r="BA113" s="1" t="s">
        <v>202</v>
      </c>
      <c r="BB113" s="1">
        <v>66.33</v>
      </c>
      <c r="BC113" s="1">
        <v>7.06</v>
      </c>
      <c r="BD113" s="1"/>
      <c r="BE113" s="1"/>
      <c r="BF113" s="1"/>
      <c r="BG113" s="1"/>
      <c r="BH113" s="1"/>
      <c r="BI113" s="1"/>
      <c r="BJ113" s="1" t="s">
        <v>2515</v>
      </c>
      <c r="BK113" s="1"/>
      <c r="BL113" s="1"/>
      <c r="BM113" s="1" t="s">
        <v>2516</v>
      </c>
      <c r="BN113" s="1">
        <v>27</v>
      </c>
      <c r="BO113" s="1"/>
      <c r="BP113" s="1" t="str">
        <f>HYPERLINK("https://nconnect.nicmar.ac.in/storage/profile/6a64976dc8482.png","Download")</f>
        <v>0</v>
      </c>
      <c r="BQ113" s="3"/>
      <c r="BR113" s="3"/>
    </row>
    <row r="114" spans="1:70">
      <c r="A114" s="1" t="s">
        <v>70</v>
      </c>
      <c r="B114" s="1" t="s">
        <v>1269</v>
      </c>
      <c r="C114" s="1" t="s">
        <v>2517</v>
      </c>
      <c r="D114" s="1" t="s">
        <v>2518</v>
      </c>
      <c r="E114" s="1"/>
      <c r="F114" s="1" t="s">
        <v>2519</v>
      </c>
      <c r="G114" s="1" t="s">
        <v>2520</v>
      </c>
      <c r="H114" s="1" t="s">
        <v>2521</v>
      </c>
      <c r="I114" s="1" t="s">
        <v>2522</v>
      </c>
      <c r="J114" s="1">
        <v>8135049350</v>
      </c>
      <c r="K114" s="1" t="s">
        <v>148</v>
      </c>
      <c r="L114" s="1" t="s">
        <v>2523</v>
      </c>
      <c r="M114" s="1" t="s">
        <v>81</v>
      </c>
      <c r="N114" s="1" t="s">
        <v>2524</v>
      </c>
      <c r="O114" s="1"/>
      <c r="P114" s="1" t="s">
        <v>1278</v>
      </c>
      <c r="Q114" s="1" t="s">
        <v>2525</v>
      </c>
      <c r="R114" s="1" t="s">
        <v>2526</v>
      </c>
      <c r="S114" s="1">
        <v>9435038726</v>
      </c>
      <c r="T114" s="1" t="s">
        <v>496</v>
      </c>
      <c r="U114" s="1" t="s">
        <v>2527</v>
      </c>
      <c r="V114" s="1">
        <v>9954414709</v>
      </c>
      <c r="W114" s="1" t="s">
        <v>156</v>
      </c>
      <c r="X114" s="1" t="s">
        <v>2528</v>
      </c>
      <c r="Y114" s="1" t="s">
        <v>2529</v>
      </c>
      <c r="Z114" s="1" t="s">
        <v>2375</v>
      </c>
      <c r="AA114" s="1" t="s">
        <v>2528</v>
      </c>
      <c r="AB114" s="1" t="s">
        <v>2529</v>
      </c>
      <c r="AC114" s="1" t="s">
        <v>2375</v>
      </c>
      <c r="AD114" s="1">
        <v>8.46</v>
      </c>
      <c r="AE114" s="1" t="s">
        <v>93</v>
      </c>
      <c r="AF114" s="1" t="s">
        <v>2530</v>
      </c>
      <c r="AG114" s="1" t="s">
        <v>2531</v>
      </c>
      <c r="AH114" s="1" t="s">
        <v>279</v>
      </c>
      <c r="AI114" s="1" t="s">
        <v>165</v>
      </c>
      <c r="AJ114" s="1">
        <v>93.1</v>
      </c>
      <c r="AK114" s="1">
        <v>9.8</v>
      </c>
      <c r="AL114" s="1" t="s">
        <v>2530</v>
      </c>
      <c r="AM114" s="1" t="s">
        <v>2531</v>
      </c>
      <c r="AN114" s="1" t="s">
        <v>1307</v>
      </c>
      <c r="AO114" s="1" t="s">
        <v>308</v>
      </c>
      <c r="AP114" s="1">
        <v>71.4</v>
      </c>
      <c r="AQ114" s="1"/>
      <c r="AR114" s="1"/>
      <c r="AS114" s="1"/>
      <c r="AT114" s="1"/>
      <c r="AU114" s="1"/>
      <c r="AV114" s="1"/>
      <c r="AW114" s="1"/>
      <c r="AX114" s="1" t="s">
        <v>2532</v>
      </c>
      <c r="AY114" s="1" t="s">
        <v>2533</v>
      </c>
      <c r="AZ114" s="1" t="s">
        <v>310</v>
      </c>
      <c r="BA114" s="1" t="s">
        <v>386</v>
      </c>
      <c r="BB114" s="1">
        <v>81.7</v>
      </c>
      <c r="BC114" s="1">
        <v>8.17</v>
      </c>
      <c r="BD114" s="1"/>
      <c r="BE114" s="1"/>
      <c r="BF114" s="1"/>
      <c r="BG114" s="1"/>
      <c r="BH114" s="1"/>
      <c r="BI114" s="1"/>
      <c r="BJ114" s="1" t="s">
        <v>2534</v>
      </c>
      <c r="BK114" s="1"/>
      <c r="BL114" s="1"/>
      <c r="BM114" s="1" t="s">
        <v>2535</v>
      </c>
      <c r="BN114" s="1">
        <v>11</v>
      </c>
      <c r="BO114" s="1"/>
      <c r="BP114" s="1" t="str">
        <f>HYPERLINK("https://nconnect.nicmar.ac.in/storage/profile/ProfilePhoto_P25700049_267981.jpg","Download")</f>
        <v>0</v>
      </c>
      <c r="BQ114" s="3"/>
      <c r="BR114" s="3"/>
    </row>
    <row r="115" spans="1:70">
      <c r="A115" s="1" t="s">
        <v>70</v>
      </c>
      <c r="B115" s="1" t="s">
        <v>1269</v>
      </c>
      <c r="C115" s="1" t="s">
        <v>2536</v>
      </c>
      <c r="D115" s="1" t="s">
        <v>2537</v>
      </c>
      <c r="E115" s="1"/>
      <c r="F115" s="1" t="s">
        <v>2538</v>
      </c>
      <c r="G115" s="1" t="s">
        <v>2539</v>
      </c>
      <c r="H115" s="1" t="s">
        <v>2540</v>
      </c>
      <c r="I115" s="1" t="s">
        <v>2541</v>
      </c>
      <c r="J115" s="1">
        <v>9953867449</v>
      </c>
      <c r="K115" s="1" t="s">
        <v>148</v>
      </c>
      <c r="L115" s="1" t="s">
        <v>2542</v>
      </c>
      <c r="M115" s="1" t="s">
        <v>81</v>
      </c>
      <c r="N115" s="1" t="s">
        <v>2543</v>
      </c>
      <c r="O115" s="1"/>
      <c r="P115" s="1" t="s">
        <v>1298</v>
      </c>
      <c r="Q115" s="1" t="s">
        <v>2544</v>
      </c>
      <c r="R115" s="1" t="s">
        <v>2545</v>
      </c>
      <c r="S115" s="1">
        <v>9873002807</v>
      </c>
      <c r="T115" s="1" t="s">
        <v>496</v>
      </c>
      <c r="U115" s="1" t="s">
        <v>2546</v>
      </c>
      <c r="V115" s="1">
        <v>9953205356</v>
      </c>
      <c r="W115" s="1" t="s">
        <v>156</v>
      </c>
      <c r="X115" s="1" t="s">
        <v>2547</v>
      </c>
      <c r="Y115" s="1" t="s">
        <v>2548</v>
      </c>
      <c r="Z115" s="1" t="s">
        <v>722</v>
      </c>
      <c r="AA115" s="1" t="s">
        <v>2547</v>
      </c>
      <c r="AB115" s="1" t="s">
        <v>2548</v>
      </c>
      <c r="AC115" s="1" t="s">
        <v>722</v>
      </c>
      <c r="AD115" s="1">
        <v>8.56</v>
      </c>
      <c r="AE115" s="1" t="s">
        <v>93</v>
      </c>
      <c r="AF115" s="1" t="s">
        <v>2549</v>
      </c>
      <c r="AG115" s="1" t="s">
        <v>2550</v>
      </c>
      <c r="AH115" s="1" t="s">
        <v>503</v>
      </c>
      <c r="AI115" s="1" t="s">
        <v>527</v>
      </c>
      <c r="AJ115" s="1">
        <v>85.5</v>
      </c>
      <c r="AK115" s="1">
        <v>9</v>
      </c>
      <c r="AL115" s="1" t="s">
        <v>2549</v>
      </c>
      <c r="AM115" s="1" t="s">
        <v>2550</v>
      </c>
      <c r="AN115" s="1" t="s">
        <v>678</v>
      </c>
      <c r="AO115" s="1" t="s">
        <v>166</v>
      </c>
      <c r="AP115" s="1">
        <v>74.9</v>
      </c>
      <c r="AQ115" s="1"/>
      <c r="AR115" s="1"/>
      <c r="AS115" s="1"/>
      <c r="AT115" s="1"/>
      <c r="AU115" s="1"/>
      <c r="AV115" s="1"/>
      <c r="AW115" s="1"/>
      <c r="AX115" s="1" t="s">
        <v>2551</v>
      </c>
      <c r="AY115" s="1" t="s">
        <v>2552</v>
      </c>
      <c r="AZ115" s="1" t="s">
        <v>636</v>
      </c>
      <c r="BA115" s="1" t="s">
        <v>174</v>
      </c>
      <c r="BB115" s="1">
        <v>73.88</v>
      </c>
      <c r="BC115" s="1">
        <v>7.52</v>
      </c>
      <c r="BD115" s="1"/>
      <c r="BE115" s="1"/>
      <c r="BF115" s="1"/>
      <c r="BG115" s="1"/>
      <c r="BH115" s="1"/>
      <c r="BI115" s="1"/>
      <c r="BJ115" s="1" t="s">
        <v>2553</v>
      </c>
      <c r="BK115" s="1" t="s">
        <v>2554</v>
      </c>
      <c r="BL115" s="1" t="s">
        <v>1543</v>
      </c>
      <c r="BM115" s="1" t="s">
        <v>2555</v>
      </c>
      <c r="BN115" s="1">
        <v>15</v>
      </c>
      <c r="BO115" s="1" t="s">
        <v>2556</v>
      </c>
      <c r="BP115" s="1" t="str">
        <f>HYPERLINK("https://nconnect.nicmar.ac.in/storage/profile/ProfilePhoto_P25700050_627491.jpg","Download")</f>
        <v>0</v>
      </c>
      <c r="BQ115" s="3"/>
      <c r="BR115" s="3"/>
    </row>
    <row r="116" spans="1:70">
      <c r="A116" s="1" t="s">
        <v>70</v>
      </c>
      <c r="B116" s="1" t="s">
        <v>1269</v>
      </c>
      <c r="C116" s="1" t="s">
        <v>2557</v>
      </c>
      <c r="D116" s="1" t="s">
        <v>650</v>
      </c>
      <c r="E116" s="1" t="s">
        <v>2558</v>
      </c>
      <c r="F116" s="1" t="s">
        <v>2559</v>
      </c>
      <c r="G116" s="1" t="s">
        <v>2560</v>
      </c>
      <c r="H116" s="1" t="s">
        <v>2561</v>
      </c>
      <c r="I116" s="1" t="s">
        <v>2562</v>
      </c>
      <c r="J116" s="1">
        <v>8766820151</v>
      </c>
      <c r="K116" s="1" t="s">
        <v>148</v>
      </c>
      <c r="L116" s="1" t="s">
        <v>2563</v>
      </c>
      <c r="M116" s="1" t="s">
        <v>81</v>
      </c>
      <c r="N116" s="1" t="s">
        <v>2008</v>
      </c>
      <c r="O116" s="1"/>
      <c r="P116" s="1" t="s">
        <v>1323</v>
      </c>
      <c r="Q116" s="1" t="s">
        <v>2564</v>
      </c>
      <c r="R116" s="1" t="s">
        <v>2565</v>
      </c>
      <c r="S116" s="1">
        <v>9423461680</v>
      </c>
      <c r="T116" s="1" t="s">
        <v>2566</v>
      </c>
      <c r="U116" s="1" t="s">
        <v>2567</v>
      </c>
      <c r="V116" s="1">
        <v>9423783625</v>
      </c>
      <c r="W116" s="1" t="s">
        <v>89</v>
      </c>
      <c r="X116" s="1" t="s">
        <v>2568</v>
      </c>
      <c r="Y116" s="1" t="s">
        <v>1174</v>
      </c>
      <c r="Z116" s="1" t="s">
        <v>92</v>
      </c>
      <c r="AA116" s="1" t="s">
        <v>2568</v>
      </c>
      <c r="AB116" s="1" t="s">
        <v>1174</v>
      </c>
      <c r="AC116" s="1" t="s">
        <v>92</v>
      </c>
      <c r="AD116" s="1">
        <v>8.31</v>
      </c>
      <c r="AE116" s="1" t="s">
        <v>93</v>
      </c>
      <c r="AF116" s="1" t="s">
        <v>2569</v>
      </c>
      <c r="AG116" s="1" t="s">
        <v>2570</v>
      </c>
      <c r="AH116" s="1" t="s">
        <v>678</v>
      </c>
      <c r="AI116" s="1" t="s">
        <v>166</v>
      </c>
      <c r="AJ116" s="1">
        <v>81.6</v>
      </c>
      <c r="AK116" s="1"/>
      <c r="AL116" s="1"/>
      <c r="AM116" s="1"/>
      <c r="AN116" s="1"/>
      <c r="AO116" s="1"/>
      <c r="AP116" s="1"/>
      <c r="AQ116" s="1"/>
      <c r="AR116" s="1" t="s">
        <v>434</v>
      </c>
      <c r="AS116" s="1" t="s">
        <v>2571</v>
      </c>
      <c r="AT116" s="1" t="s">
        <v>169</v>
      </c>
      <c r="AU116" s="1" t="s">
        <v>436</v>
      </c>
      <c r="AV116" s="1">
        <v>93.05</v>
      </c>
      <c r="AW116" s="1"/>
      <c r="AX116" s="1" t="s">
        <v>2572</v>
      </c>
      <c r="AY116" s="1" t="s">
        <v>2572</v>
      </c>
      <c r="AZ116" s="1" t="s">
        <v>506</v>
      </c>
      <c r="BA116" s="1" t="s">
        <v>202</v>
      </c>
      <c r="BB116" s="1">
        <v>80.2</v>
      </c>
      <c r="BC116" s="1">
        <v>8.77</v>
      </c>
      <c r="BD116" s="1"/>
      <c r="BE116" s="1"/>
      <c r="BF116" s="1"/>
      <c r="BG116" s="1"/>
      <c r="BH116" s="1"/>
      <c r="BI116" s="1"/>
      <c r="BJ116" s="1" t="s">
        <v>2573</v>
      </c>
      <c r="BK116" s="1"/>
      <c r="BL116" s="1"/>
      <c r="BM116" s="1" t="s">
        <v>2574</v>
      </c>
      <c r="BN116" s="1">
        <v>51</v>
      </c>
      <c r="BO116" s="1" t="s">
        <v>2575</v>
      </c>
      <c r="BP116" s="1" t="str">
        <f>HYPERLINK("https://nconnect.nicmar.ac.in/storage/profile/ProfilePhoto_P25700051_624359.jpg","Download")</f>
        <v>0</v>
      </c>
      <c r="BQ116" s="3"/>
      <c r="BR116" s="3"/>
    </row>
    <row r="117" spans="1:70">
      <c r="A117" s="1" t="s">
        <v>70</v>
      </c>
      <c r="B117" s="1" t="s">
        <v>1269</v>
      </c>
      <c r="C117" s="1" t="s">
        <v>2576</v>
      </c>
      <c r="D117" s="1" t="s">
        <v>2577</v>
      </c>
      <c r="E117" s="1"/>
      <c r="F117" s="1" t="s">
        <v>2578</v>
      </c>
      <c r="G117" s="1" t="s">
        <v>2579</v>
      </c>
      <c r="H117" s="1" t="s">
        <v>2580</v>
      </c>
      <c r="I117" s="1" t="s">
        <v>2581</v>
      </c>
      <c r="J117" s="1">
        <v>7887567049</v>
      </c>
      <c r="K117" s="1" t="s">
        <v>79</v>
      </c>
      <c r="L117" s="1" t="s">
        <v>2582</v>
      </c>
      <c r="M117" s="1" t="s">
        <v>81</v>
      </c>
      <c r="N117" s="1" t="s">
        <v>2008</v>
      </c>
      <c r="O117" s="1"/>
      <c r="P117" s="1" t="s">
        <v>1323</v>
      </c>
      <c r="Q117" s="1" t="s">
        <v>2583</v>
      </c>
      <c r="R117" s="1" t="s">
        <v>2584</v>
      </c>
      <c r="S117" s="1">
        <v>7424005005</v>
      </c>
      <c r="T117" s="1" t="s">
        <v>496</v>
      </c>
      <c r="U117" s="1" t="s">
        <v>2585</v>
      </c>
      <c r="V117" s="1">
        <v>8850223501</v>
      </c>
      <c r="W117" s="1" t="s">
        <v>156</v>
      </c>
      <c r="X117" s="1" t="s">
        <v>2586</v>
      </c>
      <c r="Y117" s="1" t="s">
        <v>523</v>
      </c>
      <c r="Z117" s="1" t="s">
        <v>92</v>
      </c>
      <c r="AA117" s="1" t="s">
        <v>2586</v>
      </c>
      <c r="AB117" s="1" t="s">
        <v>523</v>
      </c>
      <c r="AC117" s="1" t="s">
        <v>92</v>
      </c>
      <c r="AD117" s="1">
        <v>7.48</v>
      </c>
      <c r="AE117" s="1" t="s">
        <v>93</v>
      </c>
      <c r="AF117" s="1" t="s">
        <v>2587</v>
      </c>
      <c r="AG117" s="1" t="s">
        <v>455</v>
      </c>
      <c r="AH117" s="1" t="s">
        <v>162</v>
      </c>
      <c r="AI117" s="1" t="s">
        <v>678</v>
      </c>
      <c r="AJ117" s="1">
        <v>85.4</v>
      </c>
      <c r="AK117" s="1"/>
      <c r="AL117" s="1" t="s">
        <v>2588</v>
      </c>
      <c r="AM117" s="1" t="s">
        <v>455</v>
      </c>
      <c r="AN117" s="1" t="s">
        <v>101</v>
      </c>
      <c r="AO117" s="1" t="s">
        <v>1065</v>
      </c>
      <c r="AP117" s="1">
        <v>60.31</v>
      </c>
      <c r="AQ117" s="1"/>
      <c r="AR117" s="1"/>
      <c r="AS117" s="1"/>
      <c r="AT117" s="1"/>
      <c r="AU117" s="1"/>
      <c r="AV117" s="1"/>
      <c r="AW117" s="1"/>
      <c r="AX117" s="1" t="s">
        <v>361</v>
      </c>
      <c r="AY117" s="1" t="s">
        <v>2589</v>
      </c>
      <c r="AZ117" s="1" t="s">
        <v>310</v>
      </c>
      <c r="BA117" s="1" t="s">
        <v>229</v>
      </c>
      <c r="BB117" s="1">
        <v>71.12</v>
      </c>
      <c r="BC117" s="1">
        <v>7.69</v>
      </c>
      <c r="BD117" s="1"/>
      <c r="BE117" s="1"/>
      <c r="BF117" s="1"/>
      <c r="BG117" s="1"/>
      <c r="BH117" s="1"/>
      <c r="BI117" s="1"/>
      <c r="BJ117" s="1" t="s">
        <v>2590</v>
      </c>
      <c r="BK117" s="1" t="s">
        <v>2591</v>
      </c>
      <c r="BL117" s="1" t="s">
        <v>1543</v>
      </c>
      <c r="BM117" s="1" t="s">
        <v>2592</v>
      </c>
      <c r="BN117" s="1">
        <v>4</v>
      </c>
      <c r="BO117" s="1"/>
      <c r="BP117" s="1" t="str">
        <f>HYPERLINK("https://nconnect.nicmar.ac.in/storage/profile/ProfilePhoto_P25700052_698342.jpg","Download")</f>
        <v>0</v>
      </c>
      <c r="BQ117" s="3"/>
      <c r="BR117" s="3"/>
    </row>
    <row r="118" spans="1:70">
      <c r="A118" s="1" t="s">
        <v>70</v>
      </c>
      <c r="B118" s="1" t="s">
        <v>1269</v>
      </c>
      <c r="C118" s="1" t="s">
        <v>2593</v>
      </c>
      <c r="D118" s="1" t="s">
        <v>2594</v>
      </c>
      <c r="E118" s="1" t="s">
        <v>2595</v>
      </c>
      <c r="F118" s="1" t="s">
        <v>2596</v>
      </c>
      <c r="G118" s="1" t="s">
        <v>2597</v>
      </c>
      <c r="H118" s="1" t="s">
        <v>2598</v>
      </c>
      <c r="I118" s="1" t="s">
        <v>2599</v>
      </c>
      <c r="J118" s="1">
        <v>8888523957</v>
      </c>
      <c r="K118" s="1" t="s">
        <v>79</v>
      </c>
      <c r="L118" s="1" t="s">
        <v>2600</v>
      </c>
      <c r="M118" s="1" t="s">
        <v>81</v>
      </c>
      <c r="N118" s="1" t="s">
        <v>2601</v>
      </c>
      <c r="O118" s="1"/>
      <c r="P118" s="1" t="s">
        <v>1278</v>
      </c>
      <c r="Q118" s="1" t="s">
        <v>2602</v>
      </c>
      <c r="R118" s="1" t="s">
        <v>2595</v>
      </c>
      <c r="S118" s="1">
        <v>9665747901</v>
      </c>
      <c r="T118" s="1" t="s">
        <v>434</v>
      </c>
      <c r="U118" s="1" t="s">
        <v>2603</v>
      </c>
      <c r="V118" s="1">
        <v>8888523957</v>
      </c>
      <c r="W118" s="1" t="s">
        <v>156</v>
      </c>
      <c r="X118" s="1" t="s">
        <v>2604</v>
      </c>
      <c r="Y118" s="1" t="s">
        <v>1992</v>
      </c>
      <c r="Z118" s="1" t="s">
        <v>92</v>
      </c>
      <c r="AA118" s="1" t="s">
        <v>2604</v>
      </c>
      <c r="AB118" s="1" t="s">
        <v>1992</v>
      </c>
      <c r="AC118" s="1" t="s">
        <v>92</v>
      </c>
      <c r="AD118" s="1">
        <v>8.46</v>
      </c>
      <c r="AE118" s="1" t="s">
        <v>93</v>
      </c>
      <c r="AF118" s="1" t="s">
        <v>2605</v>
      </c>
      <c r="AG118" s="1" t="s">
        <v>2606</v>
      </c>
      <c r="AH118" s="1" t="s">
        <v>100</v>
      </c>
      <c r="AI118" s="1" t="s">
        <v>433</v>
      </c>
      <c r="AJ118" s="1">
        <v>86.2</v>
      </c>
      <c r="AK118" s="1"/>
      <c r="AL118" s="1"/>
      <c r="AM118" s="1"/>
      <c r="AN118" s="1"/>
      <c r="AO118" s="1"/>
      <c r="AP118" s="1"/>
      <c r="AQ118" s="1"/>
      <c r="AR118" s="1" t="s">
        <v>434</v>
      </c>
      <c r="AS118" s="1" t="s">
        <v>2607</v>
      </c>
      <c r="AT118" s="1" t="s">
        <v>201</v>
      </c>
      <c r="AU118" s="1" t="s">
        <v>481</v>
      </c>
      <c r="AV118" s="1">
        <v>89.11</v>
      </c>
      <c r="AW118" s="1"/>
      <c r="AX118" s="1" t="s">
        <v>361</v>
      </c>
      <c r="AY118" s="1" t="s">
        <v>2608</v>
      </c>
      <c r="AZ118" s="1" t="s">
        <v>874</v>
      </c>
      <c r="BA118" s="1" t="s">
        <v>2609</v>
      </c>
      <c r="BB118" s="1">
        <v>83.48</v>
      </c>
      <c r="BC118" s="1">
        <v>9.04</v>
      </c>
      <c r="BD118" s="1"/>
      <c r="BE118" s="1"/>
      <c r="BF118" s="1"/>
      <c r="BG118" s="1"/>
      <c r="BH118" s="1"/>
      <c r="BI118" s="1"/>
      <c r="BJ118" s="1" t="s">
        <v>2610</v>
      </c>
      <c r="BK118" s="1"/>
      <c r="BL118" s="1"/>
      <c r="BM118" s="1" t="s">
        <v>2611</v>
      </c>
      <c r="BN118" s="1">
        <v>26</v>
      </c>
      <c r="BO118" s="1"/>
      <c r="BP118" s="1" t="str">
        <f>HYPERLINK("https://nconnect.nicmar.ac.in/storage/profile/ProfilePhoto_P25700054_125897.jpg","Download")</f>
        <v>0</v>
      </c>
      <c r="BQ118" s="3"/>
      <c r="BR118" s="3"/>
    </row>
    <row r="119" spans="1:70">
      <c r="A119" s="1" t="s">
        <v>70</v>
      </c>
      <c r="B119" s="1" t="s">
        <v>1269</v>
      </c>
      <c r="C119" s="1" t="s">
        <v>2612</v>
      </c>
      <c r="D119" s="1" t="s">
        <v>2613</v>
      </c>
      <c r="E119" s="1"/>
      <c r="F119" s="1" t="s">
        <v>2614</v>
      </c>
      <c r="G119" s="1" t="s">
        <v>2615</v>
      </c>
      <c r="H119" s="1" t="s">
        <v>2616</v>
      </c>
      <c r="I119" s="1" t="s">
        <v>2617</v>
      </c>
      <c r="J119" s="1">
        <v>9959818087</v>
      </c>
      <c r="K119" s="1" t="s">
        <v>79</v>
      </c>
      <c r="L119" s="1" t="s">
        <v>2618</v>
      </c>
      <c r="M119" s="1" t="s">
        <v>81</v>
      </c>
      <c r="N119" s="1" t="s">
        <v>2619</v>
      </c>
      <c r="O119" s="1"/>
      <c r="P119" s="1" t="s">
        <v>1278</v>
      </c>
      <c r="Q119" s="1" t="s">
        <v>2620</v>
      </c>
      <c r="R119" s="1" t="s">
        <v>2621</v>
      </c>
      <c r="S119" s="1">
        <v>8886281818</v>
      </c>
      <c r="T119" s="1" t="s">
        <v>2622</v>
      </c>
      <c r="U119" s="1" t="s">
        <v>2623</v>
      </c>
      <c r="V119" s="1">
        <v>9949325947</v>
      </c>
      <c r="W119" s="1" t="s">
        <v>273</v>
      </c>
      <c r="X119" s="1" t="s">
        <v>2624</v>
      </c>
      <c r="Y119" s="1" t="s">
        <v>2625</v>
      </c>
      <c r="Z119" s="1" t="s">
        <v>609</v>
      </c>
      <c r="AA119" s="1" t="s">
        <v>2624</v>
      </c>
      <c r="AB119" s="1" t="s">
        <v>2625</v>
      </c>
      <c r="AC119" s="1" t="s">
        <v>609</v>
      </c>
      <c r="AD119" s="1">
        <v>7.59</v>
      </c>
      <c r="AE119" s="1" t="s">
        <v>93</v>
      </c>
      <c r="AF119" s="1" t="s">
        <v>2626</v>
      </c>
      <c r="AG119" s="1" t="s">
        <v>2627</v>
      </c>
      <c r="AH119" s="1" t="s">
        <v>101</v>
      </c>
      <c r="AI119" s="1" t="s">
        <v>308</v>
      </c>
      <c r="AJ119" s="1">
        <v>69.2</v>
      </c>
      <c r="AK119" s="1">
        <v>7.28</v>
      </c>
      <c r="AL119" s="1"/>
      <c r="AM119" s="1"/>
      <c r="AN119" s="1"/>
      <c r="AO119" s="1"/>
      <c r="AP119" s="1"/>
      <c r="AQ119" s="1"/>
      <c r="AR119" s="1" t="s">
        <v>434</v>
      </c>
      <c r="AS119" s="1" t="s">
        <v>2628</v>
      </c>
      <c r="AT119" s="1" t="s">
        <v>433</v>
      </c>
      <c r="AU119" s="1" t="s">
        <v>1003</v>
      </c>
      <c r="AV119" s="1">
        <v>64.9</v>
      </c>
      <c r="AW119" s="1">
        <v>6.99</v>
      </c>
      <c r="AX119" s="1" t="s">
        <v>614</v>
      </c>
      <c r="AY119" s="1" t="s">
        <v>2629</v>
      </c>
      <c r="AZ119" s="1" t="s">
        <v>2630</v>
      </c>
      <c r="BA119" s="1" t="s">
        <v>1584</v>
      </c>
      <c r="BB119" s="1">
        <v>67.1</v>
      </c>
      <c r="BC119" s="1">
        <v>7.21</v>
      </c>
      <c r="BD119" s="1"/>
      <c r="BE119" s="1"/>
      <c r="BF119" s="1"/>
      <c r="BG119" s="1"/>
      <c r="BH119" s="1"/>
      <c r="BI119" s="1"/>
      <c r="BJ119" s="1" t="s">
        <v>2631</v>
      </c>
      <c r="BK119" s="1"/>
      <c r="BL119" s="1"/>
      <c r="BM119" s="1" t="s">
        <v>2632</v>
      </c>
      <c r="BN119" s="1">
        <v>8</v>
      </c>
      <c r="BO119" s="1" t="s">
        <v>2633</v>
      </c>
      <c r="BP119" s="1" t="str">
        <f>HYPERLINK("https://nconnect.nicmar.ac.in/storage/profile/ProfilePhoto_P25700055_381546.jpg","Download")</f>
        <v>0</v>
      </c>
      <c r="BQ119" s="3"/>
      <c r="BR119" s="3"/>
    </row>
    <row r="120" spans="1:70">
      <c r="A120" s="1" t="s">
        <v>70</v>
      </c>
      <c r="B120" s="1" t="s">
        <v>1269</v>
      </c>
      <c r="C120" s="1" t="s">
        <v>2634</v>
      </c>
      <c r="D120" s="1" t="s">
        <v>2635</v>
      </c>
      <c r="E120" s="1" t="s">
        <v>2636</v>
      </c>
      <c r="F120" s="1" t="s">
        <v>2637</v>
      </c>
      <c r="G120" s="1" t="s">
        <v>2638</v>
      </c>
      <c r="H120" s="1" t="s">
        <v>2639</v>
      </c>
      <c r="I120" s="1" t="s">
        <v>2640</v>
      </c>
      <c r="J120" s="1">
        <v>7730891939</v>
      </c>
      <c r="K120" s="1" t="s">
        <v>79</v>
      </c>
      <c r="L120" s="1" t="s">
        <v>2641</v>
      </c>
      <c r="M120" s="1" t="s">
        <v>81</v>
      </c>
      <c r="N120" s="1" t="s">
        <v>2274</v>
      </c>
      <c r="O120" s="1"/>
      <c r="P120" s="1" t="s">
        <v>1278</v>
      </c>
      <c r="Q120" s="1" t="s">
        <v>2642</v>
      </c>
      <c r="R120" s="1" t="s">
        <v>2643</v>
      </c>
      <c r="S120" s="1">
        <v>9980402789</v>
      </c>
      <c r="T120" s="1" t="s">
        <v>87</v>
      </c>
      <c r="U120" s="1" t="s">
        <v>2644</v>
      </c>
      <c r="V120" s="1">
        <v>8722238789</v>
      </c>
      <c r="W120" s="1" t="s">
        <v>156</v>
      </c>
      <c r="X120" s="1" t="s">
        <v>2645</v>
      </c>
      <c r="Y120" s="1" t="s">
        <v>1150</v>
      </c>
      <c r="Z120" s="1" t="s">
        <v>276</v>
      </c>
      <c r="AA120" s="1" t="s">
        <v>2645</v>
      </c>
      <c r="AB120" s="1" t="s">
        <v>1150</v>
      </c>
      <c r="AC120" s="1" t="s">
        <v>276</v>
      </c>
      <c r="AD120" s="1">
        <v>8.58</v>
      </c>
      <c r="AE120" s="1" t="s">
        <v>93</v>
      </c>
      <c r="AF120" s="1" t="s">
        <v>2646</v>
      </c>
      <c r="AG120" s="1" t="s">
        <v>2647</v>
      </c>
      <c r="AH120" s="1" t="s">
        <v>999</v>
      </c>
      <c r="AI120" s="1" t="s">
        <v>97</v>
      </c>
      <c r="AJ120" s="1">
        <v>62.7</v>
      </c>
      <c r="AK120" s="1">
        <v>6.6</v>
      </c>
      <c r="AL120" s="1" t="s">
        <v>1153</v>
      </c>
      <c r="AM120" s="1" t="s">
        <v>2648</v>
      </c>
      <c r="AN120" s="1" t="s">
        <v>503</v>
      </c>
      <c r="AO120" s="1" t="s">
        <v>195</v>
      </c>
      <c r="AP120" s="1">
        <v>85.4</v>
      </c>
      <c r="AQ120" s="1"/>
      <c r="AR120" s="1"/>
      <c r="AS120" s="1"/>
      <c r="AT120" s="1"/>
      <c r="AU120" s="1"/>
      <c r="AV120" s="1"/>
      <c r="AW120" s="1"/>
      <c r="AX120" s="1" t="s">
        <v>2649</v>
      </c>
      <c r="AY120" s="1" t="s">
        <v>2650</v>
      </c>
      <c r="AZ120" s="1" t="s">
        <v>165</v>
      </c>
      <c r="BA120" s="1" t="s">
        <v>105</v>
      </c>
      <c r="BB120" s="1">
        <v>65.64</v>
      </c>
      <c r="BC120" s="1">
        <v>6.91</v>
      </c>
      <c r="BD120" s="1"/>
      <c r="BE120" s="1"/>
      <c r="BF120" s="1"/>
      <c r="BG120" s="1"/>
      <c r="BH120" s="1"/>
      <c r="BI120" s="1"/>
      <c r="BJ120" s="1" t="s">
        <v>734</v>
      </c>
      <c r="BK120" s="1" t="s">
        <v>2651</v>
      </c>
      <c r="BL120" s="1" t="s">
        <v>2652</v>
      </c>
      <c r="BM120" s="1"/>
      <c r="BN120" s="1"/>
      <c r="BO120" s="1"/>
      <c r="BP120" s="1" t="str">
        <f>HYPERLINK("https://nconnect.nicmar.ac.in/storage/profile/ProfilePhoto_P25700056_462197.jpg","Download")</f>
        <v>0</v>
      </c>
      <c r="BQ120" s="3"/>
      <c r="BR120" s="3"/>
    </row>
    <row r="121" spans="1:70">
      <c r="A121" s="1" t="s">
        <v>70</v>
      </c>
      <c r="B121" s="1" t="s">
        <v>1269</v>
      </c>
      <c r="C121" s="1" t="s">
        <v>2653</v>
      </c>
      <c r="D121" s="1" t="s">
        <v>2654</v>
      </c>
      <c r="E121" s="1"/>
      <c r="F121" s="1" t="s">
        <v>2655</v>
      </c>
      <c r="G121" s="1" t="s">
        <v>2656</v>
      </c>
      <c r="H121" s="1" t="s">
        <v>2657</v>
      </c>
      <c r="I121" s="1" t="s">
        <v>2658</v>
      </c>
      <c r="J121" s="1">
        <v>8610373247</v>
      </c>
      <c r="K121" s="1" t="s">
        <v>79</v>
      </c>
      <c r="L121" s="1" t="s">
        <v>2659</v>
      </c>
      <c r="M121" s="1" t="s">
        <v>81</v>
      </c>
      <c r="N121" s="1" t="s">
        <v>2660</v>
      </c>
      <c r="O121" s="1"/>
      <c r="P121" s="1" t="s">
        <v>1278</v>
      </c>
      <c r="Q121" s="1" t="s">
        <v>2661</v>
      </c>
      <c r="R121" s="1" t="s">
        <v>2662</v>
      </c>
      <c r="S121" s="1">
        <v>9894903888</v>
      </c>
      <c r="T121" s="1" t="s">
        <v>2663</v>
      </c>
      <c r="U121" s="1" t="s">
        <v>2664</v>
      </c>
      <c r="V121" s="1">
        <v>8610206901</v>
      </c>
      <c r="W121" s="1" t="s">
        <v>156</v>
      </c>
      <c r="X121" s="1" t="s">
        <v>2665</v>
      </c>
      <c r="Y121" s="1" t="s">
        <v>2666</v>
      </c>
      <c r="Z121" s="1" t="s">
        <v>1377</v>
      </c>
      <c r="AA121" s="1" t="s">
        <v>2665</v>
      </c>
      <c r="AB121" s="1" t="s">
        <v>2666</v>
      </c>
      <c r="AC121" s="1" t="s">
        <v>1377</v>
      </c>
      <c r="AD121" s="1">
        <v>9.19</v>
      </c>
      <c r="AE121" s="1" t="s">
        <v>93</v>
      </c>
      <c r="AF121" s="1" t="s">
        <v>2667</v>
      </c>
      <c r="AG121" s="1" t="s">
        <v>2668</v>
      </c>
      <c r="AH121" s="1" t="s">
        <v>166</v>
      </c>
      <c r="AI121" s="1" t="s">
        <v>409</v>
      </c>
      <c r="AJ121" s="1">
        <v>87.8</v>
      </c>
      <c r="AK121" s="1"/>
      <c r="AL121" s="1" t="s">
        <v>2667</v>
      </c>
      <c r="AM121" s="1" t="s">
        <v>2668</v>
      </c>
      <c r="AN121" s="1" t="s">
        <v>1833</v>
      </c>
      <c r="AO121" s="1" t="s">
        <v>1712</v>
      </c>
      <c r="AP121" s="1">
        <v>90.14</v>
      </c>
      <c r="AQ121" s="1"/>
      <c r="AR121" s="1"/>
      <c r="AS121" s="1"/>
      <c r="AT121" s="1"/>
      <c r="AU121" s="1"/>
      <c r="AV121" s="1"/>
      <c r="AW121" s="1"/>
      <c r="AX121" s="1" t="s">
        <v>2669</v>
      </c>
      <c r="AY121" s="1" t="s">
        <v>2670</v>
      </c>
      <c r="AZ121" s="1" t="s">
        <v>135</v>
      </c>
      <c r="BA121" s="1" t="s">
        <v>1408</v>
      </c>
      <c r="BB121" s="1">
        <v>90.9</v>
      </c>
      <c r="BC121" s="1">
        <v>9.08</v>
      </c>
      <c r="BD121" s="1"/>
      <c r="BE121" s="1"/>
      <c r="BF121" s="1"/>
      <c r="BG121" s="1"/>
      <c r="BH121" s="1"/>
      <c r="BI121" s="1"/>
      <c r="BJ121" s="1" t="s">
        <v>1383</v>
      </c>
      <c r="BK121" s="1"/>
      <c r="BL121" s="1"/>
      <c r="BM121" s="1" t="s">
        <v>2671</v>
      </c>
      <c r="BN121" s="1">
        <v>13</v>
      </c>
      <c r="BO121" s="1"/>
      <c r="BP121" s="1" t="str">
        <f>HYPERLINK("https://nconnect.nicmar.ac.in/storage/profile/ProfilePhoto_P25700057_983714.jpg","Download")</f>
        <v>0</v>
      </c>
      <c r="BQ121" s="3"/>
      <c r="BR121" s="3"/>
    </row>
    <row r="122" spans="1:70">
      <c r="A122" s="1" t="s">
        <v>70</v>
      </c>
      <c r="B122" s="1" t="s">
        <v>1269</v>
      </c>
      <c r="C122" s="1" t="s">
        <v>2672</v>
      </c>
      <c r="D122" s="1" t="s">
        <v>2673</v>
      </c>
      <c r="E122" s="1" t="s">
        <v>110</v>
      </c>
      <c r="F122" s="1" t="s">
        <v>2674</v>
      </c>
      <c r="G122" s="1" t="s">
        <v>2675</v>
      </c>
      <c r="H122" s="1" t="s">
        <v>2676</v>
      </c>
      <c r="I122" s="1" t="s">
        <v>2677</v>
      </c>
      <c r="J122" s="1">
        <v>7039897949</v>
      </c>
      <c r="K122" s="1" t="s">
        <v>148</v>
      </c>
      <c r="L122" s="1" t="s">
        <v>2678</v>
      </c>
      <c r="M122" s="1" t="s">
        <v>81</v>
      </c>
      <c r="N122" s="1" t="s">
        <v>2679</v>
      </c>
      <c r="O122" s="1"/>
      <c r="P122" s="1" t="s">
        <v>1323</v>
      </c>
      <c r="Q122" s="1" t="s">
        <v>2680</v>
      </c>
      <c r="R122" s="1" t="s">
        <v>2681</v>
      </c>
      <c r="S122" s="1">
        <v>8691903888</v>
      </c>
      <c r="T122" s="1" t="s">
        <v>763</v>
      </c>
      <c r="U122" s="1" t="s">
        <v>2682</v>
      </c>
      <c r="V122" s="1">
        <v>8433836449</v>
      </c>
      <c r="W122" s="1" t="s">
        <v>273</v>
      </c>
      <c r="X122" s="1" t="s">
        <v>2683</v>
      </c>
      <c r="Y122" s="1" t="s">
        <v>995</v>
      </c>
      <c r="Z122" s="1" t="s">
        <v>92</v>
      </c>
      <c r="AA122" s="1" t="s">
        <v>2683</v>
      </c>
      <c r="AB122" s="1" t="s">
        <v>995</v>
      </c>
      <c r="AC122" s="1" t="s">
        <v>92</v>
      </c>
      <c r="AD122" s="1">
        <v>8.02</v>
      </c>
      <c r="AE122" s="1" t="s">
        <v>93</v>
      </c>
      <c r="AF122" s="1" t="s">
        <v>2684</v>
      </c>
      <c r="AG122" s="1" t="s">
        <v>2685</v>
      </c>
      <c r="AH122" s="1" t="s">
        <v>165</v>
      </c>
      <c r="AI122" s="1" t="s">
        <v>281</v>
      </c>
      <c r="AJ122" s="1">
        <v>74.4</v>
      </c>
      <c r="AK122" s="1"/>
      <c r="AL122" s="1"/>
      <c r="AM122" s="1"/>
      <c r="AN122" s="1"/>
      <c r="AO122" s="1"/>
      <c r="AP122" s="1"/>
      <c r="AQ122" s="1"/>
      <c r="AR122" s="1" t="s">
        <v>434</v>
      </c>
      <c r="AS122" s="1" t="s">
        <v>2686</v>
      </c>
      <c r="AT122" s="1" t="s">
        <v>310</v>
      </c>
      <c r="AU122" s="1" t="s">
        <v>2687</v>
      </c>
      <c r="AV122" s="1">
        <v>74.05</v>
      </c>
      <c r="AW122" s="1"/>
      <c r="AX122" s="1" t="s">
        <v>2688</v>
      </c>
      <c r="AY122" s="1" t="s">
        <v>2689</v>
      </c>
      <c r="AZ122" s="1" t="s">
        <v>2690</v>
      </c>
      <c r="BA122" s="1" t="s">
        <v>1584</v>
      </c>
      <c r="BB122" s="1">
        <v>69.6</v>
      </c>
      <c r="BC122" s="1">
        <v>6.96</v>
      </c>
      <c r="BD122" s="1"/>
      <c r="BE122" s="1"/>
      <c r="BF122" s="1"/>
      <c r="BG122" s="1"/>
      <c r="BH122" s="1"/>
      <c r="BI122" s="1"/>
      <c r="BJ122" s="1" t="s">
        <v>734</v>
      </c>
      <c r="BK122" s="1"/>
      <c r="BL122" s="1"/>
      <c r="BM122" s="1"/>
      <c r="BN122" s="1"/>
      <c r="BO122" s="1"/>
      <c r="BP122" s="1" t="str">
        <f>HYPERLINK("https://nconnect.nicmar.ac.in/storage/profile/ProfilePhoto_P25700058_548397.jpg","Download")</f>
        <v>0</v>
      </c>
      <c r="BQ122" s="3"/>
      <c r="BR122" s="3"/>
    </row>
    <row r="123" spans="1:70">
      <c r="A123" s="1" t="s">
        <v>70</v>
      </c>
      <c r="B123" s="1" t="s">
        <v>1269</v>
      </c>
      <c r="C123" s="1" t="s">
        <v>2691</v>
      </c>
      <c r="D123" s="1" t="s">
        <v>2692</v>
      </c>
      <c r="E123" s="1" t="s">
        <v>1965</v>
      </c>
      <c r="F123" s="1" t="s">
        <v>2693</v>
      </c>
      <c r="G123" s="1" t="s">
        <v>2694</v>
      </c>
      <c r="H123" s="1" t="s">
        <v>2695</v>
      </c>
      <c r="I123" s="1" t="s">
        <v>2696</v>
      </c>
      <c r="J123" s="1">
        <v>7448124649</v>
      </c>
      <c r="K123" s="1" t="s">
        <v>79</v>
      </c>
      <c r="L123" s="1" t="s">
        <v>2697</v>
      </c>
      <c r="M123" s="1" t="s">
        <v>81</v>
      </c>
      <c r="N123" s="1" t="s">
        <v>1418</v>
      </c>
      <c r="O123" s="1"/>
      <c r="P123" s="1" t="s">
        <v>1323</v>
      </c>
      <c r="Q123" s="1" t="s">
        <v>2698</v>
      </c>
      <c r="R123" s="1" t="s">
        <v>1965</v>
      </c>
      <c r="S123" s="1">
        <v>9371793553</v>
      </c>
      <c r="T123" s="1" t="s">
        <v>122</v>
      </c>
      <c r="U123" s="1" t="s">
        <v>2699</v>
      </c>
      <c r="V123" s="1">
        <v>8087463553</v>
      </c>
      <c r="W123" s="1" t="s">
        <v>89</v>
      </c>
      <c r="X123" s="1" t="s">
        <v>2700</v>
      </c>
      <c r="Y123" s="1" t="s">
        <v>523</v>
      </c>
      <c r="Z123" s="1" t="s">
        <v>92</v>
      </c>
      <c r="AA123" s="1" t="s">
        <v>2701</v>
      </c>
      <c r="AB123" s="1" t="s">
        <v>523</v>
      </c>
      <c r="AC123" s="1" t="s">
        <v>92</v>
      </c>
      <c r="AD123" s="1">
        <v>8.84</v>
      </c>
      <c r="AE123" s="1" t="s">
        <v>93</v>
      </c>
      <c r="AF123" s="1" t="s">
        <v>2702</v>
      </c>
      <c r="AG123" s="1" t="s">
        <v>2703</v>
      </c>
      <c r="AH123" s="1" t="s">
        <v>165</v>
      </c>
      <c r="AI123" s="1" t="s">
        <v>101</v>
      </c>
      <c r="AJ123" s="1">
        <v>84.2</v>
      </c>
      <c r="AK123" s="1"/>
      <c r="AL123" s="1" t="s">
        <v>2704</v>
      </c>
      <c r="AM123" s="1" t="s">
        <v>2703</v>
      </c>
      <c r="AN123" s="1" t="s">
        <v>169</v>
      </c>
      <c r="AO123" s="1" t="s">
        <v>699</v>
      </c>
      <c r="AP123" s="1">
        <v>66.15</v>
      </c>
      <c r="AQ123" s="1"/>
      <c r="AR123" s="1"/>
      <c r="AS123" s="1"/>
      <c r="AT123" s="1"/>
      <c r="AU123" s="1"/>
      <c r="AV123" s="1"/>
      <c r="AW123" s="1"/>
      <c r="AX123" s="1" t="s">
        <v>2705</v>
      </c>
      <c r="AY123" s="1" t="s">
        <v>2706</v>
      </c>
      <c r="AZ123" s="1" t="s">
        <v>173</v>
      </c>
      <c r="BA123" s="1" t="s">
        <v>202</v>
      </c>
      <c r="BB123" s="1">
        <v>74.3</v>
      </c>
      <c r="BC123" s="1">
        <v>8.18</v>
      </c>
      <c r="BD123" s="1"/>
      <c r="BE123" s="1"/>
      <c r="BF123" s="1"/>
      <c r="BG123" s="1"/>
      <c r="BH123" s="1"/>
      <c r="BI123" s="1"/>
      <c r="BJ123" s="1" t="s">
        <v>2707</v>
      </c>
      <c r="BK123" s="1" t="s">
        <v>2708</v>
      </c>
      <c r="BL123" s="1" t="s">
        <v>1289</v>
      </c>
      <c r="BM123" s="1" t="s">
        <v>2709</v>
      </c>
      <c r="BN123" s="1">
        <v>12</v>
      </c>
      <c r="BO123" s="1" t="s">
        <v>2710</v>
      </c>
      <c r="BP123" s="1" t="str">
        <f>HYPERLINK("https://nconnect.nicmar.ac.in/storage/profile/ProfilePhoto_P25700059_679482.jpg","Download")</f>
        <v>0</v>
      </c>
      <c r="BQ123" s="3"/>
      <c r="BR123" s="3"/>
    </row>
    <row r="124" spans="1:70">
      <c r="A124" s="1" t="s">
        <v>70</v>
      </c>
      <c r="B124" s="1" t="s">
        <v>1269</v>
      </c>
      <c r="C124" s="1" t="s">
        <v>2711</v>
      </c>
      <c r="D124" s="1" t="s">
        <v>2712</v>
      </c>
      <c r="E124" s="1"/>
      <c r="F124" s="1" t="s">
        <v>2713</v>
      </c>
      <c r="G124" s="1" t="s">
        <v>2714</v>
      </c>
      <c r="H124" s="1" t="s">
        <v>2715</v>
      </c>
      <c r="I124" s="1" t="s">
        <v>2716</v>
      </c>
      <c r="J124" s="1">
        <v>8074616471</v>
      </c>
      <c r="K124" s="1" t="s">
        <v>79</v>
      </c>
      <c r="L124" s="1" t="s">
        <v>2717</v>
      </c>
      <c r="M124" s="1" t="s">
        <v>81</v>
      </c>
      <c r="N124" s="1" t="s">
        <v>2718</v>
      </c>
      <c r="O124" s="1"/>
      <c r="P124" s="1" t="s">
        <v>1278</v>
      </c>
      <c r="Q124" s="1" t="s">
        <v>2719</v>
      </c>
      <c r="R124" s="1" t="s">
        <v>2720</v>
      </c>
      <c r="S124" s="1">
        <v>9440078464</v>
      </c>
      <c r="T124" s="1" t="s">
        <v>496</v>
      </c>
      <c r="U124" s="1" t="s">
        <v>2721</v>
      </c>
      <c r="V124" s="1">
        <v>7207028476</v>
      </c>
      <c r="W124" s="1" t="s">
        <v>651</v>
      </c>
      <c r="X124" s="1" t="s">
        <v>2722</v>
      </c>
      <c r="Y124" s="1" t="s">
        <v>2723</v>
      </c>
      <c r="Z124" s="1" t="s">
        <v>276</v>
      </c>
      <c r="AA124" s="1" t="s">
        <v>2722</v>
      </c>
      <c r="AB124" s="1" t="s">
        <v>2723</v>
      </c>
      <c r="AC124" s="1" t="s">
        <v>276</v>
      </c>
      <c r="AD124" s="1">
        <v>9.2</v>
      </c>
      <c r="AE124" s="1" t="s">
        <v>93</v>
      </c>
      <c r="AF124" s="1" t="s">
        <v>2724</v>
      </c>
      <c r="AG124" s="1" t="s">
        <v>2725</v>
      </c>
      <c r="AH124" s="1" t="s">
        <v>161</v>
      </c>
      <c r="AI124" s="1" t="s">
        <v>456</v>
      </c>
      <c r="AJ124" s="1">
        <v>95</v>
      </c>
      <c r="AK124" s="1">
        <v>9.5</v>
      </c>
      <c r="AL124" s="1" t="s">
        <v>2726</v>
      </c>
      <c r="AM124" s="1" t="s">
        <v>2727</v>
      </c>
      <c r="AN124" s="1" t="s">
        <v>165</v>
      </c>
      <c r="AO124" s="1" t="s">
        <v>281</v>
      </c>
      <c r="AP124" s="1">
        <v>94.9</v>
      </c>
      <c r="AQ124" s="1"/>
      <c r="AR124" s="1"/>
      <c r="AS124" s="1"/>
      <c r="AT124" s="1"/>
      <c r="AU124" s="1"/>
      <c r="AV124" s="1"/>
      <c r="AW124" s="1"/>
      <c r="AX124" s="1" t="s">
        <v>1381</v>
      </c>
      <c r="AY124" s="1" t="s">
        <v>2728</v>
      </c>
      <c r="AZ124" s="1" t="s">
        <v>101</v>
      </c>
      <c r="BA124" s="1" t="s">
        <v>481</v>
      </c>
      <c r="BB124" s="1">
        <v>80.7</v>
      </c>
      <c r="BC124" s="1">
        <v>8.07</v>
      </c>
      <c r="BD124" s="1"/>
      <c r="BE124" s="1"/>
      <c r="BF124" s="1"/>
      <c r="BG124" s="1"/>
      <c r="BH124" s="1"/>
      <c r="BI124" s="1"/>
      <c r="BJ124" s="1" t="s">
        <v>2729</v>
      </c>
      <c r="BK124" s="1" t="s">
        <v>2730</v>
      </c>
      <c r="BL124" s="1" t="s">
        <v>1919</v>
      </c>
      <c r="BM124" s="1" t="s">
        <v>2731</v>
      </c>
      <c r="BN124" s="1">
        <v>29</v>
      </c>
      <c r="BO124" s="1"/>
      <c r="BP124" s="1" t="str">
        <f>HYPERLINK("https://nconnect.nicmar.ac.in/storage/profile/ProfilePhoto_P25700060_469738.jpg","Download")</f>
        <v>0</v>
      </c>
      <c r="BQ124" s="3"/>
      <c r="BR124" s="3"/>
    </row>
    <row r="125" spans="1:70">
      <c r="A125" s="1" t="s">
        <v>70</v>
      </c>
      <c r="B125" s="1" t="s">
        <v>1269</v>
      </c>
      <c r="C125" s="1" t="s">
        <v>2732</v>
      </c>
      <c r="D125" s="1" t="s">
        <v>2127</v>
      </c>
      <c r="E125" s="1"/>
      <c r="F125" s="1" t="s">
        <v>2733</v>
      </c>
      <c r="G125" s="1" t="s">
        <v>2734</v>
      </c>
      <c r="H125" s="1" t="s">
        <v>2735</v>
      </c>
      <c r="I125" s="1" t="s">
        <v>2736</v>
      </c>
      <c r="J125" s="1">
        <v>6366145389</v>
      </c>
      <c r="K125" s="1" t="s">
        <v>79</v>
      </c>
      <c r="L125" s="1" t="s">
        <v>2737</v>
      </c>
      <c r="M125" s="1" t="s">
        <v>81</v>
      </c>
      <c r="N125" s="1" t="s">
        <v>2738</v>
      </c>
      <c r="O125" s="1"/>
      <c r="P125" s="1" t="s">
        <v>1278</v>
      </c>
      <c r="Q125" s="1" t="s">
        <v>2739</v>
      </c>
      <c r="R125" s="1" t="s">
        <v>2740</v>
      </c>
      <c r="S125" s="1">
        <v>9739522349</v>
      </c>
      <c r="T125" s="1" t="s">
        <v>154</v>
      </c>
      <c r="U125" s="1" t="s">
        <v>2741</v>
      </c>
      <c r="V125" s="1">
        <v>9632284289</v>
      </c>
      <c r="W125" s="1" t="s">
        <v>89</v>
      </c>
      <c r="X125" s="1" t="s">
        <v>2742</v>
      </c>
      <c r="Y125" s="1" t="s">
        <v>2743</v>
      </c>
      <c r="Z125" s="1" t="s">
        <v>1084</v>
      </c>
      <c r="AA125" s="1" t="s">
        <v>2742</v>
      </c>
      <c r="AB125" s="1" t="s">
        <v>2743</v>
      </c>
      <c r="AC125" s="1" t="s">
        <v>1084</v>
      </c>
      <c r="AD125" s="1">
        <v>8.07</v>
      </c>
      <c r="AE125" s="1" t="s">
        <v>93</v>
      </c>
      <c r="AF125" s="1" t="s">
        <v>2744</v>
      </c>
      <c r="AG125" s="1" t="s">
        <v>2745</v>
      </c>
      <c r="AH125" s="1" t="s">
        <v>165</v>
      </c>
      <c r="AI125" s="1" t="s">
        <v>1307</v>
      </c>
      <c r="AJ125" s="1">
        <v>95.04</v>
      </c>
      <c r="AK125" s="1"/>
      <c r="AL125" s="1" t="s">
        <v>2746</v>
      </c>
      <c r="AM125" s="1" t="s">
        <v>2747</v>
      </c>
      <c r="AN125" s="1" t="s">
        <v>433</v>
      </c>
      <c r="AO125" s="1" t="s">
        <v>173</v>
      </c>
      <c r="AP125" s="1">
        <v>87.83</v>
      </c>
      <c r="AQ125" s="1"/>
      <c r="AR125" s="1"/>
      <c r="AS125" s="1"/>
      <c r="AT125" s="1"/>
      <c r="AU125" s="1"/>
      <c r="AV125" s="1"/>
      <c r="AW125" s="1"/>
      <c r="AX125" s="1" t="s">
        <v>2748</v>
      </c>
      <c r="AY125" s="1" t="s">
        <v>2749</v>
      </c>
      <c r="AZ125" s="1" t="s">
        <v>228</v>
      </c>
      <c r="BA125" s="1" t="s">
        <v>1361</v>
      </c>
      <c r="BB125" s="1">
        <v>69.1</v>
      </c>
      <c r="BC125" s="1"/>
      <c r="BD125" s="1"/>
      <c r="BE125" s="1"/>
      <c r="BF125" s="1"/>
      <c r="BG125" s="1"/>
      <c r="BH125" s="1"/>
      <c r="BI125" s="1"/>
      <c r="BJ125" s="1" t="s">
        <v>2750</v>
      </c>
      <c r="BK125" s="1"/>
      <c r="BL125" s="1"/>
      <c r="BM125" s="1" t="s">
        <v>2751</v>
      </c>
      <c r="BN125" s="1">
        <v>17</v>
      </c>
      <c r="BO125" s="1" t="s">
        <v>2752</v>
      </c>
      <c r="BP125" s="1" t="str">
        <f>HYPERLINK("https://nconnect.nicmar.ac.in/storage/profile/ProfilePhoto_P25700061_348925.jpg","Download")</f>
        <v>0</v>
      </c>
      <c r="BQ125" s="3"/>
      <c r="BR125" s="3"/>
    </row>
    <row r="126" spans="1:70">
      <c r="A126" s="1" t="s">
        <v>70</v>
      </c>
      <c r="B126" s="1" t="s">
        <v>1269</v>
      </c>
      <c r="C126" s="1" t="s">
        <v>2753</v>
      </c>
      <c r="D126" s="1" t="s">
        <v>2754</v>
      </c>
      <c r="E126" s="1" t="s">
        <v>2755</v>
      </c>
      <c r="F126" s="1" t="s">
        <v>2756</v>
      </c>
      <c r="G126" s="1" t="s">
        <v>2757</v>
      </c>
      <c r="H126" s="1" t="s">
        <v>2758</v>
      </c>
      <c r="I126" s="1" t="s">
        <v>2759</v>
      </c>
      <c r="J126" s="1">
        <v>9930084564</v>
      </c>
      <c r="K126" s="1" t="s">
        <v>148</v>
      </c>
      <c r="L126" s="1" t="s">
        <v>320</v>
      </c>
      <c r="M126" s="1" t="s">
        <v>150</v>
      </c>
      <c r="N126" s="1" t="s">
        <v>2760</v>
      </c>
      <c r="O126" s="1"/>
      <c r="P126" s="1" t="s">
        <v>1323</v>
      </c>
      <c r="Q126" s="1" t="s">
        <v>2761</v>
      </c>
      <c r="R126" s="1" t="s">
        <v>2762</v>
      </c>
      <c r="S126" s="1">
        <v>8625925411</v>
      </c>
      <c r="T126" s="1" t="s">
        <v>2763</v>
      </c>
      <c r="U126" s="1" t="s">
        <v>2764</v>
      </c>
      <c r="V126" s="1">
        <v>9850235411</v>
      </c>
      <c r="W126" s="1" t="s">
        <v>156</v>
      </c>
      <c r="X126" s="1" t="s">
        <v>2765</v>
      </c>
      <c r="Y126" s="1" t="s">
        <v>995</v>
      </c>
      <c r="Z126" s="1" t="s">
        <v>92</v>
      </c>
      <c r="AA126" s="1" t="s">
        <v>2765</v>
      </c>
      <c r="AB126" s="1" t="s">
        <v>995</v>
      </c>
      <c r="AC126" s="1" t="s">
        <v>92</v>
      </c>
      <c r="AD126" s="1">
        <v>8.97</v>
      </c>
      <c r="AE126" s="1" t="s">
        <v>93</v>
      </c>
      <c r="AF126" s="1" t="s">
        <v>2766</v>
      </c>
      <c r="AG126" s="1" t="s">
        <v>476</v>
      </c>
      <c r="AH126" s="1" t="s">
        <v>2221</v>
      </c>
      <c r="AI126" s="1" t="s">
        <v>1668</v>
      </c>
      <c r="AJ126" s="1">
        <v>73.4</v>
      </c>
      <c r="AK126" s="1"/>
      <c r="AL126" s="1"/>
      <c r="AM126" s="1"/>
      <c r="AN126" s="1"/>
      <c r="AO126" s="1"/>
      <c r="AP126" s="1"/>
      <c r="AQ126" s="1"/>
      <c r="AR126" s="1" t="s">
        <v>98</v>
      </c>
      <c r="AS126" s="1" t="s">
        <v>2767</v>
      </c>
      <c r="AT126" s="1" t="s">
        <v>2768</v>
      </c>
      <c r="AU126" s="1" t="s">
        <v>2769</v>
      </c>
      <c r="AV126" s="1">
        <v>72.69</v>
      </c>
      <c r="AW126" s="1"/>
      <c r="AX126" s="1" t="s">
        <v>2770</v>
      </c>
      <c r="AY126" s="1" t="s">
        <v>2771</v>
      </c>
      <c r="AZ126" s="1" t="s">
        <v>100</v>
      </c>
      <c r="BA126" s="1" t="s">
        <v>169</v>
      </c>
      <c r="BB126" s="1">
        <v>65.05</v>
      </c>
      <c r="BC126" s="1">
        <v>7.17</v>
      </c>
      <c r="BD126" s="1"/>
      <c r="BE126" s="1"/>
      <c r="BF126" s="1"/>
      <c r="BG126" s="1"/>
      <c r="BH126" s="1"/>
      <c r="BI126" s="1"/>
      <c r="BJ126" s="1" t="s">
        <v>2772</v>
      </c>
      <c r="BK126" s="1" t="s">
        <v>2773</v>
      </c>
      <c r="BL126" s="1" t="s">
        <v>2774</v>
      </c>
      <c r="BM126" s="1"/>
      <c r="BN126" s="1"/>
      <c r="BO126" s="1"/>
      <c r="BP126" s="1" t="str">
        <f>HYPERLINK("https://nconnect.nicmar.ac.in/storage/profile/ProfilePhoto_P25700063_819562.jpg","Download")</f>
        <v>0</v>
      </c>
      <c r="BQ126" s="3"/>
      <c r="BR126" s="3"/>
    </row>
    <row r="127" spans="1:70">
      <c r="A127" s="1" t="s">
        <v>70</v>
      </c>
      <c r="B127" s="1" t="s">
        <v>1269</v>
      </c>
      <c r="C127" s="1" t="s">
        <v>2775</v>
      </c>
      <c r="D127" s="1" t="s">
        <v>2776</v>
      </c>
      <c r="E127" s="1" t="s">
        <v>2777</v>
      </c>
      <c r="F127" s="1" t="s">
        <v>2778</v>
      </c>
      <c r="G127" s="1" t="s">
        <v>2779</v>
      </c>
      <c r="H127" s="1" t="s">
        <v>2780</v>
      </c>
      <c r="I127" s="1" t="s">
        <v>2781</v>
      </c>
      <c r="J127" s="1">
        <v>7841013049</v>
      </c>
      <c r="K127" s="1" t="s">
        <v>79</v>
      </c>
      <c r="L127" s="1" t="s">
        <v>2782</v>
      </c>
      <c r="M127" s="1" t="s">
        <v>81</v>
      </c>
      <c r="N127" s="1" t="s">
        <v>1418</v>
      </c>
      <c r="O127" s="1"/>
      <c r="P127" s="1" t="s">
        <v>1298</v>
      </c>
      <c r="Q127" s="1" t="s">
        <v>2783</v>
      </c>
      <c r="R127" s="1" t="s">
        <v>2777</v>
      </c>
      <c r="S127" s="1">
        <v>9766584075</v>
      </c>
      <c r="T127" s="1" t="s">
        <v>763</v>
      </c>
      <c r="U127" s="1" t="s">
        <v>2784</v>
      </c>
      <c r="V127" s="1">
        <v>9960754154</v>
      </c>
      <c r="W127" s="1" t="s">
        <v>156</v>
      </c>
      <c r="X127" s="1" t="s">
        <v>2785</v>
      </c>
      <c r="Y127" s="1" t="s">
        <v>2786</v>
      </c>
      <c r="Z127" s="1" t="s">
        <v>92</v>
      </c>
      <c r="AA127" s="1" t="s">
        <v>2785</v>
      </c>
      <c r="AB127" s="1" t="s">
        <v>2786</v>
      </c>
      <c r="AC127" s="1" t="s">
        <v>92</v>
      </c>
      <c r="AD127" s="1">
        <v>8.08</v>
      </c>
      <c r="AE127" s="1" t="s">
        <v>93</v>
      </c>
      <c r="AF127" s="1" t="s">
        <v>2787</v>
      </c>
      <c r="AG127" s="1" t="s">
        <v>476</v>
      </c>
      <c r="AH127" s="1" t="s">
        <v>101</v>
      </c>
      <c r="AI127" s="1" t="s">
        <v>409</v>
      </c>
      <c r="AJ127" s="1">
        <v>77</v>
      </c>
      <c r="AK127" s="1"/>
      <c r="AL127" s="1"/>
      <c r="AM127" s="1"/>
      <c r="AN127" s="1"/>
      <c r="AO127" s="1"/>
      <c r="AP127" s="1"/>
      <c r="AQ127" s="1"/>
      <c r="AR127" s="1" t="s">
        <v>434</v>
      </c>
      <c r="AS127" s="1" t="s">
        <v>2788</v>
      </c>
      <c r="AT127" s="1" t="s">
        <v>201</v>
      </c>
      <c r="AU127" s="1" t="s">
        <v>105</v>
      </c>
      <c r="AV127" s="1">
        <v>74</v>
      </c>
      <c r="AW127" s="1"/>
      <c r="AX127" s="1" t="s">
        <v>1891</v>
      </c>
      <c r="AY127" s="1" t="s">
        <v>2789</v>
      </c>
      <c r="AZ127" s="1" t="s">
        <v>105</v>
      </c>
      <c r="BA127" s="1" t="s">
        <v>1714</v>
      </c>
      <c r="BB127" s="1">
        <v>65</v>
      </c>
      <c r="BC127" s="1">
        <v>7</v>
      </c>
      <c r="BD127" s="1"/>
      <c r="BE127" s="1"/>
      <c r="BF127" s="1"/>
      <c r="BG127" s="1"/>
      <c r="BH127" s="1"/>
      <c r="BI127" s="1"/>
      <c r="BJ127" s="1" t="s">
        <v>364</v>
      </c>
      <c r="BK127" s="1"/>
      <c r="BL127" s="1"/>
      <c r="BM127" s="1" t="s">
        <v>2790</v>
      </c>
      <c r="BN127" s="1">
        <v>17</v>
      </c>
      <c r="BO127" s="1"/>
      <c r="BP127" s="1" t="str">
        <f>HYPERLINK("https://nconnect.nicmar.ac.in/storage/profile/ProfilePhoto_P25700064_658724.jpg","Download")</f>
        <v>0</v>
      </c>
      <c r="BQ127" s="3"/>
      <c r="BR127" s="3"/>
    </row>
    <row r="128" spans="1:70">
      <c r="A128" s="1" t="s">
        <v>70</v>
      </c>
      <c r="B128" s="1" t="s">
        <v>1269</v>
      </c>
      <c r="C128" s="1" t="s">
        <v>2791</v>
      </c>
      <c r="D128" s="1" t="s">
        <v>2792</v>
      </c>
      <c r="E128" s="1"/>
      <c r="F128" s="1" t="s">
        <v>2793</v>
      </c>
      <c r="G128" s="1" t="s">
        <v>2794</v>
      </c>
      <c r="H128" s="1" t="s">
        <v>2795</v>
      </c>
      <c r="I128" s="1" t="s">
        <v>2796</v>
      </c>
      <c r="J128" s="1">
        <v>7358753949</v>
      </c>
      <c r="K128" s="1" t="s">
        <v>79</v>
      </c>
      <c r="L128" s="1" t="s">
        <v>2797</v>
      </c>
      <c r="M128" s="1" t="s">
        <v>81</v>
      </c>
      <c r="N128" s="1" t="s">
        <v>2798</v>
      </c>
      <c r="O128" s="1"/>
      <c r="P128" s="1" t="s">
        <v>1298</v>
      </c>
      <c r="Q128" s="1" t="s">
        <v>2799</v>
      </c>
      <c r="R128" s="1" t="s">
        <v>2800</v>
      </c>
      <c r="S128" s="1">
        <v>8754584973</v>
      </c>
      <c r="T128" s="1" t="s">
        <v>2801</v>
      </c>
      <c r="U128" s="1" t="s">
        <v>2802</v>
      </c>
      <c r="V128" s="1">
        <v>9791124128</v>
      </c>
      <c r="W128" s="1" t="s">
        <v>651</v>
      </c>
      <c r="X128" s="1" t="s">
        <v>2803</v>
      </c>
      <c r="Y128" s="1" t="s">
        <v>2804</v>
      </c>
      <c r="Z128" s="1" t="s">
        <v>1377</v>
      </c>
      <c r="AA128" s="1" t="s">
        <v>2803</v>
      </c>
      <c r="AB128" s="1" t="s">
        <v>2804</v>
      </c>
      <c r="AC128" s="1" t="s">
        <v>1377</v>
      </c>
      <c r="AD128" s="1">
        <v>7.06</v>
      </c>
      <c r="AE128" s="1" t="s">
        <v>93</v>
      </c>
      <c r="AF128" s="1" t="s">
        <v>2805</v>
      </c>
      <c r="AG128" s="1" t="s">
        <v>2806</v>
      </c>
      <c r="AH128" s="1" t="s">
        <v>162</v>
      </c>
      <c r="AI128" s="1" t="s">
        <v>165</v>
      </c>
      <c r="AJ128" s="1">
        <v>79.8</v>
      </c>
      <c r="AK128" s="1"/>
      <c r="AL128" s="1" t="s">
        <v>2805</v>
      </c>
      <c r="AM128" s="1" t="s">
        <v>2806</v>
      </c>
      <c r="AN128" s="1" t="s">
        <v>166</v>
      </c>
      <c r="AO128" s="1" t="s">
        <v>308</v>
      </c>
      <c r="AP128" s="1">
        <v>68.4</v>
      </c>
      <c r="AQ128" s="1"/>
      <c r="AR128" s="1"/>
      <c r="AS128" s="1"/>
      <c r="AT128" s="1"/>
      <c r="AU128" s="1"/>
      <c r="AV128" s="1"/>
      <c r="AW128" s="1"/>
      <c r="AX128" s="1" t="s">
        <v>1381</v>
      </c>
      <c r="AY128" s="1" t="s">
        <v>2807</v>
      </c>
      <c r="AZ128" s="1" t="s">
        <v>201</v>
      </c>
      <c r="BA128" s="1" t="s">
        <v>386</v>
      </c>
      <c r="BB128" s="1">
        <v>74.6</v>
      </c>
      <c r="BC128" s="1"/>
      <c r="BD128" s="1"/>
      <c r="BE128" s="1"/>
      <c r="BF128" s="1"/>
      <c r="BG128" s="1"/>
      <c r="BH128" s="1"/>
      <c r="BI128" s="1"/>
      <c r="BJ128" s="1" t="s">
        <v>255</v>
      </c>
      <c r="BK128" s="1"/>
      <c r="BL128" s="1"/>
      <c r="BM128" s="1" t="s">
        <v>2808</v>
      </c>
      <c r="BN128" s="1">
        <v>2</v>
      </c>
      <c r="BO128" s="1"/>
      <c r="BP128" s="1" t="str">
        <f>HYPERLINK("https://nconnect.nicmar.ac.in/storage/profile/ProfilePhoto_P25700065_754213.jpg","Download")</f>
        <v>0</v>
      </c>
      <c r="BQ128" s="3"/>
      <c r="BR128" s="3"/>
    </row>
    <row r="129" spans="1:70">
      <c r="A129" s="1" t="s">
        <v>70</v>
      </c>
      <c r="B129" s="1" t="s">
        <v>1269</v>
      </c>
      <c r="C129" s="1" t="s">
        <v>2809</v>
      </c>
      <c r="D129" s="1" t="s">
        <v>2810</v>
      </c>
      <c r="E129" s="1" t="s">
        <v>596</v>
      </c>
      <c r="F129" s="1" t="s">
        <v>2811</v>
      </c>
      <c r="G129" s="1" t="s">
        <v>2812</v>
      </c>
      <c r="H129" s="1" t="s">
        <v>2813</v>
      </c>
      <c r="I129" s="1" t="s">
        <v>2814</v>
      </c>
      <c r="J129" s="1">
        <v>7008703108</v>
      </c>
      <c r="K129" s="1" t="s">
        <v>79</v>
      </c>
      <c r="L129" s="1" t="s">
        <v>2815</v>
      </c>
      <c r="M129" s="1" t="s">
        <v>81</v>
      </c>
      <c r="N129" s="1" t="s">
        <v>2816</v>
      </c>
      <c r="O129" s="1"/>
      <c r="P129" s="1" t="s">
        <v>2817</v>
      </c>
      <c r="Q129" s="1" t="s">
        <v>2818</v>
      </c>
      <c r="R129" s="1" t="s">
        <v>2819</v>
      </c>
      <c r="S129" s="1">
        <v>6371072764</v>
      </c>
      <c r="T129" s="1" t="s">
        <v>2820</v>
      </c>
      <c r="U129" s="1" t="s">
        <v>2821</v>
      </c>
      <c r="V129" s="1">
        <v>9348470163</v>
      </c>
      <c r="W129" s="1" t="s">
        <v>2820</v>
      </c>
      <c r="X129" s="1" t="s">
        <v>2822</v>
      </c>
      <c r="Y129" s="1" t="s">
        <v>2823</v>
      </c>
      <c r="Z129" s="1" t="s">
        <v>1731</v>
      </c>
      <c r="AA129" s="1" t="s">
        <v>2822</v>
      </c>
      <c r="AB129" s="1" t="s">
        <v>2823</v>
      </c>
      <c r="AC129" s="1" t="s">
        <v>1731</v>
      </c>
      <c r="AD129" s="1">
        <v>8.49</v>
      </c>
      <c r="AE129" s="1" t="s">
        <v>93</v>
      </c>
      <c r="AF129" s="1" t="s">
        <v>2824</v>
      </c>
      <c r="AG129" s="1" t="s">
        <v>2825</v>
      </c>
      <c r="AH129" s="1" t="s">
        <v>2826</v>
      </c>
      <c r="AI129" s="1" t="s">
        <v>527</v>
      </c>
      <c r="AJ129" s="1">
        <v>79.5</v>
      </c>
      <c r="AK129" s="1"/>
      <c r="AL129" s="1" t="s">
        <v>2827</v>
      </c>
      <c r="AM129" s="1" t="s">
        <v>2828</v>
      </c>
      <c r="AN129" s="1" t="s">
        <v>162</v>
      </c>
      <c r="AO129" s="1" t="s">
        <v>166</v>
      </c>
      <c r="AP129" s="1">
        <v>66.2</v>
      </c>
      <c r="AQ129" s="1"/>
      <c r="AR129" s="1"/>
      <c r="AS129" s="1"/>
      <c r="AT129" s="1"/>
      <c r="AU129" s="1"/>
      <c r="AV129" s="1"/>
      <c r="AW129" s="1"/>
      <c r="AX129" s="1" t="s">
        <v>2829</v>
      </c>
      <c r="AY129" s="1" t="s">
        <v>2830</v>
      </c>
      <c r="AZ129" s="1" t="s">
        <v>101</v>
      </c>
      <c r="BA129" s="1" t="s">
        <v>105</v>
      </c>
      <c r="BB129" s="1">
        <v>93.7</v>
      </c>
      <c r="BC129" s="1">
        <v>9.37</v>
      </c>
      <c r="BD129" s="1"/>
      <c r="BE129" s="1"/>
      <c r="BF129" s="1"/>
      <c r="BG129" s="1"/>
      <c r="BH129" s="1"/>
      <c r="BI129" s="1"/>
      <c r="BJ129" s="1" t="s">
        <v>2831</v>
      </c>
      <c r="BK129" s="1"/>
      <c r="BL129" s="1"/>
      <c r="BM129" s="1" t="s">
        <v>2832</v>
      </c>
      <c r="BN129" s="1">
        <v>9</v>
      </c>
      <c r="BO129" s="1" t="s">
        <v>2833</v>
      </c>
      <c r="BP129" s="1" t="str">
        <f>HYPERLINK("https://nconnect.nicmar.ac.in/storage/profile/ProfilePhoto_P25700066_218945.jpg","Download")</f>
        <v>0</v>
      </c>
      <c r="BQ129" s="3"/>
      <c r="BR129" s="3"/>
    </row>
    <row r="130" spans="1:70">
      <c r="A130" s="1" t="s">
        <v>70</v>
      </c>
      <c r="B130" s="1" t="s">
        <v>1269</v>
      </c>
      <c r="C130" s="1" t="s">
        <v>2834</v>
      </c>
      <c r="D130" s="1" t="s">
        <v>2345</v>
      </c>
      <c r="E130" s="1" t="s">
        <v>1280</v>
      </c>
      <c r="F130" s="1" t="s">
        <v>2835</v>
      </c>
      <c r="G130" s="1" t="s">
        <v>2836</v>
      </c>
      <c r="H130" s="1" t="s">
        <v>2837</v>
      </c>
      <c r="I130" s="1" t="s">
        <v>2838</v>
      </c>
      <c r="J130" s="1">
        <v>9156804191</v>
      </c>
      <c r="K130" s="1" t="s">
        <v>79</v>
      </c>
      <c r="L130" s="1" t="s">
        <v>2839</v>
      </c>
      <c r="M130" s="1" t="s">
        <v>81</v>
      </c>
      <c r="N130" s="1" t="s">
        <v>1765</v>
      </c>
      <c r="O130" s="1"/>
      <c r="P130" s="1" t="s">
        <v>1298</v>
      </c>
      <c r="Q130" s="1" t="s">
        <v>2840</v>
      </c>
      <c r="R130" s="1" t="s">
        <v>1280</v>
      </c>
      <c r="S130" s="1">
        <v>9763106231</v>
      </c>
      <c r="T130" s="1" t="s">
        <v>763</v>
      </c>
      <c r="U130" s="1" t="s">
        <v>2841</v>
      </c>
      <c r="V130" s="1">
        <v>9637861884</v>
      </c>
      <c r="W130" s="1" t="s">
        <v>156</v>
      </c>
      <c r="X130" s="1" t="s">
        <v>2842</v>
      </c>
      <c r="Y130" s="1" t="s">
        <v>219</v>
      </c>
      <c r="Z130" s="1" t="s">
        <v>92</v>
      </c>
      <c r="AA130" s="1" t="s">
        <v>2842</v>
      </c>
      <c r="AB130" s="1" t="s">
        <v>219</v>
      </c>
      <c r="AC130" s="1" t="s">
        <v>92</v>
      </c>
      <c r="AD130" s="1">
        <v>7.35</v>
      </c>
      <c r="AE130" s="1" t="s">
        <v>93</v>
      </c>
      <c r="AF130" s="1" t="s">
        <v>2843</v>
      </c>
      <c r="AG130" s="1" t="s">
        <v>2844</v>
      </c>
      <c r="AH130" s="1" t="s">
        <v>96</v>
      </c>
      <c r="AI130" s="1" t="s">
        <v>161</v>
      </c>
      <c r="AJ130" s="1">
        <v>80</v>
      </c>
      <c r="AK130" s="1"/>
      <c r="AL130" s="1" t="s">
        <v>2845</v>
      </c>
      <c r="AM130" s="1" t="s">
        <v>2844</v>
      </c>
      <c r="AN130" s="1" t="s">
        <v>733</v>
      </c>
      <c r="AO130" s="1" t="s">
        <v>479</v>
      </c>
      <c r="AP130" s="1">
        <v>62</v>
      </c>
      <c r="AQ130" s="1"/>
      <c r="AR130" s="1"/>
      <c r="AS130" s="1"/>
      <c r="AT130" s="1"/>
      <c r="AU130" s="1"/>
      <c r="AV130" s="1"/>
      <c r="AW130" s="1"/>
      <c r="AX130" s="1" t="s">
        <v>335</v>
      </c>
      <c r="AY130" s="1" t="s">
        <v>2846</v>
      </c>
      <c r="AZ130" s="1" t="s">
        <v>383</v>
      </c>
      <c r="BA130" s="1" t="s">
        <v>436</v>
      </c>
      <c r="BB130" s="1">
        <v>89.62</v>
      </c>
      <c r="BC130" s="1">
        <v>9.82</v>
      </c>
      <c r="BD130" s="1"/>
      <c r="BE130" s="1"/>
      <c r="BF130" s="1"/>
      <c r="BG130" s="1"/>
      <c r="BH130" s="1"/>
      <c r="BI130" s="1"/>
      <c r="BJ130" s="1" t="s">
        <v>2847</v>
      </c>
      <c r="BK130" s="1" t="s">
        <v>2848</v>
      </c>
      <c r="BL130" s="1" t="s">
        <v>287</v>
      </c>
      <c r="BM130" s="1" t="s">
        <v>2849</v>
      </c>
      <c r="BN130" s="1">
        <v>28</v>
      </c>
      <c r="BO130" s="1" t="s">
        <v>2850</v>
      </c>
      <c r="BP130" s="1" t="str">
        <f>HYPERLINK("https://nconnect.nicmar.ac.in/storage/profile/ProfilePhoto_P25700067_296354.jpg","Download")</f>
        <v>0</v>
      </c>
      <c r="BQ130" s="3"/>
      <c r="BR130" s="3"/>
    </row>
    <row r="131" spans="1:70">
      <c r="A131" s="1" t="s">
        <v>70</v>
      </c>
      <c r="B131" s="1" t="s">
        <v>1269</v>
      </c>
      <c r="C131" s="1" t="s">
        <v>2851</v>
      </c>
      <c r="D131" s="1" t="s">
        <v>2852</v>
      </c>
      <c r="E131" s="1"/>
      <c r="F131" s="1" t="s">
        <v>2190</v>
      </c>
      <c r="G131" s="1" t="s">
        <v>2853</v>
      </c>
      <c r="H131" s="1" t="s">
        <v>2854</v>
      </c>
      <c r="I131" s="1" t="s">
        <v>2855</v>
      </c>
      <c r="J131" s="1">
        <v>9384237607</v>
      </c>
      <c r="K131" s="1" t="s">
        <v>79</v>
      </c>
      <c r="L131" s="1" t="s">
        <v>2856</v>
      </c>
      <c r="M131" s="1" t="s">
        <v>81</v>
      </c>
      <c r="N131" s="1" t="s">
        <v>2857</v>
      </c>
      <c r="O131" s="1"/>
      <c r="P131" s="1" t="s">
        <v>2505</v>
      </c>
      <c r="Q131" s="1" t="s">
        <v>2858</v>
      </c>
      <c r="R131" s="1" t="s">
        <v>2859</v>
      </c>
      <c r="S131" s="1">
        <v>9443467607</v>
      </c>
      <c r="T131" s="1" t="s">
        <v>2860</v>
      </c>
      <c r="U131" s="1" t="s">
        <v>2861</v>
      </c>
      <c r="V131" s="1">
        <v>7010827356</v>
      </c>
      <c r="W131" s="1" t="s">
        <v>273</v>
      </c>
      <c r="X131" s="1" t="s">
        <v>2862</v>
      </c>
      <c r="Y131" s="1" t="s">
        <v>2863</v>
      </c>
      <c r="Z131" s="1" t="s">
        <v>2863</v>
      </c>
      <c r="AA131" s="1" t="s">
        <v>2862</v>
      </c>
      <c r="AB131" s="1" t="s">
        <v>2863</v>
      </c>
      <c r="AC131" s="1" t="s">
        <v>2863</v>
      </c>
      <c r="AD131" s="1">
        <v>8.75</v>
      </c>
      <c r="AE131" s="1" t="s">
        <v>93</v>
      </c>
      <c r="AF131" s="1" t="s">
        <v>2864</v>
      </c>
      <c r="AG131" s="1" t="s">
        <v>2865</v>
      </c>
      <c r="AH131" s="1" t="s">
        <v>101</v>
      </c>
      <c r="AI131" s="1" t="s">
        <v>409</v>
      </c>
      <c r="AJ131" s="1">
        <v>80.6</v>
      </c>
      <c r="AK131" s="1"/>
      <c r="AL131" s="1" t="s">
        <v>2864</v>
      </c>
      <c r="AM131" s="1" t="s">
        <v>2865</v>
      </c>
      <c r="AN131" s="1" t="s">
        <v>699</v>
      </c>
      <c r="AO131" s="1" t="s">
        <v>1712</v>
      </c>
      <c r="AP131" s="1">
        <v>83.95</v>
      </c>
      <c r="AQ131" s="1"/>
      <c r="AR131" s="1"/>
      <c r="AS131" s="1"/>
      <c r="AT131" s="1"/>
      <c r="AU131" s="1"/>
      <c r="AV131" s="1"/>
      <c r="AW131" s="1"/>
      <c r="AX131" s="1" t="s">
        <v>1359</v>
      </c>
      <c r="AY131" s="1" t="s">
        <v>2866</v>
      </c>
      <c r="AZ131" s="1" t="s">
        <v>436</v>
      </c>
      <c r="BA131" s="1" t="s">
        <v>1584</v>
      </c>
      <c r="BB131" s="1">
        <v>82.2</v>
      </c>
      <c r="BC131" s="1">
        <v>8.22</v>
      </c>
      <c r="BD131" s="1"/>
      <c r="BE131" s="1"/>
      <c r="BF131" s="1"/>
      <c r="BG131" s="1"/>
      <c r="BH131" s="1"/>
      <c r="BI131" s="1"/>
      <c r="BJ131" s="1" t="s">
        <v>2867</v>
      </c>
      <c r="BK131" s="1"/>
      <c r="BL131" s="1"/>
      <c r="BM131" s="1" t="s">
        <v>2868</v>
      </c>
      <c r="BN131" s="1">
        <v>13</v>
      </c>
      <c r="BO131" s="1" t="s">
        <v>2869</v>
      </c>
      <c r="BP131" s="1" t="str">
        <f>HYPERLINK("https://nconnect.nicmar.ac.in/storage/profile/ProfilePhoto_P25700068_416927.jpg","Download")</f>
        <v>0</v>
      </c>
      <c r="BQ131" s="3"/>
      <c r="BR131" s="3"/>
    </row>
    <row r="132" spans="1:70">
      <c r="A132" s="1" t="s">
        <v>70</v>
      </c>
      <c r="B132" s="1" t="s">
        <v>1269</v>
      </c>
      <c r="C132" s="1" t="s">
        <v>2870</v>
      </c>
      <c r="D132" s="1" t="s">
        <v>1455</v>
      </c>
      <c r="E132" s="1" t="s">
        <v>2871</v>
      </c>
      <c r="F132" s="1" t="s">
        <v>835</v>
      </c>
      <c r="G132" s="1" t="s">
        <v>2872</v>
      </c>
      <c r="H132" s="1" t="s">
        <v>2873</v>
      </c>
      <c r="I132" s="1" t="s">
        <v>2874</v>
      </c>
      <c r="J132" s="1">
        <v>7395070607</v>
      </c>
      <c r="K132" s="1" t="s">
        <v>79</v>
      </c>
      <c r="L132" s="1" t="s">
        <v>2875</v>
      </c>
      <c r="M132" s="1" t="s">
        <v>81</v>
      </c>
      <c r="N132" s="1" t="s">
        <v>2876</v>
      </c>
      <c r="O132" s="1"/>
      <c r="P132" s="1" t="s">
        <v>1323</v>
      </c>
      <c r="Q132" s="1" t="s">
        <v>2877</v>
      </c>
      <c r="R132" s="1" t="s">
        <v>2878</v>
      </c>
      <c r="S132" s="1">
        <v>9451192005</v>
      </c>
      <c r="T132" s="1" t="s">
        <v>2879</v>
      </c>
      <c r="U132" s="1" t="s">
        <v>2880</v>
      </c>
      <c r="V132" s="1">
        <v>8543047445</v>
      </c>
      <c r="W132" s="1" t="s">
        <v>273</v>
      </c>
      <c r="X132" s="1" t="s">
        <v>2881</v>
      </c>
      <c r="Y132" s="1" t="s">
        <v>1354</v>
      </c>
      <c r="Z132" s="1" t="s">
        <v>1355</v>
      </c>
      <c r="AA132" s="1" t="s">
        <v>2882</v>
      </c>
      <c r="AB132" s="1" t="s">
        <v>1354</v>
      </c>
      <c r="AC132" s="1" t="s">
        <v>1355</v>
      </c>
      <c r="AD132" s="1">
        <v>8.52</v>
      </c>
      <c r="AE132" s="1" t="s">
        <v>93</v>
      </c>
      <c r="AF132" s="1" t="s">
        <v>2883</v>
      </c>
      <c r="AG132" s="1" t="s">
        <v>2884</v>
      </c>
      <c r="AH132" s="1" t="s">
        <v>279</v>
      </c>
      <c r="AI132" s="1" t="s">
        <v>165</v>
      </c>
      <c r="AJ132" s="1">
        <v>87.4</v>
      </c>
      <c r="AK132" s="1">
        <v>9.2</v>
      </c>
      <c r="AL132" s="1" t="s">
        <v>2883</v>
      </c>
      <c r="AM132" s="1" t="s">
        <v>2884</v>
      </c>
      <c r="AN132" s="1" t="s">
        <v>1307</v>
      </c>
      <c r="AO132" s="1" t="s">
        <v>308</v>
      </c>
      <c r="AP132" s="1">
        <v>62</v>
      </c>
      <c r="AQ132" s="1"/>
      <c r="AR132" s="1"/>
      <c r="AS132" s="1"/>
      <c r="AT132" s="1"/>
      <c r="AU132" s="1"/>
      <c r="AV132" s="1"/>
      <c r="AW132" s="1"/>
      <c r="AX132" s="1" t="s">
        <v>2885</v>
      </c>
      <c r="AY132" s="1" t="s">
        <v>2886</v>
      </c>
      <c r="AZ132" s="1" t="s">
        <v>310</v>
      </c>
      <c r="BA132" s="1" t="s">
        <v>174</v>
      </c>
      <c r="BB132" s="1">
        <v>77.8</v>
      </c>
      <c r="BC132" s="1">
        <v>7.78</v>
      </c>
      <c r="BD132" s="1"/>
      <c r="BE132" s="1"/>
      <c r="BF132" s="1"/>
      <c r="BG132" s="1"/>
      <c r="BH132" s="1"/>
      <c r="BI132" s="1"/>
      <c r="BJ132" s="1" t="s">
        <v>1383</v>
      </c>
      <c r="BK132" s="1" t="s">
        <v>2887</v>
      </c>
      <c r="BL132" s="1" t="s">
        <v>2888</v>
      </c>
      <c r="BM132" s="1" t="s">
        <v>2889</v>
      </c>
      <c r="BN132" s="1">
        <v>9</v>
      </c>
      <c r="BO132" s="1" t="s">
        <v>2890</v>
      </c>
      <c r="BP132" s="1" t="str">
        <f>HYPERLINK("https://nconnect.nicmar.ac.in/storage/profile/ProfilePhoto_P25700069_452369.jpg","Download")</f>
        <v>0</v>
      </c>
      <c r="BQ132" s="3"/>
      <c r="BR132" s="3"/>
    </row>
    <row r="133" spans="1:70">
      <c r="A133" s="1" t="s">
        <v>70</v>
      </c>
      <c r="B133" s="1" t="s">
        <v>1269</v>
      </c>
      <c r="C133" s="1" t="s">
        <v>2891</v>
      </c>
      <c r="D133" s="1" t="s">
        <v>2892</v>
      </c>
      <c r="E133" s="1" t="s">
        <v>1566</v>
      </c>
      <c r="F133" s="1" t="s">
        <v>2893</v>
      </c>
      <c r="G133" s="1" t="s">
        <v>2894</v>
      </c>
      <c r="H133" s="1" t="s">
        <v>2895</v>
      </c>
      <c r="I133" s="1" t="s">
        <v>2896</v>
      </c>
      <c r="J133" s="1">
        <v>7666230780</v>
      </c>
      <c r="K133" s="1" t="s">
        <v>79</v>
      </c>
      <c r="L133" s="1" t="s">
        <v>2897</v>
      </c>
      <c r="M133" s="1" t="s">
        <v>81</v>
      </c>
      <c r="N133" s="1" t="s">
        <v>2008</v>
      </c>
      <c r="O133" s="1"/>
      <c r="P133" s="1" t="s">
        <v>1298</v>
      </c>
      <c r="Q133" s="1" t="s">
        <v>2898</v>
      </c>
      <c r="R133" s="1" t="s">
        <v>2899</v>
      </c>
      <c r="S133" s="1">
        <v>7020516143</v>
      </c>
      <c r="T133" s="1" t="s">
        <v>910</v>
      </c>
      <c r="U133" s="1" t="s">
        <v>2900</v>
      </c>
      <c r="V133" s="1">
        <v>9075994350</v>
      </c>
      <c r="W133" s="1" t="s">
        <v>156</v>
      </c>
      <c r="X133" s="1" t="s">
        <v>2901</v>
      </c>
      <c r="Y133" s="1" t="s">
        <v>2902</v>
      </c>
      <c r="Z133" s="1" t="s">
        <v>92</v>
      </c>
      <c r="AA133" s="1" t="s">
        <v>2901</v>
      </c>
      <c r="AB133" s="1" t="s">
        <v>2902</v>
      </c>
      <c r="AC133" s="1" t="s">
        <v>92</v>
      </c>
      <c r="AD133" s="1">
        <v>8.95</v>
      </c>
      <c r="AE133" s="1" t="s">
        <v>93</v>
      </c>
      <c r="AF133" s="1" t="s">
        <v>2903</v>
      </c>
      <c r="AG133" s="1" t="s">
        <v>2904</v>
      </c>
      <c r="AH133" s="1" t="s">
        <v>162</v>
      </c>
      <c r="AI133" s="1" t="s">
        <v>165</v>
      </c>
      <c r="AJ133" s="1">
        <v>90.2</v>
      </c>
      <c r="AK133" s="1"/>
      <c r="AL133" s="1"/>
      <c r="AM133" s="1"/>
      <c r="AN133" s="1"/>
      <c r="AO133" s="1"/>
      <c r="AP133" s="1"/>
      <c r="AQ133" s="1"/>
      <c r="AR133" s="1" t="s">
        <v>98</v>
      </c>
      <c r="AS133" s="1" t="s">
        <v>2905</v>
      </c>
      <c r="AT133" s="1" t="s">
        <v>2906</v>
      </c>
      <c r="AU133" s="1" t="s">
        <v>170</v>
      </c>
      <c r="AV133" s="1">
        <v>96.58</v>
      </c>
      <c r="AW133" s="1"/>
      <c r="AX133" s="1" t="s">
        <v>361</v>
      </c>
      <c r="AY133" s="1" t="s">
        <v>2907</v>
      </c>
      <c r="AZ133" s="1" t="s">
        <v>363</v>
      </c>
      <c r="BA133" s="1" t="s">
        <v>174</v>
      </c>
      <c r="BB133" s="1">
        <v>86.24</v>
      </c>
      <c r="BC133" s="1">
        <v>9.12</v>
      </c>
      <c r="BD133" s="1"/>
      <c r="BE133" s="1"/>
      <c r="BF133" s="1"/>
      <c r="BG133" s="1"/>
      <c r="BH133" s="1"/>
      <c r="BI133" s="1"/>
      <c r="BJ133" s="1" t="s">
        <v>2908</v>
      </c>
      <c r="BK133" s="1" t="s">
        <v>2909</v>
      </c>
      <c r="BL133" s="1" t="s">
        <v>2910</v>
      </c>
      <c r="BM133" s="1" t="s">
        <v>2911</v>
      </c>
      <c r="BN133" s="1">
        <v>56</v>
      </c>
      <c r="BO133" s="1" t="s">
        <v>2912</v>
      </c>
      <c r="BP133" s="1" t="str">
        <f>HYPERLINK("https://nconnect.nicmar.ac.in/storage/profile/ProfilePhoto_P25700070_589147.jpg","Download")</f>
        <v>0</v>
      </c>
      <c r="BQ133" s="3"/>
      <c r="BR133" s="3"/>
    </row>
    <row r="134" spans="1:70">
      <c r="A134" s="1" t="s">
        <v>70</v>
      </c>
      <c r="B134" s="1" t="s">
        <v>1269</v>
      </c>
      <c r="C134" s="1" t="s">
        <v>2913</v>
      </c>
      <c r="D134" s="1" t="s">
        <v>2914</v>
      </c>
      <c r="E134" s="1"/>
      <c r="F134" s="1" t="s">
        <v>2308</v>
      </c>
      <c r="G134" s="1" t="s">
        <v>2915</v>
      </c>
      <c r="H134" s="1" t="s">
        <v>2916</v>
      </c>
      <c r="I134" s="1" t="s">
        <v>2917</v>
      </c>
      <c r="J134" s="1">
        <v>9488964540</v>
      </c>
      <c r="K134" s="1" t="s">
        <v>79</v>
      </c>
      <c r="L134" s="1" t="s">
        <v>2918</v>
      </c>
      <c r="M134" s="1" t="s">
        <v>81</v>
      </c>
      <c r="N134" s="1" t="s">
        <v>2919</v>
      </c>
      <c r="O134" s="1"/>
      <c r="P134" s="1" t="s">
        <v>1278</v>
      </c>
      <c r="Q134" s="1" t="s">
        <v>2920</v>
      </c>
      <c r="R134" s="1" t="s">
        <v>2921</v>
      </c>
      <c r="S134" s="1">
        <v>9043064540</v>
      </c>
      <c r="T134" s="1" t="s">
        <v>2922</v>
      </c>
      <c r="U134" s="1" t="s">
        <v>2923</v>
      </c>
      <c r="V134" s="1">
        <v>9943064540</v>
      </c>
      <c r="W134" s="1" t="s">
        <v>2922</v>
      </c>
      <c r="X134" s="1" t="s">
        <v>2924</v>
      </c>
      <c r="Y134" s="1" t="s">
        <v>2925</v>
      </c>
      <c r="Z134" s="1" t="s">
        <v>1377</v>
      </c>
      <c r="AA134" s="1" t="s">
        <v>2924</v>
      </c>
      <c r="AB134" s="1" t="s">
        <v>2925</v>
      </c>
      <c r="AC134" s="1" t="s">
        <v>1377</v>
      </c>
      <c r="AD134" s="1">
        <v>8.64</v>
      </c>
      <c r="AE134" s="1" t="s">
        <v>93</v>
      </c>
      <c r="AF134" s="1" t="s">
        <v>2926</v>
      </c>
      <c r="AG134" s="1" t="s">
        <v>2927</v>
      </c>
      <c r="AH134" s="1" t="s">
        <v>166</v>
      </c>
      <c r="AI134" s="1" t="s">
        <v>308</v>
      </c>
      <c r="AJ134" s="1">
        <v>87</v>
      </c>
      <c r="AK134" s="1"/>
      <c r="AL134" s="1" t="s">
        <v>2928</v>
      </c>
      <c r="AM134" s="1" t="s">
        <v>2927</v>
      </c>
      <c r="AN134" s="1" t="s">
        <v>681</v>
      </c>
      <c r="AO134" s="1" t="s">
        <v>436</v>
      </c>
      <c r="AP134" s="1">
        <v>88.6</v>
      </c>
      <c r="AQ134" s="1"/>
      <c r="AR134" s="1"/>
      <c r="AS134" s="1"/>
      <c r="AT134" s="1"/>
      <c r="AU134" s="1"/>
      <c r="AV134" s="1"/>
      <c r="AW134" s="1"/>
      <c r="AX134" s="1" t="s">
        <v>1381</v>
      </c>
      <c r="AY134" s="1" t="s">
        <v>2929</v>
      </c>
      <c r="AZ134" s="1" t="s">
        <v>1051</v>
      </c>
      <c r="BA134" s="1" t="s">
        <v>1361</v>
      </c>
      <c r="BB134" s="1">
        <v>73.8</v>
      </c>
      <c r="BC134" s="1">
        <v>7.38</v>
      </c>
      <c r="BD134" s="1"/>
      <c r="BE134" s="1"/>
      <c r="BF134" s="1"/>
      <c r="BG134" s="1"/>
      <c r="BH134" s="1"/>
      <c r="BI134" s="1"/>
      <c r="BJ134" s="1" t="s">
        <v>2930</v>
      </c>
      <c r="BK134" s="1"/>
      <c r="BL134" s="1"/>
      <c r="BM134" s="1" t="s">
        <v>2931</v>
      </c>
      <c r="BN134" s="1">
        <v>9</v>
      </c>
      <c r="BO134" s="1" t="s">
        <v>2932</v>
      </c>
      <c r="BP134" s="1" t="str">
        <f>HYPERLINK("https://nconnect.nicmar.ac.in/storage/profile/ProfilePhoto_P25700071_679325.jpg","Download")</f>
        <v>0</v>
      </c>
      <c r="BQ134" s="3"/>
      <c r="BR134" s="3"/>
    </row>
    <row r="135" spans="1:70">
      <c r="A135" s="1" t="s">
        <v>70</v>
      </c>
      <c r="B135" s="1" t="s">
        <v>1269</v>
      </c>
      <c r="C135" s="1" t="s">
        <v>2933</v>
      </c>
      <c r="D135" s="1" t="s">
        <v>2934</v>
      </c>
      <c r="E135" s="1"/>
      <c r="F135" s="1" t="s">
        <v>2935</v>
      </c>
      <c r="G135" s="1" t="s">
        <v>2936</v>
      </c>
      <c r="H135" s="1" t="s">
        <v>2937</v>
      </c>
      <c r="I135" s="1" t="s">
        <v>2938</v>
      </c>
      <c r="J135" s="1">
        <v>9151747407</v>
      </c>
      <c r="K135" s="1" t="s">
        <v>79</v>
      </c>
      <c r="L135" s="1" t="s">
        <v>2939</v>
      </c>
      <c r="M135" s="1" t="s">
        <v>150</v>
      </c>
      <c r="N135" s="1" t="s">
        <v>241</v>
      </c>
      <c r="O135" s="1"/>
      <c r="P135" s="1" t="s">
        <v>1298</v>
      </c>
      <c r="Q135" s="1" t="s">
        <v>2940</v>
      </c>
      <c r="R135" s="1" t="s">
        <v>2941</v>
      </c>
      <c r="S135" s="1">
        <v>9414583350</v>
      </c>
      <c r="T135" s="1" t="s">
        <v>2942</v>
      </c>
      <c r="U135" s="1" t="s">
        <v>2943</v>
      </c>
      <c r="V135" s="1">
        <v>9151747407</v>
      </c>
      <c r="W135" s="1" t="s">
        <v>156</v>
      </c>
      <c r="X135" s="1" t="s">
        <v>2944</v>
      </c>
      <c r="Y135" s="1" t="s">
        <v>2945</v>
      </c>
      <c r="Z135" s="1" t="s">
        <v>867</v>
      </c>
      <c r="AA135" s="1" t="s">
        <v>2944</v>
      </c>
      <c r="AB135" s="1" t="s">
        <v>2945</v>
      </c>
      <c r="AC135" s="1" t="s">
        <v>867</v>
      </c>
      <c r="AD135" s="1">
        <v>9.46</v>
      </c>
      <c r="AE135" s="1" t="s">
        <v>93</v>
      </c>
      <c r="AF135" s="1" t="s">
        <v>2946</v>
      </c>
      <c r="AG135" s="1" t="s">
        <v>2947</v>
      </c>
      <c r="AH135" s="1" t="s">
        <v>2948</v>
      </c>
      <c r="AI135" s="1" t="s">
        <v>2949</v>
      </c>
      <c r="AJ135" s="1">
        <v>90</v>
      </c>
      <c r="AK135" s="1"/>
      <c r="AL135" s="1" t="s">
        <v>2950</v>
      </c>
      <c r="AM135" s="1" t="s">
        <v>2951</v>
      </c>
      <c r="AN135" s="1" t="s">
        <v>2221</v>
      </c>
      <c r="AO135" s="1" t="s">
        <v>331</v>
      </c>
      <c r="AP135" s="1">
        <v>78.31</v>
      </c>
      <c r="AQ135" s="1"/>
      <c r="AR135" s="1"/>
      <c r="AS135" s="1"/>
      <c r="AT135" s="1"/>
      <c r="AU135" s="1"/>
      <c r="AV135" s="1"/>
      <c r="AW135" s="1"/>
      <c r="AX135" s="1" t="s">
        <v>2952</v>
      </c>
      <c r="AY135" s="1" t="s">
        <v>2953</v>
      </c>
      <c r="AZ135" s="1" t="s">
        <v>1670</v>
      </c>
      <c r="BA135" s="1" t="s">
        <v>131</v>
      </c>
      <c r="BB135" s="1">
        <v>79.08</v>
      </c>
      <c r="BC135" s="1"/>
      <c r="BD135" s="1"/>
      <c r="BE135" s="1"/>
      <c r="BF135" s="1"/>
      <c r="BG135" s="1"/>
      <c r="BH135" s="1"/>
      <c r="BI135" s="1"/>
      <c r="BJ135" s="1" t="s">
        <v>2954</v>
      </c>
      <c r="BK135" s="1" t="s">
        <v>2955</v>
      </c>
      <c r="BL135" s="1" t="s">
        <v>2956</v>
      </c>
      <c r="BM135" s="1" t="s">
        <v>2957</v>
      </c>
      <c r="BN135" s="1">
        <v>16</v>
      </c>
      <c r="BO135" s="1" t="s">
        <v>2958</v>
      </c>
      <c r="BP135" s="1" t="str">
        <f>HYPERLINK("https://nconnect.nicmar.ac.in/storage/profile/ProfilePhoto_P25700072_317845.jpg","Download")</f>
        <v>0</v>
      </c>
      <c r="BQ135" s="3"/>
      <c r="BR135" s="3"/>
    </row>
    <row r="136" spans="1:70">
      <c r="A136" s="1" t="s">
        <v>70</v>
      </c>
      <c r="B136" s="1" t="s">
        <v>1269</v>
      </c>
      <c r="C136" s="1" t="s">
        <v>2959</v>
      </c>
      <c r="D136" s="1" t="s">
        <v>1964</v>
      </c>
      <c r="E136" s="1" t="s">
        <v>2960</v>
      </c>
      <c r="F136" s="1" t="s">
        <v>2961</v>
      </c>
      <c r="G136" s="1" t="s">
        <v>2962</v>
      </c>
      <c r="H136" s="1" t="s">
        <v>2963</v>
      </c>
      <c r="I136" s="1" t="s">
        <v>2964</v>
      </c>
      <c r="J136" s="1">
        <v>8419957170</v>
      </c>
      <c r="K136" s="1" t="s">
        <v>79</v>
      </c>
      <c r="L136" s="1" t="s">
        <v>2965</v>
      </c>
      <c r="M136" s="1" t="s">
        <v>81</v>
      </c>
      <c r="N136" s="1" t="s">
        <v>2966</v>
      </c>
      <c r="O136" s="1"/>
      <c r="P136" s="1" t="s">
        <v>1766</v>
      </c>
      <c r="Q136" s="1" t="s">
        <v>2967</v>
      </c>
      <c r="R136" s="1" t="s">
        <v>2960</v>
      </c>
      <c r="S136" s="1">
        <v>9821580887</v>
      </c>
      <c r="T136" s="1" t="s">
        <v>216</v>
      </c>
      <c r="U136" s="1" t="s">
        <v>2968</v>
      </c>
      <c r="V136" s="1">
        <v>9821580977</v>
      </c>
      <c r="W136" s="1" t="s">
        <v>651</v>
      </c>
      <c r="X136" s="1" t="s">
        <v>2969</v>
      </c>
      <c r="Y136" s="1" t="s">
        <v>766</v>
      </c>
      <c r="Z136" s="1" t="s">
        <v>92</v>
      </c>
      <c r="AA136" s="1" t="s">
        <v>2969</v>
      </c>
      <c r="AB136" s="1" t="s">
        <v>766</v>
      </c>
      <c r="AC136" s="1" t="s">
        <v>92</v>
      </c>
      <c r="AD136" s="1">
        <v>8.9</v>
      </c>
      <c r="AE136" s="1" t="s">
        <v>93</v>
      </c>
      <c r="AF136" s="1" t="s">
        <v>2970</v>
      </c>
      <c r="AG136" s="1" t="s">
        <v>1152</v>
      </c>
      <c r="AH136" s="1" t="s">
        <v>165</v>
      </c>
      <c r="AI136" s="1" t="s">
        <v>166</v>
      </c>
      <c r="AJ136" s="1">
        <v>91.33</v>
      </c>
      <c r="AK136" s="1"/>
      <c r="AL136" s="1" t="s">
        <v>2971</v>
      </c>
      <c r="AM136" s="1" t="s">
        <v>160</v>
      </c>
      <c r="AN136" s="1" t="s">
        <v>433</v>
      </c>
      <c r="AO136" s="1" t="s">
        <v>173</v>
      </c>
      <c r="AP136" s="1">
        <v>73.08</v>
      </c>
      <c r="AQ136" s="1"/>
      <c r="AR136" s="1"/>
      <c r="AS136" s="1"/>
      <c r="AT136" s="1"/>
      <c r="AU136" s="1"/>
      <c r="AV136" s="1"/>
      <c r="AW136" s="1"/>
      <c r="AX136" s="1" t="s">
        <v>1891</v>
      </c>
      <c r="AY136" s="1" t="s">
        <v>2015</v>
      </c>
      <c r="AZ136" s="1" t="s">
        <v>897</v>
      </c>
      <c r="BA136" s="1" t="s">
        <v>1361</v>
      </c>
      <c r="BB136" s="1">
        <v>71.3</v>
      </c>
      <c r="BC136" s="1">
        <v>7.88</v>
      </c>
      <c r="BD136" s="1"/>
      <c r="BE136" s="1"/>
      <c r="BF136" s="1"/>
      <c r="BG136" s="1"/>
      <c r="BH136" s="1"/>
      <c r="BI136" s="1"/>
      <c r="BJ136" s="1" t="s">
        <v>1383</v>
      </c>
      <c r="BK136" s="1"/>
      <c r="BL136" s="1"/>
      <c r="BM136" s="1" t="s">
        <v>2972</v>
      </c>
      <c r="BN136" s="1">
        <v>4</v>
      </c>
      <c r="BO136" s="1"/>
      <c r="BP136" s="1" t="str">
        <f>HYPERLINK("https://nconnect.nicmar.ac.in/storage/profile/ProfilePhoto_P25700073_752198.jpg","Download")</f>
        <v>0</v>
      </c>
      <c r="BQ136" s="3"/>
      <c r="BR136" s="3"/>
    </row>
    <row r="137" spans="1:70">
      <c r="A137" s="1" t="s">
        <v>70</v>
      </c>
      <c r="B137" s="1" t="s">
        <v>1269</v>
      </c>
      <c r="C137" s="1" t="s">
        <v>2973</v>
      </c>
      <c r="D137" s="1" t="s">
        <v>2974</v>
      </c>
      <c r="E137" s="1"/>
      <c r="F137" s="1" t="s">
        <v>2975</v>
      </c>
      <c r="G137" s="1" t="s">
        <v>2976</v>
      </c>
      <c r="H137" s="1" t="s">
        <v>2977</v>
      </c>
      <c r="I137" s="1" t="s">
        <v>2978</v>
      </c>
      <c r="J137" s="1">
        <v>9753124934</v>
      </c>
      <c r="K137" s="1" t="s">
        <v>79</v>
      </c>
      <c r="L137" s="1" t="s">
        <v>2979</v>
      </c>
      <c r="M137" s="1" t="s">
        <v>150</v>
      </c>
      <c r="N137" s="1" t="s">
        <v>2980</v>
      </c>
      <c r="O137" s="1"/>
      <c r="P137" s="1" t="s">
        <v>1323</v>
      </c>
      <c r="Q137" s="1" t="s">
        <v>2981</v>
      </c>
      <c r="R137" s="1" t="s">
        <v>2982</v>
      </c>
      <c r="S137" s="1">
        <v>7693960127</v>
      </c>
      <c r="T137" s="1" t="s">
        <v>2983</v>
      </c>
      <c r="U137" s="1" t="s">
        <v>2984</v>
      </c>
      <c r="V137" s="1">
        <v>8051535477</v>
      </c>
      <c r="W137" s="1" t="s">
        <v>156</v>
      </c>
      <c r="X137" s="1" t="s">
        <v>2985</v>
      </c>
      <c r="Y137" s="1" t="s">
        <v>2986</v>
      </c>
      <c r="Z137" s="1" t="s">
        <v>846</v>
      </c>
      <c r="AA137" s="1" t="s">
        <v>2987</v>
      </c>
      <c r="AB137" s="1" t="s">
        <v>2988</v>
      </c>
      <c r="AC137" s="1" t="s">
        <v>846</v>
      </c>
      <c r="AD137" s="1">
        <v>9.15</v>
      </c>
      <c r="AE137" s="1" t="s">
        <v>93</v>
      </c>
      <c r="AF137" s="1" t="s">
        <v>2989</v>
      </c>
      <c r="AG137" s="1" t="s">
        <v>2990</v>
      </c>
      <c r="AH137" s="1" t="s">
        <v>2949</v>
      </c>
      <c r="AI137" s="1" t="s">
        <v>2991</v>
      </c>
      <c r="AJ137" s="1">
        <v>78.2</v>
      </c>
      <c r="AK137" s="1"/>
      <c r="AL137" s="1" t="s">
        <v>2992</v>
      </c>
      <c r="AM137" s="1" t="s">
        <v>2993</v>
      </c>
      <c r="AN137" s="1" t="s">
        <v>331</v>
      </c>
      <c r="AO137" s="1" t="s">
        <v>128</v>
      </c>
      <c r="AP137" s="1">
        <v>72.6</v>
      </c>
      <c r="AQ137" s="1"/>
      <c r="AR137" s="1"/>
      <c r="AS137" s="1"/>
      <c r="AT137" s="1"/>
      <c r="AU137" s="1"/>
      <c r="AV137" s="1"/>
      <c r="AW137" s="1"/>
      <c r="AX137" s="1" t="s">
        <v>2994</v>
      </c>
      <c r="AY137" s="1" t="s">
        <v>2995</v>
      </c>
      <c r="AZ137" s="1" t="s">
        <v>249</v>
      </c>
      <c r="BA137" s="1" t="s">
        <v>162</v>
      </c>
      <c r="BB137" s="1">
        <v>76.4</v>
      </c>
      <c r="BC137" s="1">
        <v>7.64</v>
      </c>
      <c r="BD137" s="1" t="s">
        <v>2994</v>
      </c>
      <c r="BE137" s="1" t="s">
        <v>2403</v>
      </c>
      <c r="BF137" s="1" t="s">
        <v>383</v>
      </c>
      <c r="BG137" s="1" t="s">
        <v>2996</v>
      </c>
      <c r="BH137" s="1">
        <v>85</v>
      </c>
      <c r="BI137" s="1">
        <v>8.5</v>
      </c>
      <c r="BJ137" s="1" t="s">
        <v>1383</v>
      </c>
      <c r="BK137" s="1" t="s">
        <v>2997</v>
      </c>
      <c r="BL137" s="1" t="s">
        <v>2303</v>
      </c>
      <c r="BM137" s="1" t="s">
        <v>2998</v>
      </c>
      <c r="BN137" s="1">
        <v>54</v>
      </c>
      <c r="BO137" s="1" t="s">
        <v>2999</v>
      </c>
      <c r="BP137" s="1" t="str">
        <f>HYPERLINK("https://nconnect.nicmar.ac.in/storage/profile/ProfilePhoto_P25700074_653724.jpg","Download")</f>
        <v>0</v>
      </c>
      <c r="BQ137" s="3"/>
      <c r="BR137" s="3"/>
    </row>
    <row r="138" spans="1:70">
      <c r="A138" s="1" t="s">
        <v>70</v>
      </c>
      <c r="B138" s="1" t="s">
        <v>1269</v>
      </c>
      <c r="C138" s="1" t="s">
        <v>3000</v>
      </c>
      <c r="D138" s="1" t="s">
        <v>1781</v>
      </c>
      <c r="E138" s="1"/>
      <c r="F138" s="1" t="s">
        <v>345</v>
      </c>
      <c r="G138" s="1" t="s">
        <v>3001</v>
      </c>
      <c r="H138" s="1" t="s">
        <v>3002</v>
      </c>
      <c r="I138" s="1" t="s">
        <v>3003</v>
      </c>
      <c r="J138" s="1">
        <v>7380748889</v>
      </c>
      <c r="K138" s="1" t="s">
        <v>79</v>
      </c>
      <c r="L138" s="1" t="s">
        <v>3004</v>
      </c>
      <c r="M138" s="1" t="s">
        <v>81</v>
      </c>
      <c r="N138" s="1" t="s">
        <v>82</v>
      </c>
      <c r="O138" s="1"/>
      <c r="P138" s="1"/>
      <c r="Q138" s="1" t="s">
        <v>3005</v>
      </c>
      <c r="R138" s="1" t="s">
        <v>3006</v>
      </c>
      <c r="S138" s="1">
        <v>9838012757</v>
      </c>
      <c r="T138" s="1" t="s">
        <v>3007</v>
      </c>
      <c r="U138" s="1" t="s">
        <v>3008</v>
      </c>
      <c r="V138" s="1">
        <v>9120524427</v>
      </c>
      <c r="W138" s="1" t="s">
        <v>273</v>
      </c>
      <c r="X138" s="1" t="s">
        <v>3009</v>
      </c>
      <c r="Y138" s="1" t="s">
        <v>1354</v>
      </c>
      <c r="Z138" s="1" t="s">
        <v>1355</v>
      </c>
      <c r="AA138" s="1" t="s">
        <v>3010</v>
      </c>
      <c r="AB138" s="1" t="s">
        <v>1354</v>
      </c>
      <c r="AC138" s="1" t="s">
        <v>1355</v>
      </c>
      <c r="AD138" s="1">
        <v>8.59</v>
      </c>
      <c r="AE138" s="1" t="s">
        <v>93</v>
      </c>
      <c r="AF138" s="1" t="s">
        <v>3011</v>
      </c>
      <c r="AG138" s="1" t="s">
        <v>3012</v>
      </c>
      <c r="AH138" s="1" t="s">
        <v>279</v>
      </c>
      <c r="AI138" s="1" t="s">
        <v>165</v>
      </c>
      <c r="AJ138" s="1">
        <v>70.3</v>
      </c>
      <c r="AK138" s="1">
        <v>7.4</v>
      </c>
      <c r="AL138" s="1" t="s">
        <v>3011</v>
      </c>
      <c r="AM138" s="1" t="s">
        <v>3012</v>
      </c>
      <c r="AN138" s="1" t="s">
        <v>1307</v>
      </c>
      <c r="AO138" s="1" t="s">
        <v>308</v>
      </c>
      <c r="AP138" s="1">
        <v>73.5</v>
      </c>
      <c r="AQ138" s="1"/>
      <c r="AR138" s="1"/>
      <c r="AS138" s="1"/>
      <c r="AT138" s="1"/>
      <c r="AU138" s="1"/>
      <c r="AV138" s="1"/>
      <c r="AW138" s="1"/>
      <c r="AX138" s="1" t="s">
        <v>1834</v>
      </c>
      <c r="AY138" s="1" t="s">
        <v>3013</v>
      </c>
      <c r="AZ138" s="1" t="s">
        <v>681</v>
      </c>
      <c r="BA138" s="1" t="s">
        <v>1938</v>
      </c>
      <c r="BB138" s="1">
        <v>74.4</v>
      </c>
      <c r="BC138" s="1">
        <v>7.44</v>
      </c>
      <c r="BD138" s="1"/>
      <c r="BE138" s="1"/>
      <c r="BF138" s="1"/>
      <c r="BG138" s="1"/>
      <c r="BH138" s="1"/>
      <c r="BI138" s="1"/>
      <c r="BJ138" s="1" t="s">
        <v>3014</v>
      </c>
      <c r="BK138" s="1"/>
      <c r="BL138" s="1"/>
      <c r="BM138" s="1" t="s">
        <v>3015</v>
      </c>
      <c r="BN138" s="1">
        <v>6</v>
      </c>
      <c r="BO138" s="1"/>
      <c r="BP138" s="1" t="str">
        <f>HYPERLINK("https://nconnect.nicmar.ac.in/storage/profile/ProfilePhoto_P25700075_647825.jpg","Download")</f>
        <v>0</v>
      </c>
      <c r="BQ138" s="3"/>
      <c r="BR138" s="3"/>
    </row>
    <row r="139" spans="1:70">
      <c r="A139" s="1" t="s">
        <v>70</v>
      </c>
      <c r="B139" s="1" t="s">
        <v>1269</v>
      </c>
      <c r="C139" s="1" t="s">
        <v>3016</v>
      </c>
      <c r="D139" s="1" t="s">
        <v>2594</v>
      </c>
      <c r="E139" s="1" t="s">
        <v>444</v>
      </c>
      <c r="F139" s="1" t="s">
        <v>3017</v>
      </c>
      <c r="G139" s="1" t="s">
        <v>3018</v>
      </c>
      <c r="H139" s="1" t="s">
        <v>3019</v>
      </c>
      <c r="I139" s="1" t="s">
        <v>3020</v>
      </c>
      <c r="J139" s="1">
        <v>9552703406</v>
      </c>
      <c r="K139" s="1" t="s">
        <v>79</v>
      </c>
      <c r="L139" s="1" t="s">
        <v>3021</v>
      </c>
      <c r="M139" s="1" t="s">
        <v>81</v>
      </c>
      <c r="N139" s="1" t="s">
        <v>2008</v>
      </c>
      <c r="O139" s="1"/>
      <c r="P139" s="1" t="s">
        <v>1323</v>
      </c>
      <c r="Q139" s="1" t="s">
        <v>3022</v>
      </c>
      <c r="R139" s="1" t="s">
        <v>444</v>
      </c>
      <c r="S139" s="1">
        <v>9422281494</v>
      </c>
      <c r="T139" s="1" t="s">
        <v>674</v>
      </c>
      <c r="U139" s="1" t="s">
        <v>977</v>
      </c>
      <c r="V139" s="1">
        <v>9422942326</v>
      </c>
      <c r="W139" s="1" t="s">
        <v>89</v>
      </c>
      <c r="X139" s="1" t="s">
        <v>3023</v>
      </c>
      <c r="Y139" s="1" t="s">
        <v>246</v>
      </c>
      <c r="Z139" s="1" t="s">
        <v>92</v>
      </c>
      <c r="AA139" s="1" t="s">
        <v>3023</v>
      </c>
      <c r="AB139" s="1" t="s">
        <v>246</v>
      </c>
      <c r="AC139" s="1" t="s">
        <v>92</v>
      </c>
      <c r="AD139" s="1">
        <v>8.77</v>
      </c>
      <c r="AE139" s="1" t="s">
        <v>93</v>
      </c>
      <c r="AF139" s="1" t="s">
        <v>3024</v>
      </c>
      <c r="AG139" s="1" t="s">
        <v>939</v>
      </c>
      <c r="AH139" s="1" t="s">
        <v>161</v>
      </c>
      <c r="AI139" s="1" t="s">
        <v>527</v>
      </c>
      <c r="AJ139" s="1">
        <v>83.6</v>
      </c>
      <c r="AK139" s="1">
        <v>8.8</v>
      </c>
      <c r="AL139" s="1" t="s">
        <v>3024</v>
      </c>
      <c r="AM139" s="1" t="s">
        <v>939</v>
      </c>
      <c r="AN139" s="1" t="s">
        <v>383</v>
      </c>
      <c r="AO139" s="1" t="s">
        <v>166</v>
      </c>
      <c r="AP139" s="1">
        <v>72.6</v>
      </c>
      <c r="AQ139" s="1"/>
      <c r="AR139" s="1"/>
      <c r="AS139" s="1"/>
      <c r="AT139" s="1"/>
      <c r="AU139" s="1"/>
      <c r="AV139" s="1"/>
      <c r="AW139" s="1"/>
      <c r="AX139" s="1" t="s">
        <v>102</v>
      </c>
      <c r="AY139" s="1" t="s">
        <v>3025</v>
      </c>
      <c r="AZ139" s="1" t="s">
        <v>169</v>
      </c>
      <c r="BA139" s="1" t="s">
        <v>105</v>
      </c>
      <c r="BB139" s="1">
        <v>87.5</v>
      </c>
      <c r="BC139" s="1">
        <v>9.25</v>
      </c>
      <c r="BD139" s="1"/>
      <c r="BE139" s="1"/>
      <c r="BF139" s="1"/>
      <c r="BG139" s="1"/>
      <c r="BH139" s="1"/>
      <c r="BI139" s="1"/>
      <c r="BJ139" s="1" t="s">
        <v>1383</v>
      </c>
      <c r="BK139" s="1" t="s">
        <v>3026</v>
      </c>
      <c r="BL139" s="1" t="s">
        <v>1028</v>
      </c>
      <c r="BM139" s="1" t="s">
        <v>3027</v>
      </c>
      <c r="BN139" s="1">
        <v>34</v>
      </c>
      <c r="BO139" s="1" t="s">
        <v>3028</v>
      </c>
      <c r="BP139" s="1" t="str">
        <f>HYPERLINK("https://nconnect.nicmar.ac.in/storage/profile/ProfilePhoto_P25700076_896241.jpg","Download")</f>
        <v>0</v>
      </c>
      <c r="BQ139" s="3"/>
      <c r="BR139" s="3"/>
    </row>
    <row r="140" spans="1:70">
      <c r="A140" s="1" t="s">
        <v>70</v>
      </c>
      <c r="B140" s="1" t="s">
        <v>1269</v>
      </c>
      <c r="C140" s="1" t="s">
        <v>3029</v>
      </c>
      <c r="D140" s="1" t="s">
        <v>3030</v>
      </c>
      <c r="E140" s="1" t="s">
        <v>1316</v>
      </c>
      <c r="F140" s="1" t="s">
        <v>3031</v>
      </c>
      <c r="G140" s="1" t="s">
        <v>3032</v>
      </c>
      <c r="H140" s="1" t="s">
        <v>3033</v>
      </c>
      <c r="I140" s="1" t="s">
        <v>3034</v>
      </c>
      <c r="J140" s="1">
        <v>7021948873</v>
      </c>
      <c r="K140" s="1" t="s">
        <v>79</v>
      </c>
      <c r="L140" s="1" t="s">
        <v>3035</v>
      </c>
      <c r="M140" s="1" t="s">
        <v>81</v>
      </c>
      <c r="N140" s="1" t="s">
        <v>2008</v>
      </c>
      <c r="O140" s="1"/>
      <c r="P140" s="1" t="s">
        <v>1278</v>
      </c>
      <c r="Q140" s="1" t="s">
        <v>3036</v>
      </c>
      <c r="R140" s="1" t="s">
        <v>3037</v>
      </c>
      <c r="S140" s="1">
        <v>9820848352</v>
      </c>
      <c r="T140" s="1" t="s">
        <v>496</v>
      </c>
      <c r="U140" s="1" t="s">
        <v>3038</v>
      </c>
      <c r="V140" s="1">
        <v>9029395241</v>
      </c>
      <c r="W140" s="1" t="s">
        <v>156</v>
      </c>
      <c r="X140" s="1" t="s">
        <v>3039</v>
      </c>
      <c r="Y140" s="1" t="s">
        <v>1623</v>
      </c>
      <c r="Z140" s="1" t="s">
        <v>92</v>
      </c>
      <c r="AA140" s="1" t="s">
        <v>3040</v>
      </c>
      <c r="AB140" s="1" t="s">
        <v>1623</v>
      </c>
      <c r="AC140" s="1" t="s">
        <v>92</v>
      </c>
      <c r="AD140" s="1">
        <v>7.87</v>
      </c>
      <c r="AE140" s="1" t="s">
        <v>93</v>
      </c>
      <c r="AF140" s="1" t="s">
        <v>3041</v>
      </c>
      <c r="AG140" s="1" t="s">
        <v>3042</v>
      </c>
      <c r="AH140" s="1" t="s">
        <v>161</v>
      </c>
      <c r="AI140" s="1" t="s">
        <v>456</v>
      </c>
      <c r="AJ140" s="1">
        <v>82</v>
      </c>
      <c r="AK140" s="1">
        <v>0</v>
      </c>
      <c r="AL140" s="1" t="s">
        <v>3043</v>
      </c>
      <c r="AM140" s="1" t="s">
        <v>3044</v>
      </c>
      <c r="AN140" s="1" t="s">
        <v>165</v>
      </c>
      <c r="AO140" s="1" t="s">
        <v>457</v>
      </c>
      <c r="AP140" s="1">
        <v>54.77</v>
      </c>
      <c r="AQ140" s="1">
        <v>0</v>
      </c>
      <c r="AR140" s="1" t="s">
        <v>98</v>
      </c>
      <c r="AS140" s="1" t="s">
        <v>3045</v>
      </c>
      <c r="AT140" s="1" t="s">
        <v>1307</v>
      </c>
      <c r="AU140" s="1" t="s">
        <v>170</v>
      </c>
      <c r="AV140" s="1">
        <v>81.68</v>
      </c>
      <c r="AW140" s="1">
        <v>0</v>
      </c>
      <c r="AX140" s="1" t="s">
        <v>1024</v>
      </c>
      <c r="AY140" s="1" t="s">
        <v>3046</v>
      </c>
      <c r="AZ140" s="1" t="s">
        <v>699</v>
      </c>
      <c r="BA140" s="1" t="s">
        <v>682</v>
      </c>
      <c r="BB140" s="1">
        <v>73.56</v>
      </c>
      <c r="BC140" s="1">
        <v>8.32</v>
      </c>
      <c r="BD140" s="1"/>
      <c r="BE140" s="1"/>
      <c r="BF140" s="1"/>
      <c r="BG140" s="1"/>
      <c r="BH140" s="1"/>
      <c r="BI140" s="1"/>
      <c r="BJ140" s="1" t="s">
        <v>364</v>
      </c>
      <c r="BK140" s="1" t="s">
        <v>3047</v>
      </c>
      <c r="BL140" s="1" t="s">
        <v>2186</v>
      </c>
      <c r="BM140" s="1" t="s">
        <v>3048</v>
      </c>
      <c r="BN140" s="1">
        <v>22</v>
      </c>
      <c r="BO140" s="1" t="s">
        <v>3049</v>
      </c>
      <c r="BP140" s="1" t="str">
        <f>HYPERLINK("https://nconnect.nicmar.ac.in/storage/profile/ProfilePhoto_P25700077_256193.jpg","Download")</f>
        <v>0</v>
      </c>
      <c r="BQ140" s="3"/>
      <c r="BR140" s="3"/>
    </row>
    <row r="141" spans="1:70">
      <c r="A141" s="1" t="s">
        <v>70</v>
      </c>
      <c r="B141" s="1" t="s">
        <v>1269</v>
      </c>
      <c r="C141" s="1" t="s">
        <v>3050</v>
      </c>
      <c r="D141" s="1" t="s">
        <v>3051</v>
      </c>
      <c r="E141" s="1" t="s">
        <v>3052</v>
      </c>
      <c r="F141" s="1" t="s">
        <v>3053</v>
      </c>
      <c r="G141" s="1" t="s">
        <v>3054</v>
      </c>
      <c r="H141" s="1" t="s">
        <v>3055</v>
      </c>
      <c r="I141" s="1" t="s">
        <v>3056</v>
      </c>
      <c r="J141" s="1">
        <v>7249691811</v>
      </c>
      <c r="K141" s="1" t="s">
        <v>79</v>
      </c>
      <c r="L141" s="1" t="s">
        <v>3057</v>
      </c>
      <c r="M141" s="1" t="s">
        <v>81</v>
      </c>
      <c r="N141" s="1" t="s">
        <v>3058</v>
      </c>
      <c r="O141" s="1"/>
      <c r="P141" s="1" t="s">
        <v>1766</v>
      </c>
      <c r="Q141" s="1" t="s">
        <v>3059</v>
      </c>
      <c r="R141" s="1" t="s">
        <v>3052</v>
      </c>
      <c r="S141" s="1">
        <v>9881097905</v>
      </c>
      <c r="T141" s="1" t="s">
        <v>87</v>
      </c>
      <c r="U141" s="1" t="s">
        <v>3060</v>
      </c>
      <c r="V141" s="1">
        <v>7755957905</v>
      </c>
      <c r="W141" s="1" t="s">
        <v>273</v>
      </c>
      <c r="X141" s="1" t="s">
        <v>3061</v>
      </c>
      <c r="Y141" s="1" t="s">
        <v>158</v>
      </c>
      <c r="Z141" s="1" t="s">
        <v>92</v>
      </c>
      <c r="AA141" s="1" t="s">
        <v>3061</v>
      </c>
      <c r="AB141" s="1" t="s">
        <v>158</v>
      </c>
      <c r="AC141" s="1" t="s">
        <v>92</v>
      </c>
      <c r="AD141" s="1">
        <v>6.97</v>
      </c>
      <c r="AE141" s="1" t="s">
        <v>93</v>
      </c>
      <c r="AF141" s="1" t="s">
        <v>3062</v>
      </c>
      <c r="AG141" s="1" t="s">
        <v>3063</v>
      </c>
      <c r="AH141" s="1" t="s">
        <v>165</v>
      </c>
      <c r="AI141" s="1" t="s">
        <v>281</v>
      </c>
      <c r="AJ141" s="1">
        <v>65.4</v>
      </c>
      <c r="AK141" s="1"/>
      <c r="AL141" s="1"/>
      <c r="AM141" s="1"/>
      <c r="AN141" s="1"/>
      <c r="AO141" s="1"/>
      <c r="AP141" s="1"/>
      <c r="AQ141" s="1"/>
      <c r="AR141" s="1" t="s">
        <v>434</v>
      </c>
      <c r="AS141" s="1" t="s">
        <v>3064</v>
      </c>
      <c r="AT141" s="1" t="s">
        <v>101</v>
      </c>
      <c r="AU141" s="1" t="s">
        <v>436</v>
      </c>
      <c r="AV141" s="1">
        <v>87.32</v>
      </c>
      <c r="AW141" s="1"/>
      <c r="AX141" s="1" t="s">
        <v>3065</v>
      </c>
      <c r="AY141" s="1" t="s">
        <v>3066</v>
      </c>
      <c r="AZ141" s="1" t="s">
        <v>897</v>
      </c>
      <c r="BA141" s="1" t="s">
        <v>202</v>
      </c>
      <c r="BB141" s="1">
        <v>60.6</v>
      </c>
      <c r="BC141" s="1">
        <v>6.81</v>
      </c>
      <c r="BD141" s="1"/>
      <c r="BE141" s="1"/>
      <c r="BF141" s="1"/>
      <c r="BG141" s="1"/>
      <c r="BH141" s="1"/>
      <c r="BI141" s="1"/>
      <c r="BJ141" s="1" t="s">
        <v>255</v>
      </c>
      <c r="BK141" s="1"/>
      <c r="BL141" s="1"/>
      <c r="BM141" s="1" t="s">
        <v>3067</v>
      </c>
      <c r="BN141" s="1">
        <v>11</v>
      </c>
      <c r="BO141" s="1"/>
      <c r="BP141" s="1" t="str">
        <f>HYPERLINK("https://nconnect.nicmar.ac.in/storage/profile/ProfilePhoto_P25700078_578396.jpg","Download")</f>
        <v>0</v>
      </c>
      <c r="BQ141" s="3"/>
      <c r="BR141" s="3"/>
    </row>
    <row r="142" spans="1:70">
      <c r="A142" s="1" t="s">
        <v>70</v>
      </c>
      <c r="B142" s="1" t="s">
        <v>1269</v>
      </c>
      <c r="C142" s="1" t="s">
        <v>3068</v>
      </c>
      <c r="D142" s="1" t="s">
        <v>2594</v>
      </c>
      <c r="E142" s="1" t="s">
        <v>3069</v>
      </c>
      <c r="F142" s="1" t="s">
        <v>3070</v>
      </c>
      <c r="G142" s="1" t="s">
        <v>3071</v>
      </c>
      <c r="H142" s="1" t="s">
        <v>3072</v>
      </c>
      <c r="I142" s="1" t="s">
        <v>3073</v>
      </c>
      <c r="J142" s="1">
        <v>7758959334</v>
      </c>
      <c r="K142" s="1" t="s">
        <v>79</v>
      </c>
      <c r="L142" s="1" t="s">
        <v>3074</v>
      </c>
      <c r="M142" s="1" t="s">
        <v>81</v>
      </c>
      <c r="N142" s="1" t="s">
        <v>3075</v>
      </c>
      <c r="O142" s="1"/>
      <c r="P142" s="1" t="s">
        <v>1278</v>
      </c>
      <c r="Q142" s="1" t="s">
        <v>3076</v>
      </c>
      <c r="R142" s="1" t="s">
        <v>3069</v>
      </c>
      <c r="S142" s="1">
        <v>9960405141</v>
      </c>
      <c r="T142" s="1" t="s">
        <v>674</v>
      </c>
      <c r="U142" s="1" t="s">
        <v>3060</v>
      </c>
      <c r="V142" s="1">
        <v>8530285246</v>
      </c>
      <c r="W142" s="1" t="s">
        <v>156</v>
      </c>
      <c r="X142" s="1" t="s">
        <v>3077</v>
      </c>
      <c r="Y142" s="1" t="s">
        <v>191</v>
      </c>
      <c r="Z142" s="1" t="s">
        <v>92</v>
      </c>
      <c r="AA142" s="1" t="s">
        <v>3078</v>
      </c>
      <c r="AB142" s="1" t="s">
        <v>523</v>
      </c>
      <c r="AC142" s="1" t="s">
        <v>92</v>
      </c>
      <c r="AD142" s="1">
        <v>8.15</v>
      </c>
      <c r="AE142" s="1" t="s">
        <v>93</v>
      </c>
      <c r="AF142" s="1" t="s">
        <v>3079</v>
      </c>
      <c r="AG142" s="1" t="s">
        <v>160</v>
      </c>
      <c r="AH142" s="1" t="s">
        <v>101</v>
      </c>
      <c r="AI142" s="1" t="s">
        <v>409</v>
      </c>
      <c r="AJ142" s="1">
        <v>80.8</v>
      </c>
      <c r="AK142" s="1">
        <v>0</v>
      </c>
      <c r="AL142" s="1" t="s">
        <v>3080</v>
      </c>
      <c r="AM142" s="1" t="s">
        <v>160</v>
      </c>
      <c r="AN142" s="1" t="s">
        <v>173</v>
      </c>
      <c r="AO142" s="1" t="s">
        <v>3081</v>
      </c>
      <c r="AP142" s="1">
        <v>81.17</v>
      </c>
      <c r="AQ142" s="1">
        <v>0</v>
      </c>
      <c r="AR142" s="1"/>
      <c r="AS142" s="1"/>
      <c r="AT142" s="1"/>
      <c r="AU142" s="1"/>
      <c r="AV142" s="1"/>
      <c r="AW142" s="1"/>
      <c r="AX142" s="1" t="s">
        <v>361</v>
      </c>
      <c r="AY142" s="1" t="s">
        <v>3082</v>
      </c>
      <c r="AZ142" s="1" t="s">
        <v>436</v>
      </c>
      <c r="BA142" s="1" t="s">
        <v>1361</v>
      </c>
      <c r="BB142" s="1">
        <v>68.59</v>
      </c>
      <c r="BC142" s="1">
        <v>7.22</v>
      </c>
      <c r="BD142" s="1"/>
      <c r="BE142" s="1"/>
      <c r="BF142" s="1"/>
      <c r="BG142" s="1"/>
      <c r="BH142" s="1"/>
      <c r="BI142" s="1"/>
      <c r="BJ142" s="1" t="s">
        <v>3083</v>
      </c>
      <c r="BK142" s="1"/>
      <c r="BL142" s="1"/>
      <c r="BM142" s="1" t="s">
        <v>3084</v>
      </c>
      <c r="BN142" s="1">
        <v>4</v>
      </c>
      <c r="BO142" s="1"/>
      <c r="BP142" s="1" t="str">
        <f>HYPERLINK("https://nconnect.nicmar.ac.in/storage/profile/ProfilePhoto_P25700079_752381.jpg","Download")</f>
        <v>0</v>
      </c>
      <c r="BQ142" s="3"/>
      <c r="BR142" s="3"/>
    </row>
    <row r="143" spans="1:70">
      <c r="A143" s="1" t="s">
        <v>70</v>
      </c>
      <c r="B143" s="1" t="s">
        <v>1269</v>
      </c>
      <c r="C143" s="1" t="s">
        <v>3085</v>
      </c>
      <c r="D143" s="1" t="s">
        <v>3086</v>
      </c>
      <c r="E143" s="1" t="s">
        <v>3087</v>
      </c>
      <c r="F143" s="1" t="s">
        <v>835</v>
      </c>
      <c r="G143" s="1" t="s">
        <v>3088</v>
      </c>
      <c r="H143" s="1" t="s">
        <v>3089</v>
      </c>
      <c r="I143" s="1" t="s">
        <v>3090</v>
      </c>
      <c r="J143" s="1">
        <v>9923100377</v>
      </c>
      <c r="K143" s="1" t="s">
        <v>79</v>
      </c>
      <c r="L143" s="1" t="s">
        <v>3091</v>
      </c>
      <c r="M143" s="1" t="s">
        <v>81</v>
      </c>
      <c r="N143" s="1" t="s">
        <v>3092</v>
      </c>
      <c r="O143" s="1"/>
      <c r="P143" s="1" t="s">
        <v>1323</v>
      </c>
      <c r="Q143" s="1" t="s">
        <v>3093</v>
      </c>
      <c r="R143" s="1" t="s">
        <v>3087</v>
      </c>
      <c r="S143" s="1">
        <v>9561000047</v>
      </c>
      <c r="T143" s="1" t="s">
        <v>842</v>
      </c>
      <c r="U143" s="1" t="s">
        <v>3094</v>
      </c>
      <c r="V143" s="1">
        <v>9923100377</v>
      </c>
      <c r="W143" s="1" t="s">
        <v>89</v>
      </c>
      <c r="X143" s="1" t="s">
        <v>3095</v>
      </c>
      <c r="Y143" s="1" t="s">
        <v>405</v>
      </c>
      <c r="Z143" s="1" t="s">
        <v>92</v>
      </c>
      <c r="AA143" s="1" t="s">
        <v>3095</v>
      </c>
      <c r="AB143" s="1" t="s">
        <v>405</v>
      </c>
      <c r="AC143" s="1" t="s">
        <v>92</v>
      </c>
      <c r="AD143" s="1">
        <v>9.15</v>
      </c>
      <c r="AE143" s="1" t="s">
        <v>93</v>
      </c>
      <c r="AF143" s="1" t="s">
        <v>3096</v>
      </c>
      <c r="AG143" s="1" t="s">
        <v>3097</v>
      </c>
      <c r="AH143" s="1" t="s">
        <v>3098</v>
      </c>
      <c r="AI143" s="1" t="s">
        <v>165</v>
      </c>
      <c r="AJ143" s="1">
        <v>95</v>
      </c>
      <c r="AK143" s="1">
        <v>10</v>
      </c>
      <c r="AL143" s="1" t="s">
        <v>3099</v>
      </c>
      <c r="AM143" s="1" t="s">
        <v>3097</v>
      </c>
      <c r="AN143" s="1" t="s">
        <v>165</v>
      </c>
      <c r="AO143" s="1" t="s">
        <v>308</v>
      </c>
      <c r="AP143" s="1">
        <v>73.8</v>
      </c>
      <c r="AQ143" s="1"/>
      <c r="AR143" s="1"/>
      <c r="AS143" s="1"/>
      <c r="AT143" s="1"/>
      <c r="AU143" s="1"/>
      <c r="AV143" s="1"/>
      <c r="AW143" s="1"/>
      <c r="AX143" s="1" t="s">
        <v>410</v>
      </c>
      <c r="AY143" s="1" t="s">
        <v>3100</v>
      </c>
      <c r="AZ143" s="1" t="s">
        <v>201</v>
      </c>
      <c r="BA143" s="1" t="s">
        <v>682</v>
      </c>
      <c r="BB143" s="1">
        <v>86.9</v>
      </c>
      <c r="BC143" s="1">
        <v>8.69</v>
      </c>
      <c r="BD143" s="1"/>
      <c r="BE143" s="1"/>
      <c r="BF143" s="1"/>
      <c r="BG143" s="1"/>
      <c r="BH143" s="1"/>
      <c r="BI143" s="1"/>
      <c r="BJ143" s="1" t="s">
        <v>3101</v>
      </c>
      <c r="BK143" s="1" t="s">
        <v>3102</v>
      </c>
      <c r="BL143" s="1" t="s">
        <v>3103</v>
      </c>
      <c r="BM143" s="1" t="s">
        <v>3104</v>
      </c>
      <c r="BN143" s="1">
        <v>13</v>
      </c>
      <c r="BO143" s="1" t="s">
        <v>3105</v>
      </c>
      <c r="BP143" s="1" t="str">
        <f>HYPERLINK("https://nconnect.nicmar.ac.in/storage/profile/ProfilePhoto_P25700080_357284.jpg","Download")</f>
        <v>0</v>
      </c>
      <c r="BQ143" s="3"/>
      <c r="BR143" s="3"/>
    </row>
    <row r="144" spans="1:70">
      <c r="A144" s="1" t="s">
        <v>70</v>
      </c>
      <c r="B144" s="1" t="s">
        <v>1269</v>
      </c>
      <c r="C144" s="1" t="s">
        <v>3106</v>
      </c>
      <c r="D144" s="1" t="s">
        <v>3107</v>
      </c>
      <c r="E144" s="1"/>
      <c r="F144" s="1" t="s">
        <v>2713</v>
      </c>
      <c r="G144" s="1" t="s">
        <v>3108</v>
      </c>
      <c r="H144" s="1" t="s">
        <v>3109</v>
      </c>
      <c r="I144" s="1" t="s">
        <v>3110</v>
      </c>
      <c r="J144" s="1">
        <v>9398319303</v>
      </c>
      <c r="K144" s="1" t="s">
        <v>79</v>
      </c>
      <c r="L144" s="1" t="s">
        <v>3111</v>
      </c>
      <c r="M144" s="1" t="s">
        <v>81</v>
      </c>
      <c r="N144" s="1" t="s">
        <v>2619</v>
      </c>
      <c r="O144" s="1"/>
      <c r="P144" s="1" t="s">
        <v>1323</v>
      </c>
      <c r="Q144" s="1" t="s">
        <v>3112</v>
      </c>
      <c r="R144" s="1" t="s">
        <v>3113</v>
      </c>
      <c r="S144" s="1">
        <v>9949706447</v>
      </c>
      <c r="T144" s="1" t="s">
        <v>3114</v>
      </c>
      <c r="U144" s="1" t="s">
        <v>3115</v>
      </c>
      <c r="V144" s="1">
        <v>9618201239</v>
      </c>
      <c r="W144" s="1" t="s">
        <v>651</v>
      </c>
      <c r="X144" s="1" t="s">
        <v>3116</v>
      </c>
      <c r="Y144" s="1" t="s">
        <v>2723</v>
      </c>
      <c r="Z144" s="1" t="s">
        <v>276</v>
      </c>
      <c r="AA144" s="1" t="s">
        <v>3116</v>
      </c>
      <c r="AB144" s="1" t="s">
        <v>2723</v>
      </c>
      <c r="AC144" s="1" t="s">
        <v>276</v>
      </c>
      <c r="AD144" s="1">
        <v>9.44</v>
      </c>
      <c r="AE144" s="1" t="s">
        <v>93</v>
      </c>
      <c r="AF144" s="1" t="s">
        <v>3117</v>
      </c>
      <c r="AG144" s="1" t="s">
        <v>3118</v>
      </c>
      <c r="AH144" s="1" t="s">
        <v>162</v>
      </c>
      <c r="AI144" s="1" t="s">
        <v>678</v>
      </c>
      <c r="AJ144" s="1">
        <v>100</v>
      </c>
      <c r="AK144" s="1">
        <v>10</v>
      </c>
      <c r="AL144" s="1" t="s">
        <v>3119</v>
      </c>
      <c r="AM144" s="1" t="s">
        <v>1154</v>
      </c>
      <c r="AN144" s="1" t="s">
        <v>383</v>
      </c>
      <c r="AO144" s="1" t="s">
        <v>1065</v>
      </c>
      <c r="AP144" s="1">
        <v>94.2</v>
      </c>
      <c r="AQ144" s="1">
        <v>9.73</v>
      </c>
      <c r="AR144" s="1"/>
      <c r="AS144" s="1"/>
      <c r="AT144" s="1"/>
      <c r="AU144" s="1"/>
      <c r="AV144" s="1"/>
      <c r="AW144" s="1"/>
      <c r="AX144" s="1" t="s">
        <v>3120</v>
      </c>
      <c r="AY144" s="1" t="s">
        <v>3121</v>
      </c>
      <c r="AZ144" s="1" t="s">
        <v>201</v>
      </c>
      <c r="BA144" s="1" t="s">
        <v>174</v>
      </c>
      <c r="BB144" s="1">
        <v>82.8</v>
      </c>
      <c r="BC144" s="1">
        <v>8.54</v>
      </c>
      <c r="BD144" s="1"/>
      <c r="BE144" s="1"/>
      <c r="BF144" s="1"/>
      <c r="BG144" s="1"/>
      <c r="BH144" s="1"/>
      <c r="BI144" s="1"/>
      <c r="BJ144" s="1" t="s">
        <v>3122</v>
      </c>
      <c r="BK144" s="1"/>
      <c r="BL144" s="1"/>
      <c r="BM144" s="1" t="s">
        <v>3123</v>
      </c>
      <c r="BN144" s="1">
        <v>51</v>
      </c>
      <c r="BO144" s="1" t="s">
        <v>3124</v>
      </c>
      <c r="BP144" s="1" t="str">
        <f>HYPERLINK("https://nconnect.nicmar.ac.in/storage/profile/ProfilePhoto_P25700081_978456.jpg","Download")</f>
        <v>0</v>
      </c>
      <c r="BQ144" s="3"/>
      <c r="BR144" s="3"/>
    </row>
    <row r="145" spans="1:70">
      <c r="A145" s="1" t="s">
        <v>70</v>
      </c>
      <c r="B145" s="1" t="s">
        <v>1269</v>
      </c>
      <c r="C145" s="1" t="s">
        <v>3125</v>
      </c>
      <c r="D145" s="1" t="s">
        <v>3126</v>
      </c>
      <c r="E145" s="1"/>
      <c r="F145" s="1" t="s">
        <v>3127</v>
      </c>
      <c r="G145" s="1" t="s">
        <v>3128</v>
      </c>
      <c r="H145" s="1" t="s">
        <v>3129</v>
      </c>
      <c r="I145" s="1" t="s">
        <v>3130</v>
      </c>
      <c r="J145" s="1">
        <v>9566644136</v>
      </c>
      <c r="K145" s="1" t="s">
        <v>79</v>
      </c>
      <c r="L145" s="1" t="s">
        <v>3131</v>
      </c>
      <c r="M145" s="1" t="s">
        <v>81</v>
      </c>
      <c r="N145" s="1" t="s">
        <v>3132</v>
      </c>
      <c r="O145" s="1"/>
      <c r="P145" s="1" t="s">
        <v>1278</v>
      </c>
      <c r="Q145" s="1" t="s">
        <v>3133</v>
      </c>
      <c r="R145" s="1" t="s">
        <v>3134</v>
      </c>
      <c r="S145" s="1">
        <v>9444409338</v>
      </c>
      <c r="T145" s="1" t="s">
        <v>496</v>
      </c>
      <c r="U145" s="1" t="s">
        <v>3135</v>
      </c>
      <c r="V145" s="1">
        <v>9789960234</v>
      </c>
      <c r="W145" s="1" t="s">
        <v>651</v>
      </c>
      <c r="X145" s="1" t="s">
        <v>3136</v>
      </c>
      <c r="Y145" s="1" t="s">
        <v>191</v>
      </c>
      <c r="Z145" s="1" t="s">
        <v>92</v>
      </c>
      <c r="AA145" s="1" t="s">
        <v>3137</v>
      </c>
      <c r="AB145" s="1" t="s">
        <v>2318</v>
      </c>
      <c r="AC145" s="1" t="s">
        <v>1377</v>
      </c>
      <c r="AD145" s="1">
        <v>8.71</v>
      </c>
      <c r="AE145" s="1" t="s">
        <v>93</v>
      </c>
      <c r="AF145" s="1" t="s">
        <v>3138</v>
      </c>
      <c r="AG145" s="1" t="s">
        <v>3139</v>
      </c>
      <c r="AH145" s="1" t="s">
        <v>166</v>
      </c>
      <c r="AI145" s="1" t="s">
        <v>308</v>
      </c>
      <c r="AJ145" s="1">
        <v>85.6</v>
      </c>
      <c r="AK145" s="1"/>
      <c r="AL145" s="1" t="s">
        <v>3138</v>
      </c>
      <c r="AM145" s="1" t="s">
        <v>3139</v>
      </c>
      <c r="AN145" s="1" t="s">
        <v>412</v>
      </c>
      <c r="AO145" s="1" t="s">
        <v>506</v>
      </c>
      <c r="AP145" s="1">
        <v>84.4</v>
      </c>
      <c r="AQ145" s="1"/>
      <c r="AR145" s="1"/>
      <c r="AS145" s="1"/>
      <c r="AT145" s="1"/>
      <c r="AU145" s="1"/>
      <c r="AV145" s="1"/>
      <c r="AW145" s="1"/>
      <c r="AX145" s="1" t="s">
        <v>1381</v>
      </c>
      <c r="AY145" s="1" t="s">
        <v>3140</v>
      </c>
      <c r="AZ145" s="1" t="s">
        <v>1051</v>
      </c>
      <c r="BA145" s="1" t="s">
        <v>1361</v>
      </c>
      <c r="BB145" s="1">
        <v>80.36</v>
      </c>
      <c r="BC145" s="1"/>
      <c r="BD145" s="1"/>
      <c r="BE145" s="1"/>
      <c r="BF145" s="1"/>
      <c r="BG145" s="1"/>
      <c r="BH145" s="1"/>
      <c r="BI145" s="1"/>
      <c r="BJ145" s="1" t="s">
        <v>3141</v>
      </c>
      <c r="BK145" s="1"/>
      <c r="BL145" s="1"/>
      <c r="BM145" s="1" t="s">
        <v>3142</v>
      </c>
      <c r="BN145" s="1">
        <v>17</v>
      </c>
      <c r="BO145" s="1"/>
      <c r="BP145" s="1" t="str">
        <f>HYPERLINK("https://nconnect.nicmar.ac.in/storage/profile/ProfilePhoto_P25700082_853691.jpg","Download")</f>
        <v>0</v>
      </c>
      <c r="BQ145" s="3"/>
      <c r="BR145" s="3"/>
    </row>
    <row r="146" spans="1:70">
      <c r="A146" s="1" t="s">
        <v>70</v>
      </c>
      <c r="B146" s="1" t="s">
        <v>1269</v>
      </c>
      <c r="C146" s="1" t="s">
        <v>3143</v>
      </c>
      <c r="D146" s="1" t="s">
        <v>3144</v>
      </c>
      <c r="E146" s="1" t="s">
        <v>181</v>
      </c>
      <c r="F146" s="1" t="s">
        <v>3145</v>
      </c>
      <c r="G146" s="1" t="s">
        <v>3146</v>
      </c>
      <c r="H146" s="1" t="s">
        <v>3147</v>
      </c>
      <c r="I146" s="1" t="s">
        <v>3148</v>
      </c>
      <c r="J146" s="1">
        <v>7887452056</v>
      </c>
      <c r="K146" s="1" t="s">
        <v>79</v>
      </c>
      <c r="L146" s="1" t="s">
        <v>3149</v>
      </c>
      <c r="M146" s="1" t="s">
        <v>81</v>
      </c>
      <c r="N146" s="1" t="s">
        <v>2008</v>
      </c>
      <c r="O146" s="1"/>
      <c r="P146" s="1" t="s">
        <v>1278</v>
      </c>
      <c r="Q146" s="1" t="s">
        <v>3150</v>
      </c>
      <c r="R146" s="1" t="s">
        <v>181</v>
      </c>
      <c r="S146" s="1">
        <v>9921193909</v>
      </c>
      <c r="T146" s="1" t="s">
        <v>976</v>
      </c>
      <c r="U146" s="1" t="s">
        <v>3151</v>
      </c>
      <c r="V146" s="1">
        <v>9552458074</v>
      </c>
      <c r="W146" s="1" t="s">
        <v>156</v>
      </c>
      <c r="X146" s="1" t="s">
        <v>3152</v>
      </c>
      <c r="Y146" s="1" t="s">
        <v>405</v>
      </c>
      <c r="Z146" s="1" t="s">
        <v>92</v>
      </c>
      <c r="AA146" s="1" t="s">
        <v>3152</v>
      </c>
      <c r="AB146" s="1" t="s">
        <v>405</v>
      </c>
      <c r="AC146" s="1" t="s">
        <v>92</v>
      </c>
      <c r="AD146" s="1">
        <v>8.77</v>
      </c>
      <c r="AE146" s="1" t="s">
        <v>93</v>
      </c>
      <c r="AF146" s="1" t="s">
        <v>3153</v>
      </c>
      <c r="AG146" s="1" t="s">
        <v>3154</v>
      </c>
      <c r="AH146" s="1" t="s">
        <v>1670</v>
      </c>
      <c r="AI146" s="1" t="s">
        <v>165</v>
      </c>
      <c r="AJ146" s="1">
        <v>89.6</v>
      </c>
      <c r="AK146" s="1"/>
      <c r="AL146" s="1" t="s">
        <v>3155</v>
      </c>
      <c r="AM146" s="1" t="s">
        <v>3154</v>
      </c>
      <c r="AN146" s="1" t="s">
        <v>165</v>
      </c>
      <c r="AO146" s="1" t="s">
        <v>433</v>
      </c>
      <c r="AP146" s="1">
        <v>60</v>
      </c>
      <c r="AQ146" s="1"/>
      <c r="AR146" s="1" t="s">
        <v>98</v>
      </c>
      <c r="AS146" s="1" t="s">
        <v>3156</v>
      </c>
      <c r="AT146" s="1" t="s">
        <v>310</v>
      </c>
      <c r="AU146" s="1" t="s">
        <v>1051</v>
      </c>
      <c r="AV146" s="1">
        <v>83.45</v>
      </c>
      <c r="AW146" s="1"/>
      <c r="AX146" s="1" t="s">
        <v>361</v>
      </c>
      <c r="AY146" s="1" t="s">
        <v>3157</v>
      </c>
      <c r="AZ146" s="1" t="s">
        <v>897</v>
      </c>
      <c r="BA146" s="1" t="s">
        <v>3158</v>
      </c>
      <c r="BB146" s="1">
        <v>65.2</v>
      </c>
      <c r="BC146" s="1">
        <v>7.27</v>
      </c>
      <c r="BD146" s="1"/>
      <c r="BE146" s="1"/>
      <c r="BF146" s="1"/>
      <c r="BG146" s="1"/>
      <c r="BH146" s="1"/>
      <c r="BI146" s="1"/>
      <c r="BJ146" s="1" t="s">
        <v>3159</v>
      </c>
      <c r="BK146" s="1"/>
      <c r="BL146" s="1"/>
      <c r="BM146" s="1" t="s">
        <v>3160</v>
      </c>
      <c r="BN146" s="1">
        <v>52</v>
      </c>
      <c r="BO146" s="1"/>
      <c r="BP146" s="1" t="str">
        <f>HYPERLINK("https://nconnect.nicmar.ac.in/storage/profile/ProfilePhoto_P25700083_543168.jpg","Download")</f>
        <v>0</v>
      </c>
      <c r="BQ146" s="3"/>
      <c r="BR146" s="3"/>
    </row>
    <row r="147" spans="1:70">
      <c r="A147" s="1" t="s">
        <v>70</v>
      </c>
      <c r="B147" s="1" t="s">
        <v>1269</v>
      </c>
      <c r="C147" s="1" t="s">
        <v>3161</v>
      </c>
      <c r="D147" s="1" t="s">
        <v>3162</v>
      </c>
      <c r="E147" s="1"/>
      <c r="F147" s="1" t="s">
        <v>3163</v>
      </c>
      <c r="G147" s="1" t="s">
        <v>3164</v>
      </c>
      <c r="H147" s="1" t="s">
        <v>3165</v>
      </c>
      <c r="I147" s="1" t="s">
        <v>3166</v>
      </c>
      <c r="J147" s="1">
        <v>8075078042</v>
      </c>
      <c r="K147" s="1" t="s">
        <v>79</v>
      </c>
      <c r="L147" s="1" t="s">
        <v>3167</v>
      </c>
      <c r="M147" s="1" t="s">
        <v>81</v>
      </c>
      <c r="N147" s="1" t="s">
        <v>3168</v>
      </c>
      <c r="O147" s="1"/>
      <c r="P147" s="1" t="s">
        <v>1323</v>
      </c>
      <c r="Q147" s="1" t="s">
        <v>3169</v>
      </c>
      <c r="R147" s="1" t="s">
        <v>3170</v>
      </c>
      <c r="S147" s="1">
        <v>9447315770</v>
      </c>
      <c r="T147" s="1" t="s">
        <v>3171</v>
      </c>
      <c r="U147" s="1" t="s">
        <v>3172</v>
      </c>
      <c r="V147" s="1">
        <v>9446866397</v>
      </c>
      <c r="W147" s="1" t="s">
        <v>89</v>
      </c>
      <c r="X147" s="1" t="s">
        <v>3173</v>
      </c>
      <c r="Y147" s="1" t="s">
        <v>2139</v>
      </c>
      <c r="Z147" s="1" t="s">
        <v>125</v>
      </c>
      <c r="AA147" s="1" t="s">
        <v>3173</v>
      </c>
      <c r="AB147" s="1" t="s">
        <v>2139</v>
      </c>
      <c r="AC147" s="1" t="s">
        <v>125</v>
      </c>
      <c r="AD147" s="1">
        <v>8.03</v>
      </c>
      <c r="AE147" s="1" t="s">
        <v>93</v>
      </c>
      <c r="AF147" s="1" t="s">
        <v>3174</v>
      </c>
      <c r="AG147" s="1" t="s">
        <v>307</v>
      </c>
      <c r="AH147" s="1" t="s">
        <v>161</v>
      </c>
      <c r="AI147" s="1" t="s">
        <v>527</v>
      </c>
      <c r="AJ147" s="1">
        <v>87.4</v>
      </c>
      <c r="AK147" s="1">
        <v>9.2</v>
      </c>
      <c r="AL147" s="1" t="s">
        <v>3174</v>
      </c>
      <c r="AM147" s="1" t="s">
        <v>307</v>
      </c>
      <c r="AN147" s="1" t="s">
        <v>165</v>
      </c>
      <c r="AO147" s="1" t="s">
        <v>166</v>
      </c>
      <c r="AP147" s="1">
        <v>79</v>
      </c>
      <c r="AQ147" s="1"/>
      <c r="AR147" s="1"/>
      <c r="AS147" s="1"/>
      <c r="AT147" s="1"/>
      <c r="AU147" s="1"/>
      <c r="AV147" s="1"/>
      <c r="AW147" s="1"/>
      <c r="AX147" s="1" t="s">
        <v>3175</v>
      </c>
      <c r="AY147" s="1" t="s">
        <v>3176</v>
      </c>
      <c r="AZ147" s="1" t="s">
        <v>636</v>
      </c>
      <c r="BA147" s="1" t="s">
        <v>105</v>
      </c>
      <c r="BB147" s="1">
        <v>72.2</v>
      </c>
      <c r="BC147" s="1">
        <v>7.22</v>
      </c>
      <c r="BD147" s="1"/>
      <c r="BE147" s="1"/>
      <c r="BF147" s="1"/>
      <c r="BG147" s="1"/>
      <c r="BH147" s="1"/>
      <c r="BI147" s="1"/>
      <c r="BJ147" s="1" t="s">
        <v>3177</v>
      </c>
      <c r="BK147" s="1"/>
      <c r="BL147" s="1"/>
      <c r="BM147" s="1" t="s">
        <v>3178</v>
      </c>
      <c r="BN147" s="1">
        <v>8</v>
      </c>
      <c r="BO147" s="1"/>
      <c r="BP147" s="1" t="str">
        <f>HYPERLINK("https://nconnect.nicmar.ac.in/storage/profile/ProfilePhoto_P25700084_671924.jpg","Download")</f>
        <v>0</v>
      </c>
      <c r="BQ147" s="3"/>
      <c r="BR147" s="3"/>
    </row>
    <row r="148" spans="1:70">
      <c r="A148" s="1" t="s">
        <v>70</v>
      </c>
      <c r="B148" s="1" t="s">
        <v>1269</v>
      </c>
      <c r="C148" s="1" t="s">
        <v>3179</v>
      </c>
      <c r="D148" s="1" t="s">
        <v>3180</v>
      </c>
      <c r="E148" s="1" t="s">
        <v>3181</v>
      </c>
      <c r="F148" s="1" t="s">
        <v>3182</v>
      </c>
      <c r="G148" s="1" t="s">
        <v>3183</v>
      </c>
      <c r="H148" s="1" t="s">
        <v>3184</v>
      </c>
      <c r="I148" s="1" t="s">
        <v>3185</v>
      </c>
      <c r="J148" s="1">
        <v>7721074764</v>
      </c>
      <c r="K148" s="1" t="s">
        <v>79</v>
      </c>
      <c r="L148" s="1" t="s">
        <v>3186</v>
      </c>
      <c r="M148" s="1" t="s">
        <v>81</v>
      </c>
      <c r="N148" s="1" t="s">
        <v>3187</v>
      </c>
      <c r="O148" s="1"/>
      <c r="P148" s="1" t="s">
        <v>1323</v>
      </c>
      <c r="Q148" s="1" t="s">
        <v>3188</v>
      </c>
      <c r="R148" s="1" t="s">
        <v>3189</v>
      </c>
      <c r="S148" s="1">
        <v>7277921217</v>
      </c>
      <c r="T148" s="1" t="s">
        <v>3190</v>
      </c>
      <c r="U148" s="1" t="s">
        <v>3191</v>
      </c>
      <c r="V148" s="1">
        <v>9698711131</v>
      </c>
      <c r="W148" s="1" t="s">
        <v>156</v>
      </c>
      <c r="X148" s="1" t="s">
        <v>3192</v>
      </c>
      <c r="Y148" s="1" t="s">
        <v>2786</v>
      </c>
      <c r="Z148" s="1" t="s">
        <v>92</v>
      </c>
      <c r="AA148" s="1" t="s">
        <v>3192</v>
      </c>
      <c r="AB148" s="1" t="s">
        <v>2786</v>
      </c>
      <c r="AC148" s="1" t="s">
        <v>92</v>
      </c>
      <c r="AD148" s="1" t="s">
        <v>93</v>
      </c>
      <c r="AE148" s="1" t="s">
        <v>93</v>
      </c>
      <c r="AF148" s="1" t="s">
        <v>3193</v>
      </c>
      <c r="AG148" s="1" t="s">
        <v>307</v>
      </c>
      <c r="AH148" s="1" t="s">
        <v>331</v>
      </c>
      <c r="AI148" s="1" t="s">
        <v>786</v>
      </c>
      <c r="AJ148" s="1">
        <v>95</v>
      </c>
      <c r="AK148" s="1">
        <v>10</v>
      </c>
      <c r="AL148" s="1" t="s">
        <v>3194</v>
      </c>
      <c r="AM148" s="1" t="s">
        <v>476</v>
      </c>
      <c r="AN148" s="1" t="s">
        <v>1001</v>
      </c>
      <c r="AO148" s="1" t="s">
        <v>457</v>
      </c>
      <c r="AP148" s="1">
        <v>81.85</v>
      </c>
      <c r="AQ148" s="1"/>
      <c r="AR148" s="1"/>
      <c r="AS148" s="1"/>
      <c r="AT148" s="1"/>
      <c r="AU148" s="1"/>
      <c r="AV148" s="1"/>
      <c r="AW148" s="1"/>
      <c r="AX148" s="1" t="s">
        <v>1088</v>
      </c>
      <c r="AY148" s="1" t="s">
        <v>3195</v>
      </c>
      <c r="AZ148" s="1" t="s">
        <v>636</v>
      </c>
      <c r="BA148" s="1" t="s">
        <v>2630</v>
      </c>
      <c r="BB148" s="1">
        <v>73.5</v>
      </c>
      <c r="BC148" s="1">
        <v>8.1</v>
      </c>
      <c r="BD148" s="1"/>
      <c r="BE148" s="1"/>
      <c r="BF148" s="1"/>
      <c r="BG148" s="1"/>
      <c r="BH148" s="1"/>
      <c r="BI148" s="1"/>
      <c r="BJ148" s="1" t="s">
        <v>3196</v>
      </c>
      <c r="BK148" s="1" t="s">
        <v>3197</v>
      </c>
      <c r="BL148" s="1" t="s">
        <v>2019</v>
      </c>
      <c r="BM148" s="1" t="s">
        <v>3198</v>
      </c>
      <c r="BN148" s="1">
        <v>8</v>
      </c>
      <c r="BO148" s="1" t="s">
        <v>3199</v>
      </c>
      <c r="BP148" s="1" t="str">
        <f>HYPERLINK("https://nconnect.nicmar.ac.in/storage/profile/ProfilePhoto_P25700085_527189.jpg","Download")</f>
        <v>0</v>
      </c>
      <c r="BQ148" s="3"/>
      <c r="BR148" s="3"/>
    </row>
    <row r="149" spans="1:70">
      <c r="A149" s="1" t="s">
        <v>70</v>
      </c>
      <c r="B149" s="1" t="s">
        <v>1269</v>
      </c>
      <c r="C149" s="1" t="s">
        <v>3200</v>
      </c>
      <c r="D149" s="1" t="s">
        <v>1817</v>
      </c>
      <c r="E149" s="1" t="s">
        <v>3201</v>
      </c>
      <c r="F149" s="1" t="s">
        <v>3202</v>
      </c>
      <c r="G149" s="1" t="s">
        <v>3203</v>
      </c>
      <c r="H149" s="1" t="s">
        <v>3204</v>
      </c>
      <c r="I149" s="1" t="s">
        <v>3205</v>
      </c>
      <c r="J149" s="1">
        <v>7821014020</v>
      </c>
      <c r="K149" s="1" t="s">
        <v>79</v>
      </c>
      <c r="L149" s="1" t="s">
        <v>3206</v>
      </c>
      <c r="M149" s="1" t="s">
        <v>81</v>
      </c>
      <c r="N149" s="1" t="s">
        <v>3207</v>
      </c>
      <c r="O149" s="1"/>
      <c r="P149" s="1" t="s">
        <v>1323</v>
      </c>
      <c r="Q149" s="1" t="s">
        <v>3208</v>
      </c>
      <c r="R149" s="1" t="s">
        <v>3209</v>
      </c>
      <c r="S149" s="1">
        <v>9420184313</v>
      </c>
      <c r="T149" s="1" t="s">
        <v>3210</v>
      </c>
      <c r="U149" s="1" t="s">
        <v>3211</v>
      </c>
      <c r="V149" s="1">
        <v>8669022335</v>
      </c>
      <c r="W149" s="1" t="s">
        <v>156</v>
      </c>
      <c r="X149" s="1" t="s">
        <v>3212</v>
      </c>
      <c r="Y149" s="1" t="s">
        <v>191</v>
      </c>
      <c r="Z149" s="1" t="s">
        <v>92</v>
      </c>
      <c r="AA149" s="1" t="s">
        <v>3213</v>
      </c>
      <c r="AB149" s="1" t="s">
        <v>2902</v>
      </c>
      <c r="AC149" s="1" t="s">
        <v>92</v>
      </c>
      <c r="AD149" s="1">
        <v>8.51</v>
      </c>
      <c r="AE149" s="1" t="s">
        <v>93</v>
      </c>
      <c r="AF149" s="1" t="s">
        <v>3214</v>
      </c>
      <c r="AG149" s="1" t="s">
        <v>3215</v>
      </c>
      <c r="AH149" s="1" t="s">
        <v>165</v>
      </c>
      <c r="AI149" s="1" t="s">
        <v>281</v>
      </c>
      <c r="AJ149" s="1">
        <v>86.8</v>
      </c>
      <c r="AK149" s="1">
        <v>0</v>
      </c>
      <c r="AL149" s="1" t="s">
        <v>3216</v>
      </c>
      <c r="AM149" s="1" t="s">
        <v>3217</v>
      </c>
      <c r="AN149" s="1" t="s">
        <v>1065</v>
      </c>
      <c r="AO149" s="1" t="s">
        <v>360</v>
      </c>
      <c r="AP149" s="1">
        <v>74.31</v>
      </c>
      <c r="AQ149" s="1">
        <v>0</v>
      </c>
      <c r="AR149" s="1"/>
      <c r="AS149" s="1"/>
      <c r="AT149" s="1"/>
      <c r="AU149" s="1"/>
      <c r="AV149" s="1"/>
      <c r="AW149" s="1"/>
      <c r="AX149" s="1" t="s">
        <v>361</v>
      </c>
      <c r="AY149" s="1" t="s">
        <v>3218</v>
      </c>
      <c r="AZ149" s="1" t="s">
        <v>920</v>
      </c>
      <c r="BA149" s="1" t="s">
        <v>202</v>
      </c>
      <c r="BB149" s="1">
        <v>75.4</v>
      </c>
      <c r="BC149" s="1">
        <v>8.29</v>
      </c>
      <c r="BD149" s="1"/>
      <c r="BE149" s="1"/>
      <c r="BF149" s="1"/>
      <c r="BG149" s="1"/>
      <c r="BH149" s="1"/>
      <c r="BI149" s="1"/>
      <c r="BJ149" s="1" t="s">
        <v>3219</v>
      </c>
      <c r="BK149" s="1"/>
      <c r="BL149" s="1"/>
      <c r="BM149" s="1" t="s">
        <v>3220</v>
      </c>
      <c r="BN149" s="1">
        <v>37</v>
      </c>
      <c r="BO149" s="1" t="s">
        <v>3221</v>
      </c>
      <c r="BP149" s="1" t="str">
        <f>HYPERLINK("https://nconnect.nicmar.ac.in/storage/profile/ProfilePhoto_P25700086_943578.jpg","Download")</f>
        <v>0</v>
      </c>
      <c r="BQ149" s="3"/>
      <c r="BR149" s="3"/>
    </row>
    <row r="150" spans="1:70">
      <c r="A150" s="1" t="s">
        <v>70</v>
      </c>
      <c r="B150" s="1" t="s">
        <v>1269</v>
      </c>
      <c r="C150" s="1" t="s">
        <v>3222</v>
      </c>
      <c r="D150" s="1" t="s">
        <v>3223</v>
      </c>
      <c r="E150" s="1" t="s">
        <v>3224</v>
      </c>
      <c r="F150" s="1" t="s">
        <v>3225</v>
      </c>
      <c r="G150" s="1" t="s">
        <v>3226</v>
      </c>
      <c r="H150" s="1" t="s">
        <v>3227</v>
      </c>
      <c r="I150" s="1" t="s">
        <v>3228</v>
      </c>
      <c r="J150" s="1">
        <v>8369371163</v>
      </c>
      <c r="K150" s="1" t="s">
        <v>79</v>
      </c>
      <c r="L150" s="1" t="s">
        <v>3111</v>
      </c>
      <c r="M150" s="1" t="s">
        <v>81</v>
      </c>
      <c r="N150" s="1" t="s">
        <v>3229</v>
      </c>
      <c r="O150" s="1"/>
      <c r="P150" s="1" t="s">
        <v>1298</v>
      </c>
      <c r="Q150" s="1" t="s">
        <v>3230</v>
      </c>
      <c r="R150" s="1" t="s">
        <v>3224</v>
      </c>
      <c r="S150" s="1">
        <v>7710942092</v>
      </c>
      <c r="T150" s="1" t="s">
        <v>120</v>
      </c>
      <c r="U150" s="1" t="s">
        <v>3231</v>
      </c>
      <c r="V150" s="1">
        <v>9930116890</v>
      </c>
      <c r="W150" s="1" t="s">
        <v>156</v>
      </c>
      <c r="X150" s="1" t="s">
        <v>3232</v>
      </c>
      <c r="Y150" s="1" t="s">
        <v>1018</v>
      </c>
      <c r="Z150" s="1" t="s">
        <v>92</v>
      </c>
      <c r="AA150" s="1" t="s">
        <v>3232</v>
      </c>
      <c r="AB150" s="1" t="s">
        <v>1018</v>
      </c>
      <c r="AC150" s="1" t="s">
        <v>92</v>
      </c>
      <c r="AD150" s="1">
        <v>8.49</v>
      </c>
      <c r="AE150" s="1" t="s">
        <v>93</v>
      </c>
      <c r="AF150" s="1" t="s">
        <v>3233</v>
      </c>
      <c r="AG150" s="1" t="s">
        <v>3234</v>
      </c>
      <c r="AH150" s="1" t="s">
        <v>527</v>
      </c>
      <c r="AI150" s="1" t="s">
        <v>165</v>
      </c>
      <c r="AJ150" s="1">
        <v>68.8</v>
      </c>
      <c r="AK150" s="1">
        <v>0</v>
      </c>
      <c r="AL150" s="1" t="s">
        <v>3235</v>
      </c>
      <c r="AM150" s="1" t="s">
        <v>3234</v>
      </c>
      <c r="AN150" s="1" t="s">
        <v>169</v>
      </c>
      <c r="AO150" s="1" t="s">
        <v>308</v>
      </c>
      <c r="AP150" s="1">
        <v>61.85</v>
      </c>
      <c r="AQ150" s="1">
        <v>0</v>
      </c>
      <c r="AR150" s="1"/>
      <c r="AS150" s="1"/>
      <c r="AT150" s="1"/>
      <c r="AU150" s="1"/>
      <c r="AV150" s="1"/>
      <c r="AW150" s="1"/>
      <c r="AX150" s="1" t="s">
        <v>253</v>
      </c>
      <c r="AY150" s="1" t="s">
        <v>3236</v>
      </c>
      <c r="AZ150" s="1" t="s">
        <v>201</v>
      </c>
      <c r="BA150" s="1" t="s">
        <v>1134</v>
      </c>
      <c r="BB150" s="1">
        <v>69.25</v>
      </c>
      <c r="BC150" s="1">
        <v>7.75</v>
      </c>
      <c r="BD150" s="1"/>
      <c r="BE150" s="1"/>
      <c r="BF150" s="1"/>
      <c r="BG150" s="1"/>
      <c r="BH150" s="1"/>
      <c r="BI150" s="1"/>
      <c r="BJ150" s="1" t="s">
        <v>3237</v>
      </c>
      <c r="BK150" s="1" t="s">
        <v>3238</v>
      </c>
      <c r="BL150" s="1" t="s">
        <v>3239</v>
      </c>
      <c r="BM150" s="1" t="s">
        <v>3240</v>
      </c>
      <c r="BN150" s="1">
        <v>4</v>
      </c>
      <c r="BO150" s="1" t="s">
        <v>3241</v>
      </c>
      <c r="BP150" s="1" t="str">
        <f>HYPERLINK("https://nconnect.nicmar.ac.in/storage/profile/ProfilePhoto_P25700087_527389.jpg","Download")</f>
        <v>0</v>
      </c>
      <c r="BQ150" s="3"/>
      <c r="BR150" s="3"/>
    </row>
    <row r="151" spans="1:70">
      <c r="A151" s="1" t="s">
        <v>70</v>
      </c>
      <c r="B151" s="1" t="s">
        <v>1269</v>
      </c>
      <c r="C151" s="1" t="s">
        <v>3242</v>
      </c>
      <c r="D151" s="1" t="s">
        <v>3243</v>
      </c>
      <c r="E151" s="1" t="s">
        <v>3244</v>
      </c>
      <c r="F151" s="1" t="s">
        <v>3245</v>
      </c>
      <c r="G151" s="1" t="s">
        <v>3246</v>
      </c>
      <c r="H151" s="1" t="s">
        <v>3247</v>
      </c>
      <c r="I151" s="1" t="s">
        <v>3248</v>
      </c>
      <c r="J151" s="1">
        <v>7039123763</v>
      </c>
      <c r="K151" s="1" t="s">
        <v>79</v>
      </c>
      <c r="L151" s="1" t="s">
        <v>3249</v>
      </c>
      <c r="M151" s="1" t="s">
        <v>81</v>
      </c>
      <c r="N151" s="1" t="s">
        <v>2008</v>
      </c>
      <c r="O151" s="1"/>
      <c r="P151" s="1" t="s">
        <v>1323</v>
      </c>
      <c r="Q151" s="1" t="s">
        <v>3250</v>
      </c>
      <c r="R151" s="1" t="s">
        <v>3244</v>
      </c>
      <c r="S151" s="1">
        <v>9969034019</v>
      </c>
      <c r="T151" s="1" t="s">
        <v>120</v>
      </c>
      <c r="U151" s="1" t="s">
        <v>3251</v>
      </c>
      <c r="V151" s="1">
        <v>9892778289</v>
      </c>
      <c r="W151" s="1" t="s">
        <v>120</v>
      </c>
      <c r="X151" s="1" t="s">
        <v>3252</v>
      </c>
      <c r="Y151" s="1" t="s">
        <v>995</v>
      </c>
      <c r="Z151" s="1" t="s">
        <v>92</v>
      </c>
      <c r="AA151" s="1" t="s">
        <v>3252</v>
      </c>
      <c r="AB151" s="1" t="s">
        <v>995</v>
      </c>
      <c r="AC151" s="1" t="s">
        <v>92</v>
      </c>
      <c r="AD151" s="1">
        <v>8.56</v>
      </c>
      <c r="AE151" s="1" t="s">
        <v>93</v>
      </c>
      <c r="AF151" s="1" t="s">
        <v>3253</v>
      </c>
      <c r="AG151" s="1" t="s">
        <v>3254</v>
      </c>
      <c r="AH151" s="1" t="s">
        <v>96</v>
      </c>
      <c r="AI151" s="1" t="s">
        <v>131</v>
      </c>
      <c r="AJ151" s="1">
        <v>67.2</v>
      </c>
      <c r="AK151" s="1"/>
      <c r="AL151" s="1"/>
      <c r="AM151" s="1"/>
      <c r="AN151" s="1"/>
      <c r="AO151" s="1"/>
      <c r="AP151" s="1"/>
      <c r="AQ151" s="1"/>
      <c r="AR151" s="1" t="s">
        <v>98</v>
      </c>
      <c r="AS151" s="1" t="s">
        <v>3255</v>
      </c>
      <c r="AT151" s="1" t="s">
        <v>337</v>
      </c>
      <c r="AU151" s="1" t="s">
        <v>166</v>
      </c>
      <c r="AV151" s="1">
        <v>84.4</v>
      </c>
      <c r="AW151" s="1"/>
      <c r="AX151" s="1" t="s">
        <v>253</v>
      </c>
      <c r="AY151" s="1" t="s">
        <v>3256</v>
      </c>
      <c r="AZ151" s="1" t="s">
        <v>169</v>
      </c>
      <c r="BA151" s="1" t="s">
        <v>1712</v>
      </c>
      <c r="BB151" s="1">
        <v>71.4</v>
      </c>
      <c r="BC151" s="1">
        <v>7.89</v>
      </c>
      <c r="BD151" s="1"/>
      <c r="BE151" s="1"/>
      <c r="BF151" s="1"/>
      <c r="BG151" s="1"/>
      <c r="BH151" s="1"/>
      <c r="BI151" s="1"/>
      <c r="BJ151" s="1" t="s">
        <v>3257</v>
      </c>
      <c r="BK151" s="1" t="s">
        <v>3258</v>
      </c>
      <c r="BL151" s="1" t="s">
        <v>3259</v>
      </c>
      <c r="BM151" s="1" t="s">
        <v>3260</v>
      </c>
      <c r="BN151" s="1">
        <v>5</v>
      </c>
      <c r="BO151" s="1"/>
      <c r="BP151" s="1" t="str">
        <f>HYPERLINK("https://nconnect.nicmar.ac.in/storage/profile/ProfilePhoto_P25700088_736859.jpg","Download")</f>
        <v>0</v>
      </c>
      <c r="BQ151" s="3"/>
      <c r="BR151" s="3"/>
    </row>
    <row r="152" spans="1:70">
      <c r="A152" s="1" t="s">
        <v>70</v>
      </c>
      <c r="B152" s="1" t="s">
        <v>1269</v>
      </c>
      <c r="C152" s="1" t="s">
        <v>3261</v>
      </c>
      <c r="D152" s="1" t="s">
        <v>3262</v>
      </c>
      <c r="E152" s="1" t="s">
        <v>3224</v>
      </c>
      <c r="F152" s="1" t="s">
        <v>2893</v>
      </c>
      <c r="G152" s="1" t="s">
        <v>3263</v>
      </c>
      <c r="H152" s="1" t="s">
        <v>3264</v>
      </c>
      <c r="I152" s="1" t="s">
        <v>3265</v>
      </c>
      <c r="J152" s="1">
        <v>9172120588</v>
      </c>
      <c r="K152" s="1" t="s">
        <v>79</v>
      </c>
      <c r="L152" s="1" t="s">
        <v>3266</v>
      </c>
      <c r="M152" s="1" t="s">
        <v>81</v>
      </c>
      <c r="N152" s="1" t="s">
        <v>2008</v>
      </c>
      <c r="O152" s="1"/>
      <c r="P152" s="1" t="s">
        <v>1323</v>
      </c>
      <c r="Q152" s="1" t="s">
        <v>3267</v>
      </c>
      <c r="R152" s="1" t="s">
        <v>3268</v>
      </c>
      <c r="S152" s="1">
        <v>9172120588</v>
      </c>
      <c r="T152" s="1" t="s">
        <v>120</v>
      </c>
      <c r="U152" s="1" t="s">
        <v>3269</v>
      </c>
      <c r="V152" s="1">
        <v>9172120588</v>
      </c>
      <c r="W152" s="1" t="s">
        <v>156</v>
      </c>
      <c r="X152" s="1" t="s">
        <v>3270</v>
      </c>
      <c r="Y152" s="1" t="s">
        <v>2786</v>
      </c>
      <c r="Z152" s="1" t="s">
        <v>92</v>
      </c>
      <c r="AA152" s="1" t="s">
        <v>3270</v>
      </c>
      <c r="AB152" s="1" t="s">
        <v>2786</v>
      </c>
      <c r="AC152" s="1" t="s">
        <v>92</v>
      </c>
      <c r="AD152" s="1">
        <v>8.59</v>
      </c>
      <c r="AE152" s="1" t="s">
        <v>93</v>
      </c>
      <c r="AF152" s="1" t="s">
        <v>3271</v>
      </c>
      <c r="AG152" s="1" t="s">
        <v>3272</v>
      </c>
      <c r="AH152" s="1" t="s">
        <v>165</v>
      </c>
      <c r="AI152" s="1" t="s">
        <v>166</v>
      </c>
      <c r="AJ152" s="1">
        <v>81.8</v>
      </c>
      <c r="AK152" s="1"/>
      <c r="AL152" s="1" t="s">
        <v>3271</v>
      </c>
      <c r="AM152" s="1" t="s">
        <v>3272</v>
      </c>
      <c r="AN152" s="1" t="s">
        <v>433</v>
      </c>
      <c r="AO152" s="1" t="s">
        <v>173</v>
      </c>
      <c r="AP152" s="1">
        <v>74.2</v>
      </c>
      <c r="AQ152" s="1"/>
      <c r="AR152" s="1"/>
      <c r="AS152" s="1"/>
      <c r="AT152" s="1"/>
      <c r="AU152" s="1"/>
      <c r="AV152" s="1"/>
      <c r="AW152" s="1"/>
      <c r="AX152" s="1" t="s">
        <v>361</v>
      </c>
      <c r="AY152" s="1" t="s">
        <v>3273</v>
      </c>
      <c r="AZ152" s="1" t="s">
        <v>681</v>
      </c>
      <c r="BA152" s="1" t="s">
        <v>202</v>
      </c>
      <c r="BB152" s="1">
        <v>66.21</v>
      </c>
      <c r="BC152" s="1">
        <v>7.44</v>
      </c>
      <c r="BD152" s="1"/>
      <c r="BE152" s="1"/>
      <c r="BF152" s="1"/>
      <c r="BG152" s="1"/>
      <c r="BH152" s="1"/>
      <c r="BI152" s="1"/>
      <c r="BJ152" s="1" t="s">
        <v>3274</v>
      </c>
      <c r="BK152" s="1" t="s">
        <v>3275</v>
      </c>
      <c r="BL152" s="1" t="s">
        <v>1220</v>
      </c>
      <c r="BM152" s="1" t="s">
        <v>3276</v>
      </c>
      <c r="BN152" s="1">
        <v>8</v>
      </c>
      <c r="BO152" s="1"/>
      <c r="BP152" s="1" t="str">
        <f>HYPERLINK("https://nconnect.nicmar.ac.in/storage/profile/ProfilePhoto_P25700089_931658.jpg","Download")</f>
        <v>0</v>
      </c>
      <c r="BQ152" s="3"/>
      <c r="BR152" s="3"/>
    </row>
    <row r="153" spans="1:70">
      <c r="A153" s="1" t="s">
        <v>70</v>
      </c>
      <c r="B153" s="1" t="s">
        <v>1269</v>
      </c>
      <c r="C153" s="1" t="s">
        <v>3277</v>
      </c>
      <c r="D153" s="1" t="s">
        <v>3162</v>
      </c>
      <c r="E153" s="1"/>
      <c r="F153" s="1" t="s">
        <v>3278</v>
      </c>
      <c r="G153" s="1" t="s">
        <v>3279</v>
      </c>
      <c r="H153" s="1" t="s">
        <v>3280</v>
      </c>
      <c r="I153" s="1" t="s">
        <v>3281</v>
      </c>
      <c r="J153" s="1">
        <v>9701658656</v>
      </c>
      <c r="K153" s="1" t="s">
        <v>79</v>
      </c>
      <c r="L153" s="1" t="s">
        <v>3282</v>
      </c>
      <c r="M153" s="1" t="s">
        <v>81</v>
      </c>
      <c r="N153" s="1" t="s">
        <v>3283</v>
      </c>
      <c r="O153" s="1"/>
      <c r="P153" s="1" t="s">
        <v>1278</v>
      </c>
      <c r="Q153" s="1" t="s">
        <v>3284</v>
      </c>
      <c r="R153" s="1" t="s">
        <v>3285</v>
      </c>
      <c r="S153" s="1">
        <v>9849829955</v>
      </c>
      <c r="T153" s="1" t="s">
        <v>154</v>
      </c>
      <c r="U153" s="1" t="s">
        <v>3286</v>
      </c>
      <c r="V153" s="1">
        <v>9989220434</v>
      </c>
      <c r="W153" s="1" t="s">
        <v>273</v>
      </c>
      <c r="X153" s="1" t="s">
        <v>3287</v>
      </c>
      <c r="Y153" s="1" t="s">
        <v>275</v>
      </c>
      <c r="Z153" s="1" t="s">
        <v>276</v>
      </c>
      <c r="AA153" s="1" t="s">
        <v>3287</v>
      </c>
      <c r="AB153" s="1" t="s">
        <v>275</v>
      </c>
      <c r="AC153" s="1" t="s">
        <v>276</v>
      </c>
      <c r="AD153" s="1">
        <v>8.74</v>
      </c>
      <c r="AE153" s="1" t="s">
        <v>93</v>
      </c>
      <c r="AF153" s="1" t="s">
        <v>3288</v>
      </c>
      <c r="AG153" s="1" t="s">
        <v>3289</v>
      </c>
      <c r="AH153" s="1" t="s">
        <v>165</v>
      </c>
      <c r="AI153" s="1" t="s">
        <v>1307</v>
      </c>
      <c r="AJ153" s="1">
        <v>100</v>
      </c>
      <c r="AK153" s="1">
        <v>10</v>
      </c>
      <c r="AL153" s="1" t="s">
        <v>3290</v>
      </c>
      <c r="AM153" s="1" t="s">
        <v>3291</v>
      </c>
      <c r="AN153" s="1" t="s">
        <v>101</v>
      </c>
      <c r="AO153" s="1" t="s">
        <v>412</v>
      </c>
      <c r="AP153" s="1">
        <v>94.6</v>
      </c>
      <c r="AQ153" s="1">
        <v>9.82</v>
      </c>
      <c r="AR153" s="1"/>
      <c r="AS153" s="1"/>
      <c r="AT153" s="1"/>
      <c r="AU153" s="1"/>
      <c r="AV153" s="1"/>
      <c r="AW153" s="1"/>
      <c r="AX153" s="1" t="s">
        <v>3292</v>
      </c>
      <c r="AY153" s="1" t="s">
        <v>3293</v>
      </c>
      <c r="AZ153" s="1" t="s">
        <v>920</v>
      </c>
      <c r="BA153" s="1" t="s">
        <v>702</v>
      </c>
      <c r="BB153" s="1">
        <v>65.9</v>
      </c>
      <c r="BC153" s="1">
        <v>7.34</v>
      </c>
      <c r="BD153" s="1"/>
      <c r="BE153" s="1"/>
      <c r="BF153" s="1"/>
      <c r="BG153" s="1"/>
      <c r="BH153" s="1"/>
      <c r="BI153" s="1"/>
      <c r="BJ153" s="1" t="s">
        <v>3294</v>
      </c>
      <c r="BK153" s="1"/>
      <c r="BL153" s="1"/>
      <c r="BM153" s="1" t="s">
        <v>3295</v>
      </c>
      <c r="BN153" s="1">
        <v>19</v>
      </c>
      <c r="BO153" s="1"/>
      <c r="BP153" s="1" t="str">
        <f>HYPERLINK("https://nconnect.nicmar.ac.in/storage/profile/ProfilePhoto_P25700090_678295.jpg","Download")</f>
        <v>0</v>
      </c>
      <c r="BQ153" s="3"/>
      <c r="BR153" s="3"/>
    </row>
    <row r="154" spans="1:70">
      <c r="A154" s="1" t="s">
        <v>70</v>
      </c>
      <c r="B154" s="1" t="s">
        <v>1269</v>
      </c>
      <c r="C154" s="1" t="s">
        <v>3296</v>
      </c>
      <c r="D154" s="1" t="s">
        <v>3297</v>
      </c>
      <c r="E154" s="1" t="s">
        <v>3298</v>
      </c>
      <c r="F154" s="1" t="s">
        <v>3299</v>
      </c>
      <c r="G154" s="1" t="s">
        <v>3300</v>
      </c>
      <c r="H154" s="1" t="s">
        <v>3301</v>
      </c>
      <c r="I154" s="1" t="s">
        <v>3302</v>
      </c>
      <c r="J154" s="1">
        <v>8975936363</v>
      </c>
      <c r="K154" s="1" t="s">
        <v>79</v>
      </c>
      <c r="L154" s="1" t="s">
        <v>3303</v>
      </c>
      <c r="M154" s="1" t="s">
        <v>81</v>
      </c>
      <c r="N154" s="1" t="s">
        <v>3304</v>
      </c>
      <c r="O154" s="1"/>
      <c r="P154" s="1" t="s">
        <v>1298</v>
      </c>
      <c r="Q154" s="1" t="s">
        <v>3305</v>
      </c>
      <c r="R154" s="1" t="s">
        <v>3298</v>
      </c>
      <c r="S154" s="1">
        <v>8308572500</v>
      </c>
      <c r="T154" s="1" t="s">
        <v>496</v>
      </c>
      <c r="U154" s="1" t="s">
        <v>2334</v>
      </c>
      <c r="V154" s="1">
        <v>7350589898</v>
      </c>
      <c r="W154" s="1" t="s">
        <v>156</v>
      </c>
      <c r="X154" s="1" t="s">
        <v>3306</v>
      </c>
      <c r="Y154" s="1" t="s">
        <v>191</v>
      </c>
      <c r="Z154" s="1" t="s">
        <v>92</v>
      </c>
      <c r="AA154" s="1" t="s">
        <v>3306</v>
      </c>
      <c r="AB154" s="1" t="s">
        <v>191</v>
      </c>
      <c r="AC154" s="1" t="s">
        <v>92</v>
      </c>
      <c r="AD154" s="1">
        <v>9.31</v>
      </c>
      <c r="AE154" s="1" t="s">
        <v>93</v>
      </c>
      <c r="AF154" s="1" t="s">
        <v>3307</v>
      </c>
      <c r="AG154" s="1" t="s">
        <v>160</v>
      </c>
      <c r="AH154" s="1" t="s">
        <v>3098</v>
      </c>
      <c r="AI154" s="1" t="s">
        <v>409</v>
      </c>
      <c r="AJ154" s="1">
        <v>90.2</v>
      </c>
      <c r="AK154" s="1"/>
      <c r="AL154" s="1" t="s">
        <v>3308</v>
      </c>
      <c r="AM154" s="1" t="s">
        <v>160</v>
      </c>
      <c r="AN154" s="1" t="s">
        <v>433</v>
      </c>
      <c r="AO154" s="1" t="s">
        <v>1131</v>
      </c>
      <c r="AP154" s="1">
        <v>84</v>
      </c>
      <c r="AQ154" s="1"/>
      <c r="AR154" s="1"/>
      <c r="AS154" s="1"/>
      <c r="AT154" s="1"/>
      <c r="AU154" s="1"/>
      <c r="AV154" s="1"/>
      <c r="AW154" s="1"/>
      <c r="AX154" s="1" t="s">
        <v>361</v>
      </c>
      <c r="AY154" s="1" t="s">
        <v>3309</v>
      </c>
      <c r="AZ154" s="1" t="s">
        <v>897</v>
      </c>
      <c r="BA154" s="1" t="s">
        <v>1361</v>
      </c>
      <c r="BB154" s="1">
        <v>80.18</v>
      </c>
      <c r="BC154" s="1">
        <v>8.44</v>
      </c>
      <c r="BD154" s="1"/>
      <c r="BE154" s="1"/>
      <c r="BF154" s="1"/>
      <c r="BG154" s="1"/>
      <c r="BH154" s="1"/>
      <c r="BI154" s="1"/>
      <c r="BJ154" s="1" t="s">
        <v>255</v>
      </c>
      <c r="BK154" s="1"/>
      <c r="BL154" s="1"/>
      <c r="BM154" s="1" t="s">
        <v>3310</v>
      </c>
      <c r="BN154" s="1">
        <v>13</v>
      </c>
      <c r="BO154" s="1"/>
      <c r="BP154" s="1" t="str">
        <f>HYPERLINK("https://nconnect.nicmar.ac.in/storage/profile/ProfilePhoto_P25700091_861592.jpg","Download")</f>
        <v>0</v>
      </c>
      <c r="BQ154" s="3"/>
      <c r="BR154" s="3"/>
    </row>
    <row r="155" spans="1:70">
      <c r="A155" s="1" t="s">
        <v>70</v>
      </c>
      <c r="B155" s="1" t="s">
        <v>1269</v>
      </c>
      <c r="C155" s="1" t="s">
        <v>3311</v>
      </c>
      <c r="D155" s="1" t="s">
        <v>3312</v>
      </c>
      <c r="E155" s="1"/>
      <c r="F155" s="1" t="s">
        <v>3313</v>
      </c>
      <c r="G155" s="1" t="s">
        <v>3314</v>
      </c>
      <c r="H155" s="1" t="s">
        <v>3315</v>
      </c>
      <c r="I155" s="1" t="s">
        <v>3316</v>
      </c>
      <c r="J155" s="1">
        <v>6282333205</v>
      </c>
      <c r="K155" s="1" t="s">
        <v>79</v>
      </c>
      <c r="L155" s="1" t="s">
        <v>3317</v>
      </c>
      <c r="M155" s="1" t="s">
        <v>81</v>
      </c>
      <c r="N155" s="1" t="s">
        <v>3318</v>
      </c>
      <c r="O155" s="1"/>
      <c r="P155" s="1" t="s">
        <v>1278</v>
      </c>
      <c r="Q155" s="1" t="s">
        <v>3319</v>
      </c>
      <c r="R155" s="1" t="s">
        <v>3320</v>
      </c>
      <c r="S155" s="1">
        <v>9446204739</v>
      </c>
      <c r="T155" s="1" t="s">
        <v>120</v>
      </c>
      <c r="U155" s="1" t="s">
        <v>3321</v>
      </c>
      <c r="V155" s="1">
        <v>9495632950</v>
      </c>
      <c r="W155" s="1" t="s">
        <v>120</v>
      </c>
      <c r="X155" s="1" t="s">
        <v>3322</v>
      </c>
      <c r="Y155" s="1" t="s">
        <v>3323</v>
      </c>
      <c r="Z155" s="1" t="s">
        <v>125</v>
      </c>
      <c r="AA155" s="1" t="s">
        <v>3322</v>
      </c>
      <c r="AB155" s="1" t="s">
        <v>3323</v>
      </c>
      <c r="AC155" s="1" t="s">
        <v>125</v>
      </c>
      <c r="AD155" s="1">
        <v>8.62</v>
      </c>
      <c r="AE155" s="1" t="s">
        <v>93</v>
      </c>
      <c r="AF155" s="1" t="s">
        <v>3324</v>
      </c>
      <c r="AG155" s="1" t="s">
        <v>3325</v>
      </c>
      <c r="AH155" s="1" t="s">
        <v>165</v>
      </c>
      <c r="AI155" s="1" t="s">
        <v>281</v>
      </c>
      <c r="AJ155" s="1">
        <v>86.61</v>
      </c>
      <c r="AK155" s="1"/>
      <c r="AL155" s="1" t="s">
        <v>3324</v>
      </c>
      <c r="AM155" s="1" t="s">
        <v>3326</v>
      </c>
      <c r="AN155" s="1" t="s">
        <v>101</v>
      </c>
      <c r="AO155" s="1" t="s">
        <v>941</v>
      </c>
      <c r="AP155" s="1">
        <v>72.66</v>
      </c>
      <c r="AQ155" s="1"/>
      <c r="AR155" s="1"/>
      <c r="AS155" s="1"/>
      <c r="AT155" s="1"/>
      <c r="AU155" s="1"/>
      <c r="AV155" s="1"/>
      <c r="AW155" s="1"/>
      <c r="AX155" s="1" t="s">
        <v>3327</v>
      </c>
      <c r="AY155" s="1" t="s">
        <v>3328</v>
      </c>
      <c r="AZ155" s="1" t="s">
        <v>681</v>
      </c>
      <c r="BA155" s="1" t="s">
        <v>202</v>
      </c>
      <c r="BB155" s="1">
        <v>67.2</v>
      </c>
      <c r="BC155" s="1">
        <v>6.72</v>
      </c>
      <c r="BD155" s="1"/>
      <c r="BE155" s="1"/>
      <c r="BF155" s="1"/>
      <c r="BG155" s="1"/>
      <c r="BH155" s="1"/>
      <c r="BI155" s="1"/>
      <c r="BJ155" s="1" t="s">
        <v>3329</v>
      </c>
      <c r="BK155" s="1" t="s">
        <v>3330</v>
      </c>
      <c r="BL155" s="1" t="s">
        <v>484</v>
      </c>
      <c r="BM155" s="1" t="s">
        <v>3331</v>
      </c>
      <c r="BN155" s="1">
        <v>9</v>
      </c>
      <c r="BO155" s="1" t="s">
        <v>3332</v>
      </c>
      <c r="BP155" s="1" t="str">
        <f>HYPERLINK("https://nconnect.nicmar.ac.in/storage/profile/ProfilePhoto_P25700092_346187.jpg","Download")</f>
        <v>0</v>
      </c>
      <c r="BQ155" s="3"/>
      <c r="BR155" s="3"/>
    </row>
    <row r="156" spans="1:70">
      <c r="A156" s="1" t="s">
        <v>70</v>
      </c>
      <c r="B156" s="1" t="s">
        <v>1269</v>
      </c>
      <c r="C156" s="1" t="s">
        <v>3333</v>
      </c>
      <c r="D156" s="1" t="s">
        <v>3334</v>
      </c>
      <c r="E156" s="1"/>
      <c r="F156" s="1" t="s">
        <v>3335</v>
      </c>
      <c r="G156" s="1" t="s">
        <v>3336</v>
      </c>
      <c r="H156" s="1" t="s">
        <v>3337</v>
      </c>
      <c r="I156" s="1" t="s">
        <v>3338</v>
      </c>
      <c r="J156" s="1">
        <v>9311490065</v>
      </c>
      <c r="K156" s="1" t="s">
        <v>79</v>
      </c>
      <c r="L156" s="1" t="s">
        <v>3339</v>
      </c>
      <c r="M156" s="1" t="s">
        <v>81</v>
      </c>
      <c r="N156" s="1" t="s">
        <v>3340</v>
      </c>
      <c r="O156" s="1"/>
      <c r="P156" s="1" t="s">
        <v>1323</v>
      </c>
      <c r="Q156" s="1" t="s">
        <v>3341</v>
      </c>
      <c r="R156" s="1" t="s">
        <v>3342</v>
      </c>
      <c r="S156" s="1">
        <v>9314012773</v>
      </c>
      <c r="T156" s="1" t="s">
        <v>842</v>
      </c>
      <c r="U156" s="1" t="s">
        <v>3343</v>
      </c>
      <c r="V156" s="1">
        <v>9414012773</v>
      </c>
      <c r="W156" s="1" t="s">
        <v>3344</v>
      </c>
      <c r="X156" s="1" t="s">
        <v>3345</v>
      </c>
      <c r="Y156" s="1" t="s">
        <v>718</v>
      </c>
      <c r="Z156" s="1" t="s">
        <v>719</v>
      </c>
      <c r="AA156" s="1" t="s">
        <v>3345</v>
      </c>
      <c r="AB156" s="1" t="s">
        <v>718</v>
      </c>
      <c r="AC156" s="1" t="s">
        <v>719</v>
      </c>
      <c r="AD156" s="1" t="s">
        <v>93</v>
      </c>
      <c r="AE156" s="1" t="s">
        <v>93</v>
      </c>
      <c r="AF156" s="1" t="s">
        <v>3346</v>
      </c>
      <c r="AG156" s="1" t="s">
        <v>3347</v>
      </c>
      <c r="AH156" s="1" t="s">
        <v>678</v>
      </c>
      <c r="AI156" s="1" t="s">
        <v>281</v>
      </c>
      <c r="AJ156" s="1">
        <v>66.5</v>
      </c>
      <c r="AK156" s="1"/>
      <c r="AL156" s="1" t="s">
        <v>3348</v>
      </c>
      <c r="AM156" s="1" t="s">
        <v>307</v>
      </c>
      <c r="AN156" s="1" t="s">
        <v>409</v>
      </c>
      <c r="AO156" s="1" t="s">
        <v>941</v>
      </c>
      <c r="AP156" s="1">
        <v>74.6</v>
      </c>
      <c r="AQ156" s="1"/>
      <c r="AR156" s="1"/>
      <c r="AS156" s="1"/>
      <c r="AT156" s="1"/>
      <c r="AU156" s="1"/>
      <c r="AV156" s="1"/>
      <c r="AW156" s="1"/>
      <c r="AX156" s="1" t="s">
        <v>3349</v>
      </c>
      <c r="AY156" s="1" t="s">
        <v>3350</v>
      </c>
      <c r="AZ156" s="1" t="s">
        <v>920</v>
      </c>
      <c r="BA156" s="1" t="s">
        <v>944</v>
      </c>
      <c r="BB156" s="1">
        <v>91.7</v>
      </c>
      <c r="BC156" s="1">
        <v>9.17</v>
      </c>
      <c r="BD156" s="1"/>
      <c r="BE156" s="1"/>
      <c r="BF156" s="1"/>
      <c r="BG156" s="1"/>
      <c r="BH156" s="1"/>
      <c r="BI156" s="1"/>
      <c r="BJ156" s="1" t="s">
        <v>255</v>
      </c>
      <c r="BK156" s="1"/>
      <c r="BL156" s="1"/>
      <c r="BM156" s="1" t="s">
        <v>3351</v>
      </c>
      <c r="BN156" s="1">
        <v>61</v>
      </c>
      <c r="BO156" s="1" t="s">
        <v>3352</v>
      </c>
      <c r="BP156" s="1" t="str">
        <f>HYPERLINK("https://nconnect.nicmar.ac.in/storage/profile/ProfilePhoto_P25700093_764528.jpg","Download")</f>
        <v>0</v>
      </c>
      <c r="BQ156" s="3"/>
      <c r="BR156" s="3"/>
    </row>
    <row r="157" spans="1:70">
      <c r="A157" s="1" t="s">
        <v>70</v>
      </c>
      <c r="B157" s="1" t="s">
        <v>1269</v>
      </c>
      <c r="C157" s="1" t="s">
        <v>3353</v>
      </c>
      <c r="D157" s="1" t="s">
        <v>3354</v>
      </c>
      <c r="E157" s="1" t="s">
        <v>3355</v>
      </c>
      <c r="F157" s="1" t="s">
        <v>3356</v>
      </c>
      <c r="G157" s="1" t="s">
        <v>3357</v>
      </c>
      <c r="H157" s="1" t="s">
        <v>3358</v>
      </c>
      <c r="I157" s="1" t="s">
        <v>3359</v>
      </c>
      <c r="J157" s="1">
        <v>7020313041</v>
      </c>
      <c r="K157" s="1" t="s">
        <v>79</v>
      </c>
      <c r="L157" s="1" t="s">
        <v>744</v>
      </c>
      <c r="M157" s="1" t="s">
        <v>81</v>
      </c>
      <c r="N157" s="1" t="s">
        <v>2008</v>
      </c>
      <c r="O157" s="1"/>
      <c r="P157" s="1" t="s">
        <v>1278</v>
      </c>
      <c r="Q157" s="1" t="s">
        <v>3360</v>
      </c>
      <c r="R157" s="1" t="s">
        <v>3355</v>
      </c>
      <c r="S157" s="1">
        <v>9423076607</v>
      </c>
      <c r="T157" s="1" t="s">
        <v>496</v>
      </c>
      <c r="U157" s="1" t="s">
        <v>3361</v>
      </c>
      <c r="V157" s="1">
        <v>9405283841</v>
      </c>
      <c r="W157" s="1" t="s">
        <v>156</v>
      </c>
      <c r="X157" s="1" t="s">
        <v>3362</v>
      </c>
      <c r="Y157" s="1" t="s">
        <v>191</v>
      </c>
      <c r="Z157" s="1" t="s">
        <v>92</v>
      </c>
      <c r="AA157" s="1" t="s">
        <v>3363</v>
      </c>
      <c r="AB157" s="1" t="s">
        <v>1992</v>
      </c>
      <c r="AC157" s="1" t="s">
        <v>92</v>
      </c>
      <c r="AD157" s="1">
        <v>8.77</v>
      </c>
      <c r="AE157" s="1" t="s">
        <v>93</v>
      </c>
      <c r="AF157" s="1" t="s">
        <v>3364</v>
      </c>
      <c r="AG157" s="1" t="s">
        <v>3365</v>
      </c>
      <c r="AH157" s="1" t="s">
        <v>162</v>
      </c>
      <c r="AI157" s="1" t="s">
        <v>678</v>
      </c>
      <c r="AJ157" s="1">
        <v>95.4</v>
      </c>
      <c r="AK157" s="1"/>
      <c r="AL157" s="1" t="s">
        <v>3366</v>
      </c>
      <c r="AM157" s="1" t="s">
        <v>3367</v>
      </c>
      <c r="AN157" s="1" t="s">
        <v>101</v>
      </c>
      <c r="AO157" s="1" t="s">
        <v>308</v>
      </c>
      <c r="AP157" s="1">
        <v>79.8</v>
      </c>
      <c r="AQ157" s="1"/>
      <c r="AR157" s="1"/>
      <c r="AS157" s="1"/>
      <c r="AT157" s="1"/>
      <c r="AU157" s="1"/>
      <c r="AV157" s="1"/>
      <c r="AW157" s="1"/>
      <c r="AX157" s="1" t="s">
        <v>361</v>
      </c>
      <c r="AY157" s="1" t="s">
        <v>3368</v>
      </c>
      <c r="AZ157" s="1" t="s">
        <v>201</v>
      </c>
      <c r="BA157" s="1" t="s">
        <v>229</v>
      </c>
      <c r="BB157" s="1">
        <v>75</v>
      </c>
      <c r="BC157" s="1">
        <v>8</v>
      </c>
      <c r="BD157" s="1"/>
      <c r="BE157" s="1"/>
      <c r="BF157" s="1"/>
      <c r="BG157" s="1"/>
      <c r="BH157" s="1"/>
      <c r="BI157" s="1"/>
      <c r="BJ157" s="1" t="s">
        <v>3369</v>
      </c>
      <c r="BK157" s="1" t="s">
        <v>3370</v>
      </c>
      <c r="BL157" s="1" t="s">
        <v>639</v>
      </c>
      <c r="BM157" s="1" t="s">
        <v>3371</v>
      </c>
      <c r="BN157" s="1">
        <v>8</v>
      </c>
      <c r="BO157" s="1" t="s">
        <v>3372</v>
      </c>
      <c r="BP157" s="1" t="str">
        <f>HYPERLINK("https://nconnect.nicmar.ac.in/storage/profile/ProfilePhoto_P25700094_172359.jpg","Download")</f>
        <v>0</v>
      </c>
      <c r="BQ157" s="3"/>
      <c r="BR157" s="3"/>
    </row>
    <row r="158" spans="1:70">
      <c r="A158" s="1" t="s">
        <v>70</v>
      </c>
      <c r="B158" s="1" t="s">
        <v>1269</v>
      </c>
      <c r="C158" s="1" t="s">
        <v>3373</v>
      </c>
      <c r="D158" s="1" t="s">
        <v>3374</v>
      </c>
      <c r="E158" s="1"/>
      <c r="F158" s="1" t="s">
        <v>2190</v>
      </c>
      <c r="G158" s="1" t="s">
        <v>3375</v>
      </c>
      <c r="H158" s="1" t="s">
        <v>3376</v>
      </c>
      <c r="I158" s="1" t="s">
        <v>3377</v>
      </c>
      <c r="J158" s="1">
        <v>9526322039</v>
      </c>
      <c r="K158" s="1" t="s">
        <v>79</v>
      </c>
      <c r="L158" s="1" t="s">
        <v>3378</v>
      </c>
      <c r="M158" s="1" t="s">
        <v>81</v>
      </c>
      <c r="N158" s="1" t="s">
        <v>116</v>
      </c>
      <c r="O158" s="1"/>
      <c r="P158" s="1" t="s">
        <v>1323</v>
      </c>
      <c r="Q158" s="1" t="s">
        <v>3379</v>
      </c>
      <c r="R158" s="1" t="s">
        <v>3380</v>
      </c>
      <c r="S158" s="1">
        <v>9946333362</v>
      </c>
      <c r="T158" s="1" t="s">
        <v>3381</v>
      </c>
      <c r="U158" s="1" t="s">
        <v>3382</v>
      </c>
      <c r="V158" s="1">
        <v>9526644881</v>
      </c>
      <c r="W158" s="1" t="s">
        <v>273</v>
      </c>
      <c r="X158" s="1" t="s">
        <v>3383</v>
      </c>
      <c r="Y158" s="1" t="s">
        <v>2139</v>
      </c>
      <c r="Z158" s="1" t="s">
        <v>125</v>
      </c>
      <c r="AA158" s="1" t="s">
        <v>3383</v>
      </c>
      <c r="AB158" s="1" t="s">
        <v>2139</v>
      </c>
      <c r="AC158" s="1" t="s">
        <v>125</v>
      </c>
      <c r="AD158" s="1" t="s">
        <v>93</v>
      </c>
      <c r="AE158" s="1" t="s">
        <v>93</v>
      </c>
      <c r="AF158" s="1" t="s">
        <v>3384</v>
      </c>
      <c r="AG158" s="1" t="s">
        <v>3385</v>
      </c>
      <c r="AH158" s="1" t="s">
        <v>161</v>
      </c>
      <c r="AI158" s="1" t="s">
        <v>527</v>
      </c>
      <c r="AJ158" s="1">
        <v>89.3</v>
      </c>
      <c r="AK158" s="1">
        <v>9.4</v>
      </c>
      <c r="AL158" s="1" t="s">
        <v>3384</v>
      </c>
      <c r="AM158" s="1" t="s">
        <v>3386</v>
      </c>
      <c r="AN158" s="1" t="s">
        <v>165</v>
      </c>
      <c r="AO158" s="1" t="s">
        <v>166</v>
      </c>
      <c r="AP158" s="1">
        <v>65</v>
      </c>
      <c r="AQ158" s="1"/>
      <c r="AR158" s="1"/>
      <c r="AS158" s="1"/>
      <c r="AT158" s="1"/>
      <c r="AU158" s="1"/>
      <c r="AV158" s="1"/>
      <c r="AW158" s="1"/>
      <c r="AX158" s="1" t="s">
        <v>132</v>
      </c>
      <c r="AY158" s="1" t="s">
        <v>3387</v>
      </c>
      <c r="AZ158" s="1" t="s">
        <v>636</v>
      </c>
      <c r="BA158" s="1" t="s">
        <v>590</v>
      </c>
      <c r="BB158" s="1">
        <v>70</v>
      </c>
      <c r="BC158" s="1">
        <v>7</v>
      </c>
      <c r="BD158" s="1"/>
      <c r="BE158" s="1"/>
      <c r="BF158" s="1"/>
      <c r="BG158" s="1"/>
      <c r="BH158" s="1"/>
      <c r="BI158" s="1"/>
      <c r="BJ158" s="1" t="s">
        <v>3388</v>
      </c>
      <c r="BK158" s="1" t="s">
        <v>3389</v>
      </c>
      <c r="BL158" s="1" t="s">
        <v>2382</v>
      </c>
      <c r="BM158" s="1" t="s">
        <v>3390</v>
      </c>
      <c r="BN158" s="1">
        <v>51</v>
      </c>
      <c r="BO158" s="1"/>
      <c r="BP158" s="1" t="str">
        <f>HYPERLINK("https://nconnect.nicmar.ac.in/storage/profile/ProfilePhoto_P25700095_258476.jpg","Download")</f>
        <v>0</v>
      </c>
      <c r="BQ158" s="3"/>
      <c r="BR158" s="3"/>
    </row>
    <row r="159" spans="1:70">
      <c r="A159" s="1" t="s">
        <v>70</v>
      </c>
      <c r="B159" s="1" t="s">
        <v>1269</v>
      </c>
      <c r="C159" s="1" t="s">
        <v>3391</v>
      </c>
      <c r="D159" s="1" t="s">
        <v>3392</v>
      </c>
      <c r="E159" s="1" t="s">
        <v>1612</v>
      </c>
      <c r="F159" s="1" t="s">
        <v>3393</v>
      </c>
      <c r="G159" s="1" t="s">
        <v>3394</v>
      </c>
      <c r="H159" s="1" t="s">
        <v>3395</v>
      </c>
      <c r="I159" s="1" t="s">
        <v>3396</v>
      </c>
      <c r="J159" s="1">
        <v>9920520638</v>
      </c>
      <c r="K159" s="1" t="s">
        <v>79</v>
      </c>
      <c r="L159" s="1" t="s">
        <v>3397</v>
      </c>
      <c r="M159" s="1" t="s">
        <v>81</v>
      </c>
      <c r="N159" s="1" t="s">
        <v>2008</v>
      </c>
      <c r="O159" s="1"/>
      <c r="P159" s="1" t="s">
        <v>1298</v>
      </c>
      <c r="Q159" s="1" t="s">
        <v>3398</v>
      </c>
      <c r="R159" s="1" t="s">
        <v>3399</v>
      </c>
      <c r="S159" s="1">
        <v>9867149867</v>
      </c>
      <c r="T159" s="1" t="s">
        <v>93</v>
      </c>
      <c r="U159" s="1" t="s">
        <v>3400</v>
      </c>
      <c r="V159" s="1">
        <v>9867149867</v>
      </c>
      <c r="W159" s="1" t="s">
        <v>156</v>
      </c>
      <c r="X159" s="1" t="s">
        <v>3401</v>
      </c>
      <c r="Y159" s="1" t="s">
        <v>766</v>
      </c>
      <c r="Z159" s="1" t="s">
        <v>92</v>
      </c>
      <c r="AA159" s="1" t="s">
        <v>3401</v>
      </c>
      <c r="AB159" s="1" t="s">
        <v>766</v>
      </c>
      <c r="AC159" s="1" t="s">
        <v>92</v>
      </c>
      <c r="AD159" s="1">
        <v>9.31</v>
      </c>
      <c r="AE159" s="1" t="s">
        <v>93</v>
      </c>
      <c r="AF159" s="1" t="s">
        <v>3402</v>
      </c>
      <c r="AG159" s="1" t="s">
        <v>544</v>
      </c>
      <c r="AH159" s="1" t="s">
        <v>3403</v>
      </c>
      <c r="AI159" s="1" t="s">
        <v>96</v>
      </c>
      <c r="AJ159" s="1">
        <v>84.2</v>
      </c>
      <c r="AK159" s="1"/>
      <c r="AL159" s="1"/>
      <c r="AM159" s="1"/>
      <c r="AN159" s="1"/>
      <c r="AO159" s="1"/>
      <c r="AP159" s="1"/>
      <c r="AQ159" s="1"/>
      <c r="AR159" s="1" t="s">
        <v>98</v>
      </c>
      <c r="AS159" s="1" t="s">
        <v>3404</v>
      </c>
      <c r="AT159" s="1" t="s">
        <v>252</v>
      </c>
      <c r="AU159" s="1" t="s">
        <v>165</v>
      </c>
      <c r="AV159" s="1">
        <v>78.67</v>
      </c>
      <c r="AW159" s="1"/>
      <c r="AX159" s="1" t="s">
        <v>1024</v>
      </c>
      <c r="AY159" s="1" t="s">
        <v>3405</v>
      </c>
      <c r="AZ159" s="1" t="s">
        <v>225</v>
      </c>
      <c r="BA159" s="1" t="s">
        <v>170</v>
      </c>
      <c r="BB159" s="1">
        <v>75.4</v>
      </c>
      <c r="BC159" s="1">
        <v>8.29</v>
      </c>
      <c r="BD159" s="1"/>
      <c r="BE159" s="1"/>
      <c r="BF159" s="1"/>
      <c r="BG159" s="1"/>
      <c r="BH159" s="1"/>
      <c r="BI159" s="1"/>
      <c r="BJ159" s="1" t="s">
        <v>1383</v>
      </c>
      <c r="BK159" s="1" t="s">
        <v>3406</v>
      </c>
      <c r="BL159" s="1" t="s">
        <v>1497</v>
      </c>
      <c r="BM159" s="1" t="s">
        <v>3407</v>
      </c>
      <c r="BN159" s="1">
        <v>33</v>
      </c>
      <c r="BO159" s="1" t="s">
        <v>3408</v>
      </c>
      <c r="BP159" s="1" t="str">
        <f>HYPERLINK("https://nconnect.nicmar.ac.in/storage/profile/ProfilePhoto_P25700096_597461.jpg","Download")</f>
        <v>0</v>
      </c>
      <c r="BQ159" s="3"/>
      <c r="BR159" s="3"/>
    </row>
    <row r="160" spans="1:70">
      <c r="A160" s="1" t="s">
        <v>70</v>
      </c>
      <c r="B160" s="1" t="s">
        <v>1269</v>
      </c>
      <c r="C160" s="1" t="s">
        <v>3409</v>
      </c>
      <c r="D160" s="1" t="s">
        <v>3410</v>
      </c>
      <c r="E160" s="1"/>
      <c r="F160" s="1" t="s">
        <v>1226</v>
      </c>
      <c r="G160" s="1" t="s">
        <v>3411</v>
      </c>
      <c r="H160" s="1" t="s">
        <v>3412</v>
      </c>
      <c r="I160" s="1" t="s">
        <v>3413</v>
      </c>
      <c r="J160" s="1">
        <v>9418593000</v>
      </c>
      <c r="K160" s="1" t="s">
        <v>79</v>
      </c>
      <c r="L160" s="1" t="s">
        <v>2618</v>
      </c>
      <c r="M160" s="1" t="s">
        <v>81</v>
      </c>
      <c r="N160" s="1" t="s">
        <v>374</v>
      </c>
      <c r="O160" s="1"/>
      <c r="P160" s="1" t="s">
        <v>1766</v>
      </c>
      <c r="Q160" s="1" t="s">
        <v>3414</v>
      </c>
      <c r="R160" s="1" t="s">
        <v>3415</v>
      </c>
      <c r="S160" s="1">
        <v>9816344216</v>
      </c>
      <c r="T160" s="1" t="s">
        <v>863</v>
      </c>
      <c r="U160" s="1" t="s">
        <v>3416</v>
      </c>
      <c r="V160" s="1">
        <v>9418102501</v>
      </c>
      <c r="W160" s="1" t="s">
        <v>122</v>
      </c>
      <c r="X160" s="1" t="s">
        <v>3417</v>
      </c>
      <c r="Y160" s="1" t="s">
        <v>3418</v>
      </c>
      <c r="Z160" s="1" t="s">
        <v>3419</v>
      </c>
      <c r="AA160" s="1" t="s">
        <v>3417</v>
      </c>
      <c r="AB160" s="1" t="s">
        <v>3418</v>
      </c>
      <c r="AC160" s="1" t="s">
        <v>3419</v>
      </c>
      <c r="AD160" s="1">
        <v>8.61</v>
      </c>
      <c r="AE160" s="1" t="s">
        <v>93</v>
      </c>
      <c r="AF160" s="1" t="s">
        <v>3420</v>
      </c>
      <c r="AG160" s="1" t="s">
        <v>3421</v>
      </c>
      <c r="AH160" s="1" t="s">
        <v>3422</v>
      </c>
      <c r="AI160" s="1" t="s">
        <v>409</v>
      </c>
      <c r="AJ160" s="1">
        <v>90.8</v>
      </c>
      <c r="AK160" s="1"/>
      <c r="AL160" s="1" t="s">
        <v>3423</v>
      </c>
      <c r="AM160" s="1" t="s">
        <v>3424</v>
      </c>
      <c r="AN160" s="1" t="s">
        <v>1065</v>
      </c>
      <c r="AO160" s="1" t="s">
        <v>504</v>
      </c>
      <c r="AP160" s="1">
        <v>90</v>
      </c>
      <c r="AQ160" s="1"/>
      <c r="AR160" s="1"/>
      <c r="AS160" s="1"/>
      <c r="AT160" s="1"/>
      <c r="AU160" s="1"/>
      <c r="AV160" s="1"/>
      <c r="AW160" s="1"/>
      <c r="AX160" s="1" t="s">
        <v>3425</v>
      </c>
      <c r="AY160" s="1" t="s">
        <v>3426</v>
      </c>
      <c r="AZ160" s="1" t="s">
        <v>1131</v>
      </c>
      <c r="BA160" s="1" t="s">
        <v>1361</v>
      </c>
      <c r="BB160" s="1">
        <v>87.6</v>
      </c>
      <c r="BC160" s="1">
        <v>8.76</v>
      </c>
      <c r="BD160" s="1"/>
      <c r="BE160" s="1"/>
      <c r="BF160" s="1"/>
      <c r="BG160" s="1"/>
      <c r="BH160" s="1"/>
      <c r="BI160" s="1"/>
      <c r="BJ160" s="1" t="s">
        <v>2831</v>
      </c>
      <c r="BK160" s="1"/>
      <c r="BL160" s="1"/>
      <c r="BM160" s="1" t="s">
        <v>3427</v>
      </c>
      <c r="BN160" s="1">
        <v>4</v>
      </c>
      <c r="BO160" s="1" t="s">
        <v>3428</v>
      </c>
      <c r="BP160" s="1" t="str">
        <f>HYPERLINK("https://nconnect.nicmar.ac.in/storage/profile/ProfilePhoto_P25700097_654192.jpg","Download")</f>
        <v>0</v>
      </c>
      <c r="BQ160" s="3"/>
      <c r="BR160" s="3"/>
    </row>
    <row r="161" spans="1:70">
      <c r="A161" s="1" t="s">
        <v>70</v>
      </c>
      <c r="B161" s="1" t="s">
        <v>1269</v>
      </c>
      <c r="C161" s="1" t="s">
        <v>3429</v>
      </c>
      <c r="D161" s="1" t="s">
        <v>595</v>
      </c>
      <c r="E161" s="1" t="s">
        <v>3430</v>
      </c>
      <c r="F161" s="1" t="s">
        <v>3431</v>
      </c>
      <c r="G161" s="1" t="s">
        <v>3432</v>
      </c>
      <c r="H161" s="1" t="s">
        <v>3433</v>
      </c>
      <c r="I161" s="1" t="s">
        <v>3434</v>
      </c>
      <c r="J161" s="1">
        <v>6309591204</v>
      </c>
      <c r="K161" s="1" t="s">
        <v>79</v>
      </c>
      <c r="L161" s="1" t="s">
        <v>3435</v>
      </c>
      <c r="M161" s="1" t="s">
        <v>81</v>
      </c>
      <c r="N161" s="1" t="s">
        <v>3436</v>
      </c>
      <c r="O161" s="1"/>
      <c r="P161" s="1" t="s">
        <v>1278</v>
      </c>
      <c r="Q161" s="1" t="s">
        <v>3437</v>
      </c>
      <c r="R161" s="1" t="s">
        <v>3438</v>
      </c>
      <c r="S161" s="1">
        <v>8919042728</v>
      </c>
      <c r="T161" s="1" t="s">
        <v>2763</v>
      </c>
      <c r="U161" s="1" t="s">
        <v>3439</v>
      </c>
      <c r="V161" s="1">
        <v>8919042728</v>
      </c>
      <c r="W161" s="1" t="s">
        <v>273</v>
      </c>
      <c r="X161" s="1" t="s">
        <v>3440</v>
      </c>
      <c r="Y161" s="1" t="s">
        <v>3441</v>
      </c>
      <c r="Z161" s="1" t="s">
        <v>609</v>
      </c>
      <c r="AA161" s="1" t="s">
        <v>3440</v>
      </c>
      <c r="AB161" s="1" t="s">
        <v>3441</v>
      </c>
      <c r="AC161" s="1" t="s">
        <v>609</v>
      </c>
      <c r="AD161" s="1">
        <v>9.46</v>
      </c>
      <c r="AE161" s="1" t="s">
        <v>93</v>
      </c>
      <c r="AF161" s="1" t="s">
        <v>3442</v>
      </c>
      <c r="AG161" s="1" t="s">
        <v>611</v>
      </c>
      <c r="AH161" s="1" t="s">
        <v>165</v>
      </c>
      <c r="AI161" s="1" t="s">
        <v>281</v>
      </c>
      <c r="AJ161" s="1">
        <v>87</v>
      </c>
      <c r="AK161" s="1">
        <v>8.7</v>
      </c>
      <c r="AL161" s="1"/>
      <c r="AM161" s="1"/>
      <c r="AN161" s="1"/>
      <c r="AO161" s="1"/>
      <c r="AP161" s="1"/>
      <c r="AQ161" s="1"/>
      <c r="AR161" s="1" t="s">
        <v>434</v>
      </c>
      <c r="AS161" s="1" t="s">
        <v>3443</v>
      </c>
      <c r="AT161" s="1" t="s">
        <v>101</v>
      </c>
      <c r="AU161" s="1" t="s">
        <v>504</v>
      </c>
      <c r="AV161" s="1">
        <v>92.5</v>
      </c>
      <c r="AW161" s="1">
        <v>9.75</v>
      </c>
      <c r="AX161" s="1" t="s">
        <v>614</v>
      </c>
      <c r="AY161" s="1" t="s">
        <v>3443</v>
      </c>
      <c r="AZ161" s="1" t="s">
        <v>1131</v>
      </c>
      <c r="BA161" s="1" t="s">
        <v>202</v>
      </c>
      <c r="BB161" s="1">
        <v>75.7</v>
      </c>
      <c r="BC161" s="1">
        <v>8.07</v>
      </c>
      <c r="BD161" s="1"/>
      <c r="BE161" s="1"/>
      <c r="BF161" s="1"/>
      <c r="BG161" s="1"/>
      <c r="BH161" s="1"/>
      <c r="BI161" s="1"/>
      <c r="BJ161" s="1" t="s">
        <v>1383</v>
      </c>
      <c r="BK161" s="1"/>
      <c r="BL161" s="1"/>
      <c r="BM161" s="1" t="s">
        <v>3444</v>
      </c>
      <c r="BN161" s="1">
        <v>24</v>
      </c>
      <c r="BO161" s="1"/>
      <c r="BP161" s="1" t="str">
        <f>HYPERLINK("https://nconnect.nicmar.ac.in/storage/profile/ProfilePhoto_P25700098_621459.jpg","Download")</f>
        <v>0</v>
      </c>
      <c r="BQ161" s="3"/>
      <c r="BR161" s="3"/>
    </row>
    <row r="162" spans="1:70">
      <c r="A162" s="1" t="s">
        <v>70</v>
      </c>
      <c r="B162" s="1" t="s">
        <v>1269</v>
      </c>
      <c r="C162" s="1" t="s">
        <v>3445</v>
      </c>
      <c r="D162" s="1" t="s">
        <v>3446</v>
      </c>
      <c r="E162" s="1"/>
      <c r="F162" s="1" t="s">
        <v>3447</v>
      </c>
      <c r="G162" s="1" t="s">
        <v>3448</v>
      </c>
      <c r="H162" s="1" t="s">
        <v>3449</v>
      </c>
      <c r="I162" s="1" t="s">
        <v>3450</v>
      </c>
      <c r="J162" s="1">
        <v>9666532175</v>
      </c>
      <c r="K162" s="1" t="s">
        <v>79</v>
      </c>
      <c r="L162" s="1" t="s">
        <v>3451</v>
      </c>
      <c r="M162" s="1" t="s">
        <v>81</v>
      </c>
      <c r="N162" s="1" t="s">
        <v>3452</v>
      </c>
      <c r="O162" s="1"/>
      <c r="P162" s="1" t="s">
        <v>1298</v>
      </c>
      <c r="Q162" s="1" t="s">
        <v>3453</v>
      </c>
      <c r="R162" s="1" t="s">
        <v>3454</v>
      </c>
      <c r="S162" s="1">
        <v>9948600153</v>
      </c>
      <c r="T162" s="1" t="s">
        <v>3455</v>
      </c>
      <c r="U162" s="1" t="s">
        <v>3456</v>
      </c>
      <c r="V162" s="1">
        <v>9502920289</v>
      </c>
      <c r="W162" s="1" t="s">
        <v>273</v>
      </c>
      <c r="X162" s="1" t="s">
        <v>3457</v>
      </c>
      <c r="Y162" s="1" t="s">
        <v>3458</v>
      </c>
      <c r="Z162" s="1" t="s">
        <v>276</v>
      </c>
      <c r="AA162" s="1" t="s">
        <v>3457</v>
      </c>
      <c r="AB162" s="1" t="s">
        <v>3458</v>
      </c>
      <c r="AC162" s="1" t="s">
        <v>276</v>
      </c>
      <c r="AD162" s="1">
        <v>8.1</v>
      </c>
      <c r="AE162" s="1" t="s">
        <v>93</v>
      </c>
      <c r="AF162" s="1" t="s">
        <v>3459</v>
      </c>
      <c r="AG162" s="1" t="s">
        <v>2243</v>
      </c>
      <c r="AH162" s="1" t="s">
        <v>101</v>
      </c>
      <c r="AI162" s="1" t="s">
        <v>409</v>
      </c>
      <c r="AJ162" s="1">
        <v>98</v>
      </c>
      <c r="AK162" s="1">
        <v>9.8</v>
      </c>
      <c r="AL162" s="1" t="s">
        <v>1153</v>
      </c>
      <c r="AM162" s="1" t="s">
        <v>2245</v>
      </c>
      <c r="AN162" s="1" t="s">
        <v>433</v>
      </c>
      <c r="AO162" s="1" t="s">
        <v>504</v>
      </c>
      <c r="AP162" s="1">
        <v>92.8</v>
      </c>
      <c r="AQ162" s="1">
        <v>0</v>
      </c>
      <c r="AR162" s="1"/>
      <c r="AS162" s="1"/>
      <c r="AT162" s="1"/>
      <c r="AU162" s="1"/>
      <c r="AV162" s="1"/>
      <c r="AW162" s="1"/>
      <c r="AX162" s="1" t="s">
        <v>3460</v>
      </c>
      <c r="AY162" s="1" t="s">
        <v>3461</v>
      </c>
      <c r="AZ162" s="1" t="s">
        <v>1131</v>
      </c>
      <c r="BA162" s="1" t="s">
        <v>1408</v>
      </c>
      <c r="BB162" s="1">
        <v>68.7</v>
      </c>
      <c r="BC162" s="1">
        <v>7.62</v>
      </c>
      <c r="BD162" s="1"/>
      <c r="BE162" s="1"/>
      <c r="BF162" s="1"/>
      <c r="BG162" s="1"/>
      <c r="BH162" s="1"/>
      <c r="BI162" s="1"/>
      <c r="BJ162" s="1" t="s">
        <v>3462</v>
      </c>
      <c r="BK162" s="1"/>
      <c r="BL162" s="1"/>
      <c r="BM162" s="1" t="s">
        <v>3463</v>
      </c>
      <c r="BN162" s="1">
        <v>52</v>
      </c>
      <c r="BO162" s="1"/>
      <c r="BP162" s="1" t="str">
        <f>HYPERLINK("https://nconnect.nicmar.ac.in/storage/profile/ProfilePhoto_P25700099_561739.jpg","Download")</f>
        <v>0</v>
      </c>
      <c r="BQ162" s="3"/>
      <c r="BR162" s="3"/>
    </row>
    <row r="163" spans="1:70">
      <c r="A163" s="1" t="s">
        <v>70</v>
      </c>
      <c r="B163" s="1" t="s">
        <v>1269</v>
      </c>
      <c r="C163" s="1" t="s">
        <v>3464</v>
      </c>
      <c r="D163" s="1" t="s">
        <v>3465</v>
      </c>
      <c r="E163" s="1" t="s">
        <v>2762</v>
      </c>
      <c r="F163" s="1" t="s">
        <v>3466</v>
      </c>
      <c r="G163" s="1" t="s">
        <v>3467</v>
      </c>
      <c r="H163" s="1" t="s">
        <v>3468</v>
      </c>
      <c r="I163" s="1" t="s">
        <v>3469</v>
      </c>
      <c r="J163" s="1">
        <v>8600645914</v>
      </c>
      <c r="K163" s="1" t="s">
        <v>79</v>
      </c>
      <c r="L163" s="1" t="s">
        <v>3470</v>
      </c>
      <c r="M163" s="1" t="s">
        <v>81</v>
      </c>
      <c r="N163" s="1" t="s">
        <v>2008</v>
      </c>
      <c r="O163" s="1"/>
      <c r="P163" s="1" t="s">
        <v>1278</v>
      </c>
      <c r="Q163" s="1" t="s">
        <v>3471</v>
      </c>
      <c r="R163" s="1" t="s">
        <v>2762</v>
      </c>
      <c r="S163" s="1">
        <v>9422558314</v>
      </c>
      <c r="T163" s="1" t="s">
        <v>154</v>
      </c>
      <c r="U163" s="1" t="s">
        <v>3472</v>
      </c>
      <c r="V163" s="1">
        <v>9767415214</v>
      </c>
      <c r="W163" s="1" t="s">
        <v>156</v>
      </c>
      <c r="X163" s="1" t="s">
        <v>3473</v>
      </c>
      <c r="Y163" s="1" t="s">
        <v>3474</v>
      </c>
      <c r="Z163" s="1" t="s">
        <v>92</v>
      </c>
      <c r="AA163" s="1" t="s">
        <v>3473</v>
      </c>
      <c r="AB163" s="1" t="s">
        <v>3474</v>
      </c>
      <c r="AC163" s="1" t="s">
        <v>92</v>
      </c>
      <c r="AD163" s="1">
        <v>8.26</v>
      </c>
      <c r="AE163" s="1" t="s">
        <v>93</v>
      </c>
      <c r="AF163" s="1" t="s">
        <v>3475</v>
      </c>
      <c r="AG163" s="1" t="s">
        <v>3476</v>
      </c>
      <c r="AH163" s="1" t="s">
        <v>195</v>
      </c>
      <c r="AI163" s="1" t="s">
        <v>281</v>
      </c>
      <c r="AJ163" s="1">
        <v>64.6</v>
      </c>
      <c r="AK163" s="1"/>
      <c r="AL163" s="1"/>
      <c r="AM163" s="1"/>
      <c r="AN163" s="1"/>
      <c r="AO163" s="1"/>
      <c r="AP163" s="1"/>
      <c r="AQ163" s="1"/>
      <c r="AR163" s="1" t="s">
        <v>434</v>
      </c>
      <c r="AS163" s="1" t="s">
        <v>3477</v>
      </c>
      <c r="AT163" s="1" t="s">
        <v>636</v>
      </c>
      <c r="AU163" s="1" t="s">
        <v>436</v>
      </c>
      <c r="AV163" s="1">
        <v>88.37</v>
      </c>
      <c r="AW163" s="1"/>
      <c r="AX163" s="1" t="s">
        <v>2688</v>
      </c>
      <c r="AY163" s="1" t="s">
        <v>3478</v>
      </c>
      <c r="AZ163" s="1" t="s">
        <v>1051</v>
      </c>
      <c r="BA163" s="1" t="s">
        <v>202</v>
      </c>
      <c r="BB163" s="1">
        <v>70.03</v>
      </c>
      <c r="BC163" s="1">
        <v>7.03</v>
      </c>
      <c r="BD163" s="1"/>
      <c r="BE163" s="1"/>
      <c r="BF163" s="1"/>
      <c r="BG163" s="1"/>
      <c r="BH163" s="1"/>
      <c r="BI163" s="1"/>
      <c r="BJ163" s="1" t="s">
        <v>3479</v>
      </c>
      <c r="BK163" s="1" t="s">
        <v>3480</v>
      </c>
      <c r="BL163" s="1" t="s">
        <v>484</v>
      </c>
      <c r="BM163" s="1" t="s">
        <v>3481</v>
      </c>
      <c r="BN163" s="1">
        <v>12</v>
      </c>
      <c r="BO163" s="1" t="s">
        <v>3482</v>
      </c>
      <c r="BP163" s="1" t="str">
        <f>HYPERLINK("https://nconnect.nicmar.ac.in/storage/profile/ProfilePhoto_P25700100_631259.jpg","Download")</f>
        <v>0</v>
      </c>
      <c r="BQ163" s="3"/>
      <c r="BR163" s="3"/>
    </row>
    <row r="164" spans="1:70">
      <c r="A164" s="1" t="s">
        <v>70</v>
      </c>
      <c r="B164" s="1" t="s">
        <v>1269</v>
      </c>
      <c r="C164" s="1" t="s">
        <v>3483</v>
      </c>
      <c r="D164" s="1" t="s">
        <v>3484</v>
      </c>
      <c r="E164" s="1" t="s">
        <v>1981</v>
      </c>
      <c r="F164" s="1" t="s">
        <v>3485</v>
      </c>
      <c r="G164" s="1" t="s">
        <v>3486</v>
      </c>
      <c r="H164" s="1" t="s">
        <v>3487</v>
      </c>
      <c r="I164" s="1" t="s">
        <v>3488</v>
      </c>
      <c r="J164" s="1">
        <v>9022806743</v>
      </c>
      <c r="K164" s="1" t="s">
        <v>79</v>
      </c>
      <c r="L164" s="1" t="s">
        <v>3489</v>
      </c>
      <c r="M164" s="1" t="s">
        <v>81</v>
      </c>
      <c r="N164" s="1" t="s">
        <v>151</v>
      </c>
      <c r="O164" s="1"/>
      <c r="P164" s="1" t="s">
        <v>3490</v>
      </c>
      <c r="Q164" s="1" t="s">
        <v>3491</v>
      </c>
      <c r="R164" s="1" t="s">
        <v>3492</v>
      </c>
      <c r="S164" s="1">
        <v>8087894240</v>
      </c>
      <c r="T164" s="1" t="s">
        <v>496</v>
      </c>
      <c r="U164" s="1" t="s">
        <v>3493</v>
      </c>
      <c r="V164" s="1">
        <v>9420484422</v>
      </c>
      <c r="W164" s="1" t="s">
        <v>156</v>
      </c>
      <c r="X164" s="1" t="s">
        <v>3494</v>
      </c>
      <c r="Y164" s="1" t="s">
        <v>1174</v>
      </c>
      <c r="Z164" s="1" t="s">
        <v>92</v>
      </c>
      <c r="AA164" s="1" t="s">
        <v>3494</v>
      </c>
      <c r="AB164" s="1" t="s">
        <v>1174</v>
      </c>
      <c r="AC164" s="1" t="s">
        <v>92</v>
      </c>
      <c r="AD164" s="1">
        <v>8.72</v>
      </c>
      <c r="AE164" s="1" t="s">
        <v>93</v>
      </c>
      <c r="AF164" s="1" t="s">
        <v>3495</v>
      </c>
      <c r="AG164" s="1" t="s">
        <v>160</v>
      </c>
      <c r="AH164" s="1" t="s">
        <v>281</v>
      </c>
      <c r="AI164" s="1" t="s">
        <v>409</v>
      </c>
      <c r="AJ164" s="1">
        <v>82</v>
      </c>
      <c r="AK164" s="1"/>
      <c r="AL164" s="1"/>
      <c r="AM164" s="1"/>
      <c r="AN164" s="1"/>
      <c r="AO164" s="1"/>
      <c r="AP164" s="1"/>
      <c r="AQ164" s="1"/>
      <c r="AR164" s="1" t="s">
        <v>98</v>
      </c>
      <c r="AS164" s="1" t="s">
        <v>3496</v>
      </c>
      <c r="AT164" s="1" t="s">
        <v>310</v>
      </c>
      <c r="AU164" s="1" t="s">
        <v>481</v>
      </c>
      <c r="AV164" s="1">
        <v>83.63</v>
      </c>
      <c r="AW164" s="1"/>
      <c r="AX164" s="1" t="s">
        <v>361</v>
      </c>
      <c r="AY164" s="1" t="s">
        <v>3497</v>
      </c>
      <c r="AZ164" s="1" t="s">
        <v>874</v>
      </c>
      <c r="BA164" s="1" t="s">
        <v>1714</v>
      </c>
      <c r="BB164" s="1">
        <v>70.5</v>
      </c>
      <c r="BC164" s="1">
        <v>7.8</v>
      </c>
      <c r="BD164" s="1"/>
      <c r="BE164" s="1"/>
      <c r="BF164" s="1"/>
      <c r="BG164" s="1"/>
      <c r="BH164" s="1"/>
      <c r="BI164" s="1"/>
      <c r="BJ164" s="1" t="s">
        <v>364</v>
      </c>
      <c r="BK164" s="1"/>
      <c r="BL164" s="1"/>
      <c r="BM164" s="1" t="s">
        <v>3498</v>
      </c>
      <c r="BN164" s="1">
        <v>14</v>
      </c>
      <c r="BO164" s="1" t="s">
        <v>3499</v>
      </c>
      <c r="BP164" s="1" t="str">
        <f>HYPERLINK("https://nconnect.nicmar.ac.in/storage/profile/ProfilePhoto_P25700101_136785.jpg","Download")</f>
        <v>0</v>
      </c>
      <c r="BQ164" s="3"/>
      <c r="BR164" s="3"/>
    </row>
    <row r="165" spans="1:70">
      <c r="A165" s="1" t="s">
        <v>70</v>
      </c>
      <c r="B165" s="1" t="s">
        <v>1269</v>
      </c>
      <c r="C165" s="1" t="s">
        <v>3500</v>
      </c>
      <c r="D165" s="1" t="s">
        <v>595</v>
      </c>
      <c r="E165" s="1" t="s">
        <v>1680</v>
      </c>
      <c r="F165" s="1" t="s">
        <v>111</v>
      </c>
      <c r="G165" s="1" t="s">
        <v>3501</v>
      </c>
      <c r="H165" s="1" t="s">
        <v>3502</v>
      </c>
      <c r="I165" s="1" t="s">
        <v>3503</v>
      </c>
      <c r="J165" s="1">
        <v>9526316048</v>
      </c>
      <c r="K165" s="1" t="s">
        <v>79</v>
      </c>
      <c r="L165" s="1" t="s">
        <v>3504</v>
      </c>
      <c r="M165" s="1" t="s">
        <v>81</v>
      </c>
      <c r="N165" s="1" t="s">
        <v>3505</v>
      </c>
      <c r="O165" s="1"/>
      <c r="P165" s="1" t="s">
        <v>2817</v>
      </c>
      <c r="Q165" s="1" t="s">
        <v>3506</v>
      </c>
      <c r="R165" s="1" t="s">
        <v>3507</v>
      </c>
      <c r="S165" s="1">
        <v>9446570916</v>
      </c>
      <c r="T165" s="1" t="s">
        <v>3508</v>
      </c>
      <c r="U165" s="1" t="s">
        <v>3509</v>
      </c>
      <c r="V165" s="1">
        <v>9446330916</v>
      </c>
      <c r="W165" s="1" t="s">
        <v>3510</v>
      </c>
      <c r="X165" s="1" t="s">
        <v>3511</v>
      </c>
      <c r="Y165" s="1" t="s">
        <v>2139</v>
      </c>
      <c r="Z165" s="1" t="s">
        <v>125</v>
      </c>
      <c r="AA165" s="1" t="s">
        <v>3511</v>
      </c>
      <c r="AB165" s="1" t="s">
        <v>2139</v>
      </c>
      <c r="AC165" s="1" t="s">
        <v>125</v>
      </c>
      <c r="AD165" s="1">
        <v>8.71</v>
      </c>
      <c r="AE165" s="1" t="s">
        <v>93</v>
      </c>
      <c r="AF165" s="1" t="s">
        <v>3512</v>
      </c>
      <c r="AG165" s="1" t="s">
        <v>307</v>
      </c>
      <c r="AH165" s="1" t="s">
        <v>165</v>
      </c>
      <c r="AI165" s="1" t="s">
        <v>166</v>
      </c>
      <c r="AJ165" s="1">
        <v>87.8</v>
      </c>
      <c r="AK165" s="1"/>
      <c r="AL165" s="1" t="s">
        <v>3513</v>
      </c>
      <c r="AM165" s="1" t="s">
        <v>3514</v>
      </c>
      <c r="AN165" s="1" t="s">
        <v>433</v>
      </c>
      <c r="AO165" s="1" t="s">
        <v>173</v>
      </c>
      <c r="AP165" s="1">
        <v>81.5</v>
      </c>
      <c r="AQ165" s="1"/>
      <c r="AR165" s="1"/>
      <c r="AS165" s="1"/>
      <c r="AT165" s="1"/>
      <c r="AU165" s="1"/>
      <c r="AV165" s="1"/>
      <c r="AW165" s="1"/>
      <c r="AX165" s="1" t="s">
        <v>132</v>
      </c>
      <c r="AY165" s="1" t="s">
        <v>3515</v>
      </c>
      <c r="AZ165" s="1" t="s">
        <v>2461</v>
      </c>
      <c r="BA165" s="1" t="s">
        <v>202</v>
      </c>
      <c r="BB165" s="1">
        <v>74.6</v>
      </c>
      <c r="BC165" s="1">
        <v>7.46</v>
      </c>
      <c r="BD165" s="1"/>
      <c r="BE165" s="1"/>
      <c r="BF165" s="1"/>
      <c r="BG165" s="1"/>
      <c r="BH165" s="1"/>
      <c r="BI165" s="1"/>
      <c r="BJ165" s="1" t="s">
        <v>1383</v>
      </c>
      <c r="BK165" s="1" t="s">
        <v>3516</v>
      </c>
      <c r="BL165" s="1" t="s">
        <v>2888</v>
      </c>
      <c r="BM165" s="1" t="s">
        <v>3517</v>
      </c>
      <c r="BN165" s="1">
        <v>2</v>
      </c>
      <c r="BO165" s="1"/>
      <c r="BP165" s="1" t="str">
        <f>HYPERLINK("https://nconnect.nicmar.ac.in/storage/profile/ProfilePhoto_P25700103_548732.jpg","Download")</f>
        <v>0</v>
      </c>
      <c r="BQ165" s="3"/>
      <c r="BR165" s="3"/>
    </row>
    <row r="166" spans="1:70">
      <c r="A166" s="1" t="s">
        <v>70</v>
      </c>
      <c r="B166" s="1" t="s">
        <v>1269</v>
      </c>
      <c r="C166" s="1" t="s">
        <v>3518</v>
      </c>
      <c r="D166" s="1" t="s">
        <v>3519</v>
      </c>
      <c r="E166" s="1" t="s">
        <v>3520</v>
      </c>
      <c r="F166" s="1" t="s">
        <v>3521</v>
      </c>
      <c r="G166" s="1" t="s">
        <v>3522</v>
      </c>
      <c r="H166" s="1" t="s">
        <v>3523</v>
      </c>
      <c r="I166" s="1" t="s">
        <v>3524</v>
      </c>
      <c r="J166" s="1">
        <v>9067195331</v>
      </c>
      <c r="K166" s="1" t="s">
        <v>79</v>
      </c>
      <c r="L166" s="1" t="s">
        <v>3525</v>
      </c>
      <c r="M166" s="1" t="s">
        <v>81</v>
      </c>
      <c r="N166" s="1" t="s">
        <v>2008</v>
      </c>
      <c r="O166" s="1"/>
      <c r="P166" s="1" t="s">
        <v>1766</v>
      </c>
      <c r="Q166" s="1" t="s">
        <v>3526</v>
      </c>
      <c r="R166" s="1" t="s">
        <v>3527</v>
      </c>
      <c r="S166" s="1">
        <v>7875811564</v>
      </c>
      <c r="T166" s="1" t="s">
        <v>120</v>
      </c>
      <c r="U166" s="1" t="s">
        <v>3528</v>
      </c>
      <c r="V166" s="1">
        <v>7620262665</v>
      </c>
      <c r="W166" s="1" t="s">
        <v>156</v>
      </c>
      <c r="X166" s="1" t="s">
        <v>3529</v>
      </c>
      <c r="Y166" s="1" t="s">
        <v>379</v>
      </c>
      <c r="Z166" s="1" t="s">
        <v>92</v>
      </c>
      <c r="AA166" s="1" t="s">
        <v>3529</v>
      </c>
      <c r="AB166" s="1" t="s">
        <v>379</v>
      </c>
      <c r="AC166" s="1" t="s">
        <v>92</v>
      </c>
      <c r="AD166" s="1">
        <v>8.26</v>
      </c>
      <c r="AE166" s="1" t="s">
        <v>93</v>
      </c>
      <c r="AF166" s="1" t="s">
        <v>3530</v>
      </c>
      <c r="AG166" s="1" t="s">
        <v>3531</v>
      </c>
      <c r="AH166" s="1" t="s">
        <v>658</v>
      </c>
      <c r="AI166" s="1" t="s">
        <v>101</v>
      </c>
      <c r="AJ166" s="1">
        <v>80</v>
      </c>
      <c r="AK166" s="1"/>
      <c r="AL166" s="1"/>
      <c r="AM166" s="1"/>
      <c r="AN166" s="1"/>
      <c r="AO166" s="1"/>
      <c r="AP166" s="1"/>
      <c r="AQ166" s="1"/>
      <c r="AR166" s="1" t="s">
        <v>223</v>
      </c>
      <c r="AS166" s="1" t="s">
        <v>3532</v>
      </c>
      <c r="AT166" s="1" t="s">
        <v>636</v>
      </c>
      <c r="AU166" s="1" t="s">
        <v>436</v>
      </c>
      <c r="AV166" s="1">
        <v>82.47</v>
      </c>
      <c r="AW166" s="1"/>
      <c r="AX166" s="1" t="s">
        <v>3533</v>
      </c>
      <c r="AY166" s="1" t="s">
        <v>3534</v>
      </c>
      <c r="AZ166" s="1" t="s">
        <v>897</v>
      </c>
      <c r="BA166" s="1" t="s">
        <v>202</v>
      </c>
      <c r="BB166" s="1">
        <v>63.3</v>
      </c>
      <c r="BC166" s="1">
        <v>6.83</v>
      </c>
      <c r="BD166" s="1"/>
      <c r="BE166" s="1"/>
      <c r="BF166" s="1"/>
      <c r="BG166" s="1"/>
      <c r="BH166" s="1"/>
      <c r="BI166" s="1"/>
      <c r="BJ166" s="1" t="s">
        <v>3535</v>
      </c>
      <c r="BK166" s="1" t="s">
        <v>3536</v>
      </c>
      <c r="BL166" s="1" t="s">
        <v>1028</v>
      </c>
      <c r="BM166" s="1"/>
      <c r="BN166" s="1"/>
      <c r="BO166" s="1"/>
      <c r="BP166" s="1" t="str">
        <f>HYPERLINK("https://nconnect.nicmar.ac.in/storage/profile/ProfilePhoto_P25700104_637154.jpg","Download")</f>
        <v>0</v>
      </c>
      <c r="BQ166" s="3"/>
      <c r="BR166" s="3"/>
    </row>
    <row r="167" spans="1:70">
      <c r="A167" s="1" t="s">
        <v>70</v>
      </c>
      <c r="B167" s="1" t="s">
        <v>1269</v>
      </c>
      <c r="C167" s="1" t="s">
        <v>3537</v>
      </c>
      <c r="D167" s="1" t="s">
        <v>1781</v>
      </c>
      <c r="E167" s="1" t="s">
        <v>3538</v>
      </c>
      <c r="F167" s="1" t="s">
        <v>3539</v>
      </c>
      <c r="G167" s="1" t="s">
        <v>3540</v>
      </c>
      <c r="H167" s="1" t="s">
        <v>3541</v>
      </c>
      <c r="I167" s="1" t="s">
        <v>3542</v>
      </c>
      <c r="J167" s="1">
        <v>9834515514</v>
      </c>
      <c r="K167" s="1" t="s">
        <v>79</v>
      </c>
      <c r="L167" s="1" t="s">
        <v>3543</v>
      </c>
      <c r="M167" s="1" t="s">
        <v>81</v>
      </c>
      <c r="N167" s="1" t="s">
        <v>1765</v>
      </c>
      <c r="O167" s="1"/>
      <c r="P167" s="1" t="s">
        <v>2817</v>
      </c>
      <c r="Q167" s="1" t="s">
        <v>3544</v>
      </c>
      <c r="R167" s="1" t="s">
        <v>3545</v>
      </c>
      <c r="S167" s="1">
        <v>9856917777</v>
      </c>
      <c r="T167" s="1" t="s">
        <v>154</v>
      </c>
      <c r="U167" s="1" t="s">
        <v>3546</v>
      </c>
      <c r="V167" s="1">
        <v>8888651777</v>
      </c>
      <c r="W167" s="1" t="s">
        <v>156</v>
      </c>
      <c r="X167" s="1" t="s">
        <v>3547</v>
      </c>
      <c r="Y167" s="1" t="s">
        <v>246</v>
      </c>
      <c r="Z167" s="1" t="s">
        <v>92</v>
      </c>
      <c r="AA167" s="1" t="s">
        <v>3547</v>
      </c>
      <c r="AB167" s="1" t="s">
        <v>246</v>
      </c>
      <c r="AC167" s="1" t="s">
        <v>92</v>
      </c>
      <c r="AD167" s="1" t="s">
        <v>93</v>
      </c>
      <c r="AE167" s="1" t="s">
        <v>93</v>
      </c>
      <c r="AF167" s="1" t="s">
        <v>3548</v>
      </c>
      <c r="AG167" s="1" t="s">
        <v>3549</v>
      </c>
      <c r="AH167" s="1" t="s">
        <v>279</v>
      </c>
      <c r="AI167" s="1" t="s">
        <v>195</v>
      </c>
      <c r="AJ167" s="1">
        <v>75.6</v>
      </c>
      <c r="AK167" s="1"/>
      <c r="AL167" s="1"/>
      <c r="AM167" s="1"/>
      <c r="AN167" s="1"/>
      <c r="AO167" s="1"/>
      <c r="AP167" s="1"/>
      <c r="AQ167" s="1"/>
      <c r="AR167" s="1" t="s">
        <v>434</v>
      </c>
      <c r="AS167" s="1" t="s">
        <v>3550</v>
      </c>
      <c r="AT167" s="1" t="s">
        <v>383</v>
      </c>
      <c r="AU167" s="1" t="s">
        <v>170</v>
      </c>
      <c r="AV167" s="1">
        <v>85.42</v>
      </c>
      <c r="AW167" s="1"/>
      <c r="AX167" s="1" t="s">
        <v>361</v>
      </c>
      <c r="AY167" s="1" t="s">
        <v>3551</v>
      </c>
      <c r="AZ167" s="1" t="s">
        <v>173</v>
      </c>
      <c r="BA167" s="1" t="s">
        <v>174</v>
      </c>
      <c r="BB167" s="1">
        <v>67.3</v>
      </c>
      <c r="BC167" s="1">
        <v>7.48</v>
      </c>
      <c r="BD167" s="1"/>
      <c r="BE167" s="1"/>
      <c r="BF167" s="1"/>
      <c r="BG167" s="1"/>
      <c r="BH167" s="1"/>
      <c r="BI167" s="1"/>
      <c r="BJ167" s="1" t="s">
        <v>1383</v>
      </c>
      <c r="BK167" s="1"/>
      <c r="BL167" s="1"/>
      <c r="BM167" s="1" t="s">
        <v>3552</v>
      </c>
      <c r="BN167" s="1">
        <v>-34</v>
      </c>
      <c r="BO167" s="1"/>
      <c r="BP167" s="1" t="str">
        <f>HYPERLINK("https://nconnect.nicmar.ac.in/storage/profile/ProfilePhoto_P25700105_329654.jpg","Download")</f>
        <v>0</v>
      </c>
      <c r="BQ167" s="3"/>
      <c r="BR167" s="3"/>
    </row>
    <row r="168" spans="1:70">
      <c r="A168" s="1" t="s">
        <v>70</v>
      </c>
      <c r="B168" s="1" t="s">
        <v>1269</v>
      </c>
      <c r="C168" s="1" t="s">
        <v>3553</v>
      </c>
      <c r="D168" s="1" t="s">
        <v>3554</v>
      </c>
      <c r="E168" s="1"/>
      <c r="F168" s="1" t="s">
        <v>3555</v>
      </c>
      <c r="G168" s="1" t="s">
        <v>3556</v>
      </c>
      <c r="H168" s="1" t="s">
        <v>3557</v>
      </c>
      <c r="I168" s="1" t="s">
        <v>3558</v>
      </c>
      <c r="J168" s="1">
        <v>6000841510</v>
      </c>
      <c r="K168" s="1" t="s">
        <v>79</v>
      </c>
      <c r="L168" s="1" t="s">
        <v>3559</v>
      </c>
      <c r="M168" s="1" t="s">
        <v>81</v>
      </c>
      <c r="N168" s="1" t="s">
        <v>3560</v>
      </c>
      <c r="O168" s="1"/>
      <c r="P168" s="1" t="s">
        <v>1298</v>
      </c>
      <c r="Q168" s="1" t="s">
        <v>3561</v>
      </c>
      <c r="R168" s="1" t="s">
        <v>3562</v>
      </c>
      <c r="S168" s="1">
        <v>9435041613</v>
      </c>
      <c r="T168" s="1" t="s">
        <v>3563</v>
      </c>
      <c r="U168" s="1" t="s">
        <v>3564</v>
      </c>
      <c r="V168" s="1">
        <v>9435041613</v>
      </c>
      <c r="W168" s="1" t="s">
        <v>156</v>
      </c>
      <c r="X168" s="1" t="s">
        <v>3565</v>
      </c>
      <c r="Y168" s="1" t="s">
        <v>2374</v>
      </c>
      <c r="Z168" s="1" t="s">
        <v>2375</v>
      </c>
      <c r="AA168" s="1" t="s">
        <v>3565</v>
      </c>
      <c r="AB168" s="1" t="s">
        <v>2374</v>
      </c>
      <c r="AC168" s="1" t="s">
        <v>2375</v>
      </c>
      <c r="AD168" s="1">
        <v>8.92</v>
      </c>
      <c r="AE168" s="1" t="s">
        <v>93</v>
      </c>
      <c r="AF168" s="1" t="s">
        <v>3566</v>
      </c>
      <c r="AG168" s="1" t="s">
        <v>3567</v>
      </c>
      <c r="AH168" s="1" t="s">
        <v>131</v>
      </c>
      <c r="AI168" s="1" t="s">
        <v>527</v>
      </c>
      <c r="AJ168" s="1">
        <v>95</v>
      </c>
      <c r="AK168" s="1">
        <v>10</v>
      </c>
      <c r="AL168" s="1" t="s">
        <v>3566</v>
      </c>
      <c r="AM168" s="1" t="s">
        <v>3567</v>
      </c>
      <c r="AN168" s="1" t="s">
        <v>479</v>
      </c>
      <c r="AO168" s="1" t="s">
        <v>166</v>
      </c>
      <c r="AP168" s="1">
        <v>82.66</v>
      </c>
      <c r="AQ168" s="1"/>
      <c r="AR168" s="1"/>
      <c r="AS168" s="1"/>
      <c r="AT168" s="1"/>
      <c r="AU168" s="1"/>
      <c r="AV168" s="1"/>
      <c r="AW168" s="1"/>
      <c r="AX168" s="1" t="s">
        <v>3568</v>
      </c>
      <c r="AY168" s="1" t="s">
        <v>3568</v>
      </c>
      <c r="AZ168" s="1" t="s">
        <v>169</v>
      </c>
      <c r="BA168" s="1" t="s">
        <v>616</v>
      </c>
      <c r="BB168" s="1">
        <v>81.3</v>
      </c>
      <c r="BC168" s="1">
        <v>8.13</v>
      </c>
      <c r="BD168" s="1"/>
      <c r="BE168" s="1"/>
      <c r="BF168" s="1"/>
      <c r="BG168" s="1"/>
      <c r="BH168" s="1"/>
      <c r="BI168" s="1"/>
      <c r="BJ168" s="1" t="s">
        <v>3569</v>
      </c>
      <c r="BK168" s="1"/>
      <c r="BL168" s="1"/>
      <c r="BM168" s="1" t="s">
        <v>3570</v>
      </c>
      <c r="BN168" s="1">
        <v>8</v>
      </c>
      <c r="BO168" s="1" t="s">
        <v>3571</v>
      </c>
      <c r="BP168" s="1" t="str">
        <f>HYPERLINK("https://nconnect.nicmar.ac.in/storage/profile/ProfilePhoto_P25700106_635142.jpg","Download")</f>
        <v>0</v>
      </c>
      <c r="BQ168" s="3"/>
      <c r="BR168" s="3"/>
    </row>
    <row r="169" spans="1:70">
      <c r="A169" s="1" t="s">
        <v>70</v>
      </c>
      <c r="B169" s="1" t="s">
        <v>1269</v>
      </c>
      <c r="C169" s="1" t="s">
        <v>3572</v>
      </c>
      <c r="D169" s="1" t="s">
        <v>3573</v>
      </c>
      <c r="E169" s="1" t="s">
        <v>3574</v>
      </c>
      <c r="F169" s="1" t="s">
        <v>3575</v>
      </c>
      <c r="G169" s="1" t="s">
        <v>3576</v>
      </c>
      <c r="H169" s="1" t="s">
        <v>3577</v>
      </c>
      <c r="I169" s="1" t="s">
        <v>3578</v>
      </c>
      <c r="J169" s="1">
        <v>7994646588</v>
      </c>
      <c r="K169" s="1" t="s">
        <v>79</v>
      </c>
      <c r="L169" s="1" t="s">
        <v>3579</v>
      </c>
      <c r="M169" s="1" t="s">
        <v>81</v>
      </c>
      <c r="N169" s="1" t="s">
        <v>3580</v>
      </c>
      <c r="O169" s="1"/>
      <c r="P169" s="1" t="s">
        <v>1323</v>
      </c>
      <c r="Q169" s="1" t="s">
        <v>3581</v>
      </c>
      <c r="R169" s="1" t="s">
        <v>3582</v>
      </c>
      <c r="S169" s="1">
        <v>9142394591</v>
      </c>
      <c r="T169" s="1" t="s">
        <v>3583</v>
      </c>
      <c r="U169" s="1" t="s">
        <v>3584</v>
      </c>
      <c r="V169" s="1">
        <v>9400700712</v>
      </c>
      <c r="W169" s="1" t="s">
        <v>122</v>
      </c>
      <c r="X169" s="1" t="s">
        <v>3585</v>
      </c>
      <c r="Y169" s="1" t="s">
        <v>2139</v>
      </c>
      <c r="Z169" s="1" t="s">
        <v>125</v>
      </c>
      <c r="AA169" s="1" t="s">
        <v>3585</v>
      </c>
      <c r="AB169" s="1" t="s">
        <v>2139</v>
      </c>
      <c r="AC169" s="1" t="s">
        <v>125</v>
      </c>
      <c r="AD169" s="1">
        <v>8.15</v>
      </c>
      <c r="AE169" s="1" t="s">
        <v>93</v>
      </c>
      <c r="AF169" s="1" t="s">
        <v>501</v>
      </c>
      <c r="AG169" s="1" t="s">
        <v>307</v>
      </c>
      <c r="AH169" s="1" t="s">
        <v>3586</v>
      </c>
      <c r="AI169" s="1" t="s">
        <v>1197</v>
      </c>
      <c r="AJ169" s="1">
        <v>76</v>
      </c>
      <c r="AK169" s="1">
        <v>8</v>
      </c>
      <c r="AL169" s="1" t="s">
        <v>501</v>
      </c>
      <c r="AM169" s="1" t="s">
        <v>307</v>
      </c>
      <c r="AN169" s="1" t="s">
        <v>96</v>
      </c>
      <c r="AO169" s="1" t="s">
        <v>527</v>
      </c>
      <c r="AP169" s="1">
        <v>71.4</v>
      </c>
      <c r="AQ169" s="1">
        <v>0</v>
      </c>
      <c r="AR169" s="1"/>
      <c r="AS169" s="1"/>
      <c r="AT169" s="1"/>
      <c r="AU169" s="1"/>
      <c r="AV169" s="1"/>
      <c r="AW169" s="1"/>
      <c r="AX169" s="1" t="s">
        <v>132</v>
      </c>
      <c r="AY169" s="1" t="s">
        <v>3587</v>
      </c>
      <c r="AZ169" s="1" t="s">
        <v>733</v>
      </c>
      <c r="BA169" s="1" t="s">
        <v>920</v>
      </c>
      <c r="BB169" s="1">
        <v>72.5</v>
      </c>
      <c r="BC169" s="1">
        <v>7.25</v>
      </c>
      <c r="BD169" s="1"/>
      <c r="BE169" s="1"/>
      <c r="BF169" s="1"/>
      <c r="BG169" s="1"/>
      <c r="BH169" s="1"/>
      <c r="BI169" s="1"/>
      <c r="BJ169" s="1" t="s">
        <v>3588</v>
      </c>
      <c r="BK169" s="1" t="s">
        <v>3589</v>
      </c>
      <c r="BL169" s="1" t="s">
        <v>1919</v>
      </c>
      <c r="BM169" s="1" t="s">
        <v>3590</v>
      </c>
      <c r="BN169" s="1"/>
      <c r="BO169" s="1" t="s">
        <v>3591</v>
      </c>
      <c r="BP169" s="1" t="str">
        <f>HYPERLINK("https://nconnect.nicmar.ac.in/storage/profile/ProfilePhoto_P25700107_215674.jpg","Download")</f>
        <v>0</v>
      </c>
      <c r="BQ169" s="3"/>
      <c r="BR169" s="3"/>
    </row>
    <row r="170" spans="1:70">
      <c r="A170" s="1" t="s">
        <v>70</v>
      </c>
      <c r="B170" s="1" t="s">
        <v>1269</v>
      </c>
      <c r="C170" s="1" t="s">
        <v>3592</v>
      </c>
      <c r="D170" s="1" t="s">
        <v>3593</v>
      </c>
      <c r="E170" s="1"/>
      <c r="F170" s="1" t="s">
        <v>3335</v>
      </c>
      <c r="G170" s="1" t="s">
        <v>3594</v>
      </c>
      <c r="H170" s="1" t="s">
        <v>3595</v>
      </c>
      <c r="I170" s="1" t="s">
        <v>3596</v>
      </c>
      <c r="J170" s="1">
        <v>7039966503</v>
      </c>
      <c r="K170" s="1" t="s">
        <v>79</v>
      </c>
      <c r="L170" s="1" t="s">
        <v>3597</v>
      </c>
      <c r="M170" s="1" t="s">
        <v>81</v>
      </c>
      <c r="N170" s="1" t="s">
        <v>2008</v>
      </c>
      <c r="O170" s="1"/>
      <c r="P170" s="1" t="s">
        <v>1323</v>
      </c>
      <c r="Q170" s="1" t="s">
        <v>3598</v>
      </c>
      <c r="R170" s="1" t="s">
        <v>3599</v>
      </c>
      <c r="S170" s="1">
        <v>9892540817</v>
      </c>
      <c r="T170" s="1" t="s">
        <v>763</v>
      </c>
      <c r="U170" s="1" t="s">
        <v>3600</v>
      </c>
      <c r="V170" s="1">
        <v>9594369800</v>
      </c>
      <c r="W170" s="1" t="s">
        <v>156</v>
      </c>
      <c r="X170" s="1" t="s">
        <v>3601</v>
      </c>
      <c r="Y170" s="1" t="s">
        <v>1623</v>
      </c>
      <c r="Z170" s="1" t="s">
        <v>92</v>
      </c>
      <c r="AA170" s="1" t="s">
        <v>3601</v>
      </c>
      <c r="AB170" s="1" t="s">
        <v>1623</v>
      </c>
      <c r="AC170" s="1" t="s">
        <v>92</v>
      </c>
      <c r="AD170" s="1">
        <v>8.49</v>
      </c>
      <c r="AE170" s="1" t="s">
        <v>93</v>
      </c>
      <c r="AF170" s="1" t="s">
        <v>3602</v>
      </c>
      <c r="AG170" s="1" t="s">
        <v>3603</v>
      </c>
      <c r="AH170" s="1" t="s">
        <v>165</v>
      </c>
      <c r="AI170" s="1" t="s">
        <v>1307</v>
      </c>
      <c r="AJ170" s="1">
        <v>62.4</v>
      </c>
      <c r="AK170" s="1"/>
      <c r="AL170" s="1"/>
      <c r="AM170" s="1"/>
      <c r="AN170" s="1"/>
      <c r="AO170" s="1"/>
      <c r="AP170" s="1"/>
      <c r="AQ170" s="1"/>
      <c r="AR170" s="1" t="s">
        <v>98</v>
      </c>
      <c r="AS170" s="1" t="s">
        <v>3604</v>
      </c>
      <c r="AT170" s="1" t="s">
        <v>169</v>
      </c>
      <c r="AU170" s="1" t="s">
        <v>1712</v>
      </c>
      <c r="AV170" s="1">
        <v>75.47</v>
      </c>
      <c r="AW170" s="1"/>
      <c r="AX170" s="1" t="s">
        <v>1024</v>
      </c>
      <c r="AY170" s="1" t="s">
        <v>3605</v>
      </c>
      <c r="AZ170" s="1" t="s">
        <v>897</v>
      </c>
      <c r="BA170" s="1" t="s">
        <v>413</v>
      </c>
      <c r="BB170" s="1">
        <v>60.04</v>
      </c>
      <c r="BC170" s="1"/>
      <c r="BD170" s="1"/>
      <c r="BE170" s="1"/>
      <c r="BF170" s="1"/>
      <c r="BG170" s="1"/>
      <c r="BH170" s="1"/>
      <c r="BI170" s="1"/>
      <c r="BJ170" s="1" t="s">
        <v>364</v>
      </c>
      <c r="BK170" s="1" t="s">
        <v>3606</v>
      </c>
      <c r="BL170" s="1" t="s">
        <v>1895</v>
      </c>
      <c r="BM170" s="1"/>
      <c r="BN170" s="1"/>
      <c r="BO170" s="1"/>
      <c r="BP170" s="1" t="str">
        <f>HYPERLINK("https://nconnect.nicmar.ac.in/storage/profile/ProfilePhoto_P25700108_352764.jpg","Download")</f>
        <v>0</v>
      </c>
      <c r="BQ170" s="3"/>
      <c r="BR170" s="3"/>
    </row>
    <row r="171" spans="1:70">
      <c r="A171" s="1" t="s">
        <v>70</v>
      </c>
      <c r="B171" s="1" t="s">
        <v>1269</v>
      </c>
      <c r="C171" s="1" t="s">
        <v>3607</v>
      </c>
      <c r="D171" s="1" t="s">
        <v>3608</v>
      </c>
      <c r="E171" s="1"/>
      <c r="F171" s="1" t="s">
        <v>3609</v>
      </c>
      <c r="G171" s="1" t="s">
        <v>3610</v>
      </c>
      <c r="H171" s="1" t="s">
        <v>3611</v>
      </c>
      <c r="I171" s="1" t="s">
        <v>3612</v>
      </c>
      <c r="J171" s="1">
        <v>8777253745</v>
      </c>
      <c r="K171" s="1" t="s">
        <v>79</v>
      </c>
      <c r="L171" s="1" t="s">
        <v>3613</v>
      </c>
      <c r="M171" s="1" t="s">
        <v>81</v>
      </c>
      <c r="N171" s="1" t="s">
        <v>3614</v>
      </c>
      <c r="O171" s="1"/>
      <c r="P171" s="1" t="s">
        <v>1278</v>
      </c>
      <c r="Q171" s="1" t="s">
        <v>3615</v>
      </c>
      <c r="R171" s="1" t="s">
        <v>3616</v>
      </c>
      <c r="S171" s="1">
        <v>8584016850</v>
      </c>
      <c r="T171" s="1" t="s">
        <v>3617</v>
      </c>
      <c r="U171" s="1" t="s">
        <v>3618</v>
      </c>
      <c r="V171" s="1">
        <v>9007894130</v>
      </c>
      <c r="W171" s="1" t="s">
        <v>156</v>
      </c>
      <c r="X171" s="1" t="s">
        <v>3619</v>
      </c>
      <c r="Y171" s="1" t="s">
        <v>3620</v>
      </c>
      <c r="Z171" s="1" t="s">
        <v>783</v>
      </c>
      <c r="AA171" s="1" t="s">
        <v>3619</v>
      </c>
      <c r="AB171" s="1" t="s">
        <v>3620</v>
      </c>
      <c r="AC171" s="1" t="s">
        <v>783</v>
      </c>
      <c r="AD171" s="1">
        <v>7.64</v>
      </c>
      <c r="AE171" s="1" t="s">
        <v>93</v>
      </c>
      <c r="AF171" s="1" t="s">
        <v>3621</v>
      </c>
      <c r="AG171" s="1" t="s">
        <v>3622</v>
      </c>
      <c r="AH171" s="1" t="s">
        <v>1197</v>
      </c>
      <c r="AI171" s="1" t="s">
        <v>131</v>
      </c>
      <c r="AJ171" s="1">
        <v>70.42</v>
      </c>
      <c r="AK171" s="1"/>
      <c r="AL171" s="1" t="s">
        <v>3621</v>
      </c>
      <c r="AM171" s="1" t="s">
        <v>3623</v>
      </c>
      <c r="AN171" s="1" t="s">
        <v>786</v>
      </c>
      <c r="AO171" s="1" t="s">
        <v>479</v>
      </c>
      <c r="AP171" s="1">
        <v>67.6</v>
      </c>
      <c r="AQ171" s="1"/>
      <c r="AR171" s="1"/>
      <c r="AS171" s="1"/>
      <c r="AT171" s="1"/>
      <c r="AU171" s="1"/>
      <c r="AV171" s="1"/>
      <c r="AW171" s="1"/>
      <c r="AX171" s="1" t="s">
        <v>2078</v>
      </c>
      <c r="AY171" s="1" t="s">
        <v>3624</v>
      </c>
      <c r="AZ171" s="1" t="s">
        <v>310</v>
      </c>
      <c r="BA171" s="1" t="s">
        <v>174</v>
      </c>
      <c r="BB171" s="1">
        <v>78.2</v>
      </c>
      <c r="BC171" s="1">
        <v>8.57</v>
      </c>
      <c r="BD171" s="1"/>
      <c r="BE171" s="1"/>
      <c r="BF171" s="1"/>
      <c r="BG171" s="1"/>
      <c r="BH171" s="1"/>
      <c r="BI171" s="1"/>
      <c r="BJ171" s="1" t="s">
        <v>3625</v>
      </c>
      <c r="BK171" s="1" t="s">
        <v>3626</v>
      </c>
      <c r="BL171" s="1" t="s">
        <v>1289</v>
      </c>
      <c r="BM171" s="1" t="s">
        <v>3627</v>
      </c>
      <c r="BN171" s="1">
        <v>12</v>
      </c>
      <c r="BO171" s="1" t="s">
        <v>3628</v>
      </c>
      <c r="BP171" s="1" t="str">
        <f>HYPERLINK("https://nconnect.nicmar.ac.in/storage/profile/ProfilePhoto_P25700109_129586.jpg","Download")</f>
        <v>0</v>
      </c>
      <c r="BQ171" s="3"/>
      <c r="BR171" s="3"/>
    </row>
    <row r="172" spans="1:70">
      <c r="A172" s="1" t="s">
        <v>70</v>
      </c>
      <c r="B172" s="1" t="s">
        <v>1269</v>
      </c>
      <c r="C172" s="1" t="s">
        <v>3629</v>
      </c>
      <c r="D172" s="1" t="s">
        <v>443</v>
      </c>
      <c r="E172" s="1" t="s">
        <v>3069</v>
      </c>
      <c r="F172" s="1" t="s">
        <v>3053</v>
      </c>
      <c r="G172" s="1" t="s">
        <v>3630</v>
      </c>
      <c r="H172" s="1" t="s">
        <v>3631</v>
      </c>
      <c r="I172" s="1" t="s">
        <v>3632</v>
      </c>
      <c r="J172" s="1">
        <v>7719869034</v>
      </c>
      <c r="K172" s="1" t="s">
        <v>79</v>
      </c>
      <c r="L172" s="1" t="s">
        <v>3633</v>
      </c>
      <c r="M172" s="1" t="s">
        <v>81</v>
      </c>
      <c r="N172" s="1" t="s">
        <v>2008</v>
      </c>
      <c r="O172" s="1"/>
      <c r="P172" s="1" t="s">
        <v>1323</v>
      </c>
      <c r="Q172" s="1" t="s">
        <v>3634</v>
      </c>
      <c r="R172" s="1" t="s">
        <v>3635</v>
      </c>
      <c r="S172" s="1">
        <v>9422514472</v>
      </c>
      <c r="T172" s="1" t="s">
        <v>120</v>
      </c>
      <c r="U172" s="1" t="s">
        <v>3636</v>
      </c>
      <c r="V172" s="1">
        <v>9850702486</v>
      </c>
      <c r="W172" s="1" t="s">
        <v>156</v>
      </c>
      <c r="X172" s="1" t="s">
        <v>3637</v>
      </c>
      <c r="Y172" s="1" t="s">
        <v>191</v>
      </c>
      <c r="Z172" s="1" t="s">
        <v>92</v>
      </c>
      <c r="AA172" s="1" t="s">
        <v>3637</v>
      </c>
      <c r="AB172" s="1" t="s">
        <v>191</v>
      </c>
      <c r="AC172" s="1" t="s">
        <v>92</v>
      </c>
      <c r="AD172" s="1">
        <v>8.62</v>
      </c>
      <c r="AE172" s="1" t="s">
        <v>93</v>
      </c>
      <c r="AF172" s="1" t="s">
        <v>3638</v>
      </c>
      <c r="AG172" s="1" t="s">
        <v>3639</v>
      </c>
      <c r="AH172" s="1" t="s">
        <v>3640</v>
      </c>
      <c r="AI172" s="1" t="s">
        <v>165</v>
      </c>
      <c r="AJ172" s="1">
        <v>74.2</v>
      </c>
      <c r="AK172" s="1">
        <v>8</v>
      </c>
      <c r="AL172" s="1"/>
      <c r="AM172" s="1"/>
      <c r="AN172" s="1"/>
      <c r="AO172" s="1"/>
      <c r="AP172" s="1"/>
      <c r="AQ172" s="1"/>
      <c r="AR172" s="1" t="s">
        <v>434</v>
      </c>
      <c r="AS172" s="1" t="s">
        <v>3641</v>
      </c>
      <c r="AT172" s="1" t="s">
        <v>225</v>
      </c>
      <c r="AU172" s="1" t="s">
        <v>170</v>
      </c>
      <c r="AV172" s="1">
        <v>92.84</v>
      </c>
      <c r="AW172" s="1"/>
      <c r="AX172" s="1" t="s">
        <v>361</v>
      </c>
      <c r="AY172" s="1" t="s">
        <v>3642</v>
      </c>
      <c r="AZ172" s="1" t="s">
        <v>363</v>
      </c>
      <c r="BA172" s="1" t="s">
        <v>174</v>
      </c>
      <c r="BB172" s="1">
        <v>82.88</v>
      </c>
      <c r="BC172" s="1">
        <v>8.99</v>
      </c>
      <c r="BD172" s="1"/>
      <c r="BE172" s="1"/>
      <c r="BF172" s="1"/>
      <c r="BG172" s="1"/>
      <c r="BH172" s="1"/>
      <c r="BI172" s="1"/>
      <c r="BJ172" s="1" t="s">
        <v>3643</v>
      </c>
      <c r="BK172" s="1" t="s">
        <v>3644</v>
      </c>
      <c r="BL172" s="1" t="s">
        <v>3239</v>
      </c>
      <c r="BM172" s="1" t="s">
        <v>3645</v>
      </c>
      <c r="BN172" s="1">
        <v>26</v>
      </c>
      <c r="BO172" s="1" t="s">
        <v>3646</v>
      </c>
      <c r="BP172" s="1" t="str">
        <f>HYPERLINK("https://nconnect.nicmar.ac.in/storage/profile/ProfilePhoto_P25700110_587169.jpg","Download")</f>
        <v>0</v>
      </c>
      <c r="BQ172" s="3"/>
      <c r="BR172" s="3"/>
    </row>
    <row r="173" spans="1:70">
      <c r="A173" s="1" t="s">
        <v>70</v>
      </c>
      <c r="B173" s="1" t="s">
        <v>1269</v>
      </c>
      <c r="C173" s="1" t="s">
        <v>3647</v>
      </c>
      <c r="D173" s="1" t="s">
        <v>3648</v>
      </c>
      <c r="E173" s="1" t="s">
        <v>2483</v>
      </c>
      <c r="F173" s="1" t="s">
        <v>3649</v>
      </c>
      <c r="G173" s="1" t="s">
        <v>3650</v>
      </c>
      <c r="H173" s="1" t="s">
        <v>3651</v>
      </c>
      <c r="I173" s="1" t="s">
        <v>3652</v>
      </c>
      <c r="J173" s="1">
        <v>7387665808</v>
      </c>
      <c r="K173" s="1" t="s">
        <v>79</v>
      </c>
      <c r="L173" s="1" t="s">
        <v>3653</v>
      </c>
      <c r="M173" s="1" t="s">
        <v>81</v>
      </c>
      <c r="N173" s="1" t="s">
        <v>2008</v>
      </c>
      <c r="O173" s="1"/>
      <c r="P173" s="1" t="s">
        <v>1278</v>
      </c>
      <c r="Q173" s="1" t="s">
        <v>3654</v>
      </c>
      <c r="R173" s="1" t="s">
        <v>3655</v>
      </c>
      <c r="S173" s="1">
        <v>9158243243</v>
      </c>
      <c r="T173" s="1" t="s">
        <v>3656</v>
      </c>
      <c r="U173" s="1" t="s">
        <v>3657</v>
      </c>
      <c r="V173" s="1">
        <v>9923807865</v>
      </c>
      <c r="W173" s="1" t="s">
        <v>273</v>
      </c>
      <c r="X173" s="1" t="s">
        <v>3658</v>
      </c>
      <c r="Y173" s="1" t="s">
        <v>191</v>
      </c>
      <c r="Z173" s="1" t="s">
        <v>92</v>
      </c>
      <c r="AA173" s="1" t="s">
        <v>3659</v>
      </c>
      <c r="AB173" s="1" t="s">
        <v>405</v>
      </c>
      <c r="AC173" s="1" t="s">
        <v>92</v>
      </c>
      <c r="AD173" s="1" t="s">
        <v>93</v>
      </c>
      <c r="AE173" s="1" t="s">
        <v>93</v>
      </c>
      <c r="AF173" s="1" t="s">
        <v>3660</v>
      </c>
      <c r="AG173" s="1" t="s">
        <v>3661</v>
      </c>
      <c r="AH173" s="1" t="s">
        <v>101</v>
      </c>
      <c r="AI173" s="1" t="s">
        <v>409</v>
      </c>
      <c r="AJ173" s="1">
        <v>64.4</v>
      </c>
      <c r="AK173" s="1"/>
      <c r="AL173" s="1"/>
      <c r="AM173" s="1"/>
      <c r="AN173" s="1"/>
      <c r="AO173" s="1"/>
      <c r="AP173" s="1"/>
      <c r="AQ173" s="1"/>
      <c r="AR173" s="1" t="s">
        <v>434</v>
      </c>
      <c r="AS173" s="1" t="s">
        <v>3662</v>
      </c>
      <c r="AT173" s="1" t="s">
        <v>3663</v>
      </c>
      <c r="AU173" s="1" t="s">
        <v>2630</v>
      </c>
      <c r="AV173" s="1">
        <v>69.63</v>
      </c>
      <c r="AW173" s="1"/>
      <c r="AX173" s="1" t="s">
        <v>410</v>
      </c>
      <c r="AY173" s="1" t="s">
        <v>3664</v>
      </c>
      <c r="AZ173" s="1" t="s">
        <v>2690</v>
      </c>
      <c r="BA173" s="1" t="s">
        <v>1714</v>
      </c>
      <c r="BB173" s="1">
        <v>61.4</v>
      </c>
      <c r="BC173" s="1"/>
      <c r="BD173" s="1"/>
      <c r="BE173" s="1"/>
      <c r="BF173" s="1"/>
      <c r="BG173" s="1"/>
      <c r="BH173" s="1"/>
      <c r="BI173" s="1"/>
      <c r="BJ173" s="1" t="s">
        <v>364</v>
      </c>
      <c r="BK173" s="1"/>
      <c r="BL173" s="1"/>
      <c r="BM173" s="1" t="s">
        <v>3665</v>
      </c>
      <c r="BN173" s="1">
        <v>5</v>
      </c>
      <c r="BO173" s="1"/>
      <c r="BP173" s="1" t="str">
        <f>HYPERLINK("https://nconnect.nicmar.ac.in/storage/profile/ProfilePhoto_P25700111_718243.jpg","Download")</f>
        <v>0</v>
      </c>
      <c r="BQ173" s="3"/>
      <c r="BR173" s="3"/>
    </row>
    <row r="174" spans="1:70">
      <c r="A174" s="1" t="s">
        <v>70</v>
      </c>
      <c r="B174" s="1" t="s">
        <v>1269</v>
      </c>
      <c r="C174" s="1" t="s">
        <v>3666</v>
      </c>
      <c r="D174" s="1" t="s">
        <v>3667</v>
      </c>
      <c r="E174" s="1" t="s">
        <v>3668</v>
      </c>
      <c r="F174" s="1" t="s">
        <v>3669</v>
      </c>
      <c r="G174" s="1" t="s">
        <v>3670</v>
      </c>
      <c r="H174" s="1" t="s">
        <v>3671</v>
      </c>
      <c r="I174" s="1" t="s">
        <v>3672</v>
      </c>
      <c r="J174" s="1">
        <v>7698373395</v>
      </c>
      <c r="K174" s="1" t="s">
        <v>79</v>
      </c>
      <c r="L174" s="1" t="s">
        <v>3673</v>
      </c>
      <c r="M174" s="1" t="s">
        <v>81</v>
      </c>
      <c r="N174" s="1" t="s">
        <v>3674</v>
      </c>
      <c r="O174" s="1"/>
      <c r="P174" s="1" t="s">
        <v>1323</v>
      </c>
      <c r="Q174" s="1" t="s">
        <v>3675</v>
      </c>
      <c r="R174" s="1" t="s">
        <v>3676</v>
      </c>
      <c r="S174" s="1">
        <v>9104986199</v>
      </c>
      <c r="T174" s="1" t="s">
        <v>3677</v>
      </c>
      <c r="U174" s="1" t="s">
        <v>3678</v>
      </c>
      <c r="V174" s="1">
        <v>9510059019</v>
      </c>
      <c r="W174" s="1" t="s">
        <v>273</v>
      </c>
      <c r="X174" s="1" t="s">
        <v>3679</v>
      </c>
      <c r="Y174" s="1" t="s">
        <v>3680</v>
      </c>
      <c r="Z174" s="1" t="s">
        <v>1468</v>
      </c>
      <c r="AA174" s="1" t="s">
        <v>3679</v>
      </c>
      <c r="AB174" s="1" t="s">
        <v>3680</v>
      </c>
      <c r="AC174" s="1" t="s">
        <v>1468</v>
      </c>
      <c r="AD174" s="1">
        <v>9.16</v>
      </c>
      <c r="AE174" s="1" t="s">
        <v>93</v>
      </c>
      <c r="AF174" s="1" t="s">
        <v>3681</v>
      </c>
      <c r="AG174" s="1" t="s">
        <v>3682</v>
      </c>
      <c r="AH174" s="1" t="s">
        <v>165</v>
      </c>
      <c r="AI174" s="1" t="s">
        <v>281</v>
      </c>
      <c r="AJ174" s="1">
        <v>88.33</v>
      </c>
      <c r="AK174" s="1">
        <v>0</v>
      </c>
      <c r="AL174" s="1" t="s">
        <v>3681</v>
      </c>
      <c r="AM174" s="1" t="s">
        <v>3682</v>
      </c>
      <c r="AN174" s="1" t="s">
        <v>433</v>
      </c>
      <c r="AO174" s="1" t="s">
        <v>941</v>
      </c>
      <c r="AP174" s="1">
        <v>80.16</v>
      </c>
      <c r="AQ174" s="1">
        <v>0</v>
      </c>
      <c r="AR174" s="1"/>
      <c r="AS174" s="1"/>
      <c r="AT174" s="1"/>
      <c r="AU174" s="1"/>
      <c r="AV174" s="1"/>
      <c r="AW174" s="1"/>
      <c r="AX174" s="1" t="s">
        <v>3683</v>
      </c>
      <c r="AY174" s="1" t="s">
        <v>3684</v>
      </c>
      <c r="AZ174" s="1" t="s">
        <v>170</v>
      </c>
      <c r="BA174" s="1" t="s">
        <v>413</v>
      </c>
      <c r="BB174" s="1">
        <v>82.3</v>
      </c>
      <c r="BC174" s="1">
        <v>8.23</v>
      </c>
      <c r="BD174" s="1"/>
      <c r="BE174" s="1"/>
      <c r="BF174" s="1"/>
      <c r="BG174" s="1"/>
      <c r="BH174" s="1"/>
      <c r="BI174" s="1"/>
      <c r="BJ174" s="1" t="s">
        <v>364</v>
      </c>
      <c r="BK174" s="1"/>
      <c r="BL174" s="1"/>
      <c r="BM174" s="1" t="s">
        <v>3685</v>
      </c>
      <c r="BN174" s="1">
        <v>36</v>
      </c>
      <c r="BO174" s="1"/>
      <c r="BP174" s="1" t="str">
        <f>HYPERLINK("https://nconnect.nicmar.ac.in/storage/profile/ProfilePhoto_P25700113_721496.jpg","Download")</f>
        <v>0</v>
      </c>
      <c r="BQ174" s="3"/>
      <c r="BR174" s="3"/>
    </row>
    <row r="175" spans="1:70">
      <c r="A175" s="1" t="s">
        <v>70</v>
      </c>
      <c r="B175" s="1" t="s">
        <v>1269</v>
      </c>
      <c r="C175" s="1" t="s">
        <v>3686</v>
      </c>
      <c r="D175" s="1" t="s">
        <v>443</v>
      </c>
      <c r="E175" s="1" t="s">
        <v>1874</v>
      </c>
      <c r="F175" s="1" t="s">
        <v>2655</v>
      </c>
      <c r="G175" s="1" t="s">
        <v>3687</v>
      </c>
      <c r="H175" s="1" t="s">
        <v>3688</v>
      </c>
      <c r="I175" s="1" t="s">
        <v>3689</v>
      </c>
      <c r="J175" s="1">
        <v>8157032468</v>
      </c>
      <c r="K175" s="1" t="s">
        <v>79</v>
      </c>
      <c r="L175" s="1" t="s">
        <v>1764</v>
      </c>
      <c r="M175" s="1" t="s">
        <v>81</v>
      </c>
      <c r="N175" s="1" t="s">
        <v>3690</v>
      </c>
      <c r="O175" s="1"/>
      <c r="P175" s="1" t="s">
        <v>1278</v>
      </c>
      <c r="Q175" s="1" t="s">
        <v>3691</v>
      </c>
      <c r="R175" s="1" t="s">
        <v>3692</v>
      </c>
      <c r="S175" s="1">
        <v>8281527268</v>
      </c>
      <c r="T175" s="1" t="s">
        <v>3693</v>
      </c>
      <c r="U175" s="1" t="s">
        <v>3694</v>
      </c>
      <c r="V175" s="1">
        <v>9446944868</v>
      </c>
      <c r="W175" s="1" t="s">
        <v>976</v>
      </c>
      <c r="X175" s="1" t="s">
        <v>3695</v>
      </c>
      <c r="Y175" s="1" t="s">
        <v>3323</v>
      </c>
      <c r="Z175" s="1" t="s">
        <v>125</v>
      </c>
      <c r="AA175" s="1" t="s">
        <v>3695</v>
      </c>
      <c r="AB175" s="1" t="s">
        <v>3323</v>
      </c>
      <c r="AC175" s="1" t="s">
        <v>125</v>
      </c>
      <c r="AD175" s="1">
        <v>8.33</v>
      </c>
      <c r="AE175" s="1" t="s">
        <v>93</v>
      </c>
      <c r="AF175" s="1" t="s">
        <v>3696</v>
      </c>
      <c r="AG175" s="1" t="s">
        <v>307</v>
      </c>
      <c r="AH175" s="1" t="s">
        <v>165</v>
      </c>
      <c r="AI175" s="1" t="s">
        <v>166</v>
      </c>
      <c r="AJ175" s="1">
        <v>82.2</v>
      </c>
      <c r="AK175" s="1"/>
      <c r="AL175" s="1" t="s">
        <v>3697</v>
      </c>
      <c r="AM175" s="1" t="s">
        <v>3698</v>
      </c>
      <c r="AN175" s="1" t="s">
        <v>433</v>
      </c>
      <c r="AO175" s="1" t="s">
        <v>173</v>
      </c>
      <c r="AP175" s="1">
        <v>89.66</v>
      </c>
      <c r="AQ175" s="1"/>
      <c r="AR175" s="1"/>
      <c r="AS175" s="1"/>
      <c r="AT175" s="1"/>
      <c r="AU175" s="1"/>
      <c r="AV175" s="1"/>
      <c r="AW175" s="1"/>
      <c r="AX175" s="1" t="s">
        <v>3699</v>
      </c>
      <c r="AY175" s="1" t="s">
        <v>3700</v>
      </c>
      <c r="AZ175" s="1" t="s">
        <v>681</v>
      </c>
      <c r="BA175" s="1" t="s">
        <v>413</v>
      </c>
      <c r="BB175" s="1">
        <v>66.1</v>
      </c>
      <c r="BC175" s="1">
        <v>6.61</v>
      </c>
      <c r="BD175" s="1"/>
      <c r="BE175" s="1"/>
      <c r="BF175" s="1"/>
      <c r="BG175" s="1"/>
      <c r="BH175" s="1"/>
      <c r="BI175" s="1"/>
      <c r="BJ175" s="1" t="s">
        <v>1383</v>
      </c>
      <c r="BK175" s="1" t="s">
        <v>3701</v>
      </c>
      <c r="BL175" s="1" t="s">
        <v>1220</v>
      </c>
      <c r="BM175" s="1" t="s">
        <v>3702</v>
      </c>
      <c r="BN175" s="1">
        <v>9</v>
      </c>
      <c r="BO175" s="1" t="s">
        <v>3703</v>
      </c>
      <c r="BP175" s="1" t="str">
        <f>HYPERLINK("https://nconnect.nicmar.ac.in/storage/profile/ProfilePhoto_P25700114_648312.jpg","Download")</f>
        <v>0</v>
      </c>
      <c r="BQ175" s="3"/>
      <c r="BR175" s="3"/>
    </row>
    <row r="176" spans="1:70">
      <c r="A176" s="1" t="s">
        <v>70</v>
      </c>
      <c r="B176" s="1" t="s">
        <v>1269</v>
      </c>
      <c r="C176" s="1" t="s">
        <v>3704</v>
      </c>
      <c r="D176" s="1" t="s">
        <v>533</v>
      </c>
      <c r="E176" s="1" t="s">
        <v>1546</v>
      </c>
      <c r="F176" s="1" t="s">
        <v>903</v>
      </c>
      <c r="G176" s="1" t="s">
        <v>3705</v>
      </c>
      <c r="H176" s="1" t="s">
        <v>3706</v>
      </c>
      <c r="I176" s="1" t="s">
        <v>3707</v>
      </c>
      <c r="J176" s="1">
        <v>9146964130</v>
      </c>
      <c r="K176" s="1" t="s">
        <v>79</v>
      </c>
      <c r="L176" s="1" t="s">
        <v>3708</v>
      </c>
      <c r="M176" s="1" t="s">
        <v>81</v>
      </c>
      <c r="N176" s="1" t="s">
        <v>1765</v>
      </c>
      <c r="O176" s="1"/>
      <c r="P176" s="1" t="s">
        <v>1278</v>
      </c>
      <c r="Q176" s="1" t="s">
        <v>3709</v>
      </c>
      <c r="R176" s="1" t="s">
        <v>3710</v>
      </c>
      <c r="S176" s="1">
        <v>9822678983</v>
      </c>
      <c r="T176" s="1" t="s">
        <v>496</v>
      </c>
      <c r="U176" s="1" t="s">
        <v>3711</v>
      </c>
      <c r="V176" s="1">
        <v>9021220811</v>
      </c>
      <c r="W176" s="1" t="s">
        <v>156</v>
      </c>
      <c r="X176" s="1" t="s">
        <v>3712</v>
      </c>
      <c r="Y176" s="1" t="s">
        <v>191</v>
      </c>
      <c r="Z176" s="1" t="s">
        <v>92</v>
      </c>
      <c r="AA176" s="1" t="s">
        <v>3712</v>
      </c>
      <c r="AB176" s="1" t="s">
        <v>191</v>
      </c>
      <c r="AC176" s="1" t="s">
        <v>92</v>
      </c>
      <c r="AD176" s="1" t="s">
        <v>93</v>
      </c>
      <c r="AE176" s="1" t="s">
        <v>93</v>
      </c>
      <c r="AF176" s="1" t="s">
        <v>3713</v>
      </c>
      <c r="AG176" s="1" t="s">
        <v>160</v>
      </c>
      <c r="AH176" s="1" t="s">
        <v>101</v>
      </c>
      <c r="AI176" s="1" t="s">
        <v>308</v>
      </c>
      <c r="AJ176" s="1">
        <v>67.2</v>
      </c>
      <c r="AK176" s="1"/>
      <c r="AL176" s="1"/>
      <c r="AM176" s="1"/>
      <c r="AN176" s="1"/>
      <c r="AO176" s="1"/>
      <c r="AP176" s="1"/>
      <c r="AQ176" s="1"/>
      <c r="AR176" s="1" t="s">
        <v>98</v>
      </c>
      <c r="AS176" s="1" t="s">
        <v>3714</v>
      </c>
      <c r="AT176" s="1" t="s">
        <v>201</v>
      </c>
      <c r="AU176" s="1" t="s">
        <v>481</v>
      </c>
      <c r="AV176" s="1">
        <v>69.21</v>
      </c>
      <c r="AW176" s="1"/>
      <c r="AX176" s="1" t="s">
        <v>3715</v>
      </c>
      <c r="AY176" s="1" t="s">
        <v>3716</v>
      </c>
      <c r="AZ176" s="1" t="s">
        <v>481</v>
      </c>
      <c r="BA176" s="1" t="s">
        <v>1361</v>
      </c>
      <c r="BB176" s="1">
        <v>75.13</v>
      </c>
      <c r="BC176" s="1">
        <v>7.51</v>
      </c>
      <c r="BD176" s="1"/>
      <c r="BE176" s="1"/>
      <c r="BF176" s="1"/>
      <c r="BG176" s="1"/>
      <c r="BH176" s="1"/>
      <c r="BI176" s="1"/>
      <c r="BJ176" s="1" t="s">
        <v>364</v>
      </c>
      <c r="BK176" s="1"/>
      <c r="BL176" s="1"/>
      <c r="BM176" s="1"/>
      <c r="BN176" s="1"/>
      <c r="BO176" s="1"/>
      <c r="BP176" s="1" t="str">
        <f>HYPERLINK("https://nconnect.nicmar.ac.in/storage/profile/ProfilePhoto_P25700115_875296.jpg","Download")</f>
        <v>0</v>
      </c>
      <c r="BQ176" s="3"/>
      <c r="BR176" s="3"/>
    </row>
    <row r="177" spans="1:70">
      <c r="A177" s="1" t="s">
        <v>70</v>
      </c>
      <c r="B177" s="1" t="s">
        <v>1269</v>
      </c>
      <c r="C177" s="1" t="s">
        <v>3717</v>
      </c>
      <c r="D177" s="1" t="s">
        <v>3718</v>
      </c>
      <c r="E177" s="1" t="s">
        <v>2483</v>
      </c>
      <c r="F177" s="1" t="s">
        <v>236</v>
      </c>
      <c r="G177" s="1" t="s">
        <v>3719</v>
      </c>
      <c r="H177" s="1" t="s">
        <v>3720</v>
      </c>
      <c r="I177" s="1" t="s">
        <v>3721</v>
      </c>
      <c r="J177" s="1">
        <v>8108344275</v>
      </c>
      <c r="K177" s="1" t="s">
        <v>79</v>
      </c>
      <c r="L177" s="1" t="s">
        <v>3722</v>
      </c>
      <c r="M177" s="1" t="s">
        <v>81</v>
      </c>
      <c r="N177" s="1" t="s">
        <v>3229</v>
      </c>
      <c r="O177" s="1"/>
      <c r="P177" s="1" t="s">
        <v>1766</v>
      </c>
      <c r="Q177" s="1" t="s">
        <v>3723</v>
      </c>
      <c r="R177" s="1" t="s">
        <v>3724</v>
      </c>
      <c r="S177" s="1">
        <v>8108639248</v>
      </c>
      <c r="T177" s="1" t="s">
        <v>3725</v>
      </c>
      <c r="U177" s="1" t="s">
        <v>3726</v>
      </c>
      <c r="V177" s="1">
        <v>8108640628</v>
      </c>
      <c r="W177" s="1" t="s">
        <v>156</v>
      </c>
      <c r="X177" s="1" t="s">
        <v>3727</v>
      </c>
      <c r="Y177" s="1" t="s">
        <v>766</v>
      </c>
      <c r="Z177" s="1" t="s">
        <v>92</v>
      </c>
      <c r="AA177" s="1" t="s">
        <v>3727</v>
      </c>
      <c r="AB177" s="1" t="s">
        <v>766</v>
      </c>
      <c r="AC177" s="1" t="s">
        <v>92</v>
      </c>
      <c r="AD177" s="1">
        <v>8.82</v>
      </c>
      <c r="AE177" s="1" t="s">
        <v>93</v>
      </c>
      <c r="AF177" s="1" t="s">
        <v>3728</v>
      </c>
      <c r="AG177" s="1" t="s">
        <v>476</v>
      </c>
      <c r="AH177" s="1" t="s">
        <v>165</v>
      </c>
      <c r="AI177" s="1" t="s">
        <v>101</v>
      </c>
      <c r="AJ177" s="1">
        <v>79</v>
      </c>
      <c r="AK177" s="1">
        <v>0</v>
      </c>
      <c r="AL177" s="1"/>
      <c r="AM177" s="1"/>
      <c r="AN177" s="1"/>
      <c r="AO177" s="1"/>
      <c r="AP177" s="1"/>
      <c r="AQ177" s="1"/>
      <c r="AR177" s="1" t="s">
        <v>434</v>
      </c>
      <c r="AS177" s="1" t="s">
        <v>3729</v>
      </c>
      <c r="AT177" s="1" t="s">
        <v>636</v>
      </c>
      <c r="AU177" s="1" t="s">
        <v>436</v>
      </c>
      <c r="AV177" s="1">
        <v>93.32</v>
      </c>
      <c r="AW177" s="1"/>
      <c r="AX177" s="1" t="s">
        <v>1024</v>
      </c>
      <c r="AY177" s="1" t="s">
        <v>3730</v>
      </c>
      <c r="AZ177" s="1" t="s">
        <v>897</v>
      </c>
      <c r="BA177" s="1" t="s">
        <v>202</v>
      </c>
      <c r="BB177" s="1">
        <v>82.67</v>
      </c>
      <c r="BC177" s="1">
        <v>9.55</v>
      </c>
      <c r="BD177" s="1"/>
      <c r="BE177" s="1"/>
      <c r="BF177" s="1"/>
      <c r="BG177" s="1"/>
      <c r="BH177" s="1"/>
      <c r="BI177" s="1"/>
      <c r="BJ177" s="1" t="s">
        <v>3731</v>
      </c>
      <c r="BK177" s="1"/>
      <c r="BL177" s="1"/>
      <c r="BM177" s="1" t="s">
        <v>3732</v>
      </c>
      <c r="BN177" s="1">
        <v>13</v>
      </c>
      <c r="BO177" s="1"/>
      <c r="BP177" s="1" t="str">
        <f>HYPERLINK("https://nconnect.nicmar.ac.in/storage/profile/ProfilePhoto_P25700116_731254.jpg","Download")</f>
        <v>0</v>
      </c>
      <c r="BQ177" s="3"/>
      <c r="BR177" s="3"/>
    </row>
    <row r="178" spans="1:70">
      <c r="A178" s="1" t="s">
        <v>70</v>
      </c>
      <c r="B178" s="1" t="s">
        <v>1269</v>
      </c>
      <c r="C178" s="1" t="s">
        <v>3733</v>
      </c>
      <c r="D178" s="1" t="s">
        <v>2325</v>
      </c>
      <c r="E178" s="1"/>
      <c r="F178" s="1" t="s">
        <v>835</v>
      </c>
      <c r="G178" s="1" t="s">
        <v>3734</v>
      </c>
      <c r="H178" s="1" t="s">
        <v>3735</v>
      </c>
      <c r="I178" s="1" t="s">
        <v>3736</v>
      </c>
      <c r="J178" s="1">
        <v>9399872931</v>
      </c>
      <c r="K178" s="1" t="s">
        <v>79</v>
      </c>
      <c r="L178" s="1" t="s">
        <v>3737</v>
      </c>
      <c r="M178" s="1" t="s">
        <v>81</v>
      </c>
      <c r="N178" s="1" t="s">
        <v>3738</v>
      </c>
      <c r="O178" s="1"/>
      <c r="P178" s="1" t="s">
        <v>1462</v>
      </c>
      <c r="Q178" s="1" t="s">
        <v>3739</v>
      </c>
      <c r="R178" s="1" t="s">
        <v>3740</v>
      </c>
      <c r="S178" s="1">
        <v>9893417262</v>
      </c>
      <c r="T178" s="1" t="s">
        <v>3741</v>
      </c>
      <c r="U178" s="1" t="s">
        <v>3742</v>
      </c>
      <c r="V178" s="1">
        <v>9407786050</v>
      </c>
      <c r="W178" s="1" t="s">
        <v>651</v>
      </c>
      <c r="X178" s="1" t="s">
        <v>3743</v>
      </c>
      <c r="Y178" s="1" t="s">
        <v>3744</v>
      </c>
      <c r="Z178" s="1" t="s">
        <v>1237</v>
      </c>
      <c r="AA178" s="1" t="s">
        <v>3743</v>
      </c>
      <c r="AB178" s="1" t="s">
        <v>3744</v>
      </c>
      <c r="AC178" s="1" t="s">
        <v>1237</v>
      </c>
      <c r="AD178" s="1">
        <v>7.66</v>
      </c>
      <c r="AE178" s="1" t="s">
        <v>93</v>
      </c>
      <c r="AF178" s="1" t="s">
        <v>3745</v>
      </c>
      <c r="AG178" s="1" t="s">
        <v>3746</v>
      </c>
      <c r="AH178" s="1" t="s">
        <v>162</v>
      </c>
      <c r="AI178" s="1" t="s">
        <v>165</v>
      </c>
      <c r="AJ178" s="1">
        <v>83.6</v>
      </c>
      <c r="AK178" s="1">
        <v>8.8</v>
      </c>
      <c r="AL178" s="1" t="s">
        <v>3745</v>
      </c>
      <c r="AM178" s="1" t="s">
        <v>3746</v>
      </c>
      <c r="AN178" s="1" t="s">
        <v>166</v>
      </c>
      <c r="AO178" s="1" t="s">
        <v>308</v>
      </c>
      <c r="AP178" s="1">
        <v>77</v>
      </c>
      <c r="AQ178" s="1"/>
      <c r="AR178" s="1"/>
      <c r="AS178" s="1"/>
      <c r="AT178" s="1"/>
      <c r="AU178" s="1"/>
      <c r="AV178" s="1"/>
      <c r="AW178" s="1"/>
      <c r="AX178" s="1" t="s">
        <v>3747</v>
      </c>
      <c r="AY178" s="1" t="s">
        <v>3748</v>
      </c>
      <c r="AZ178" s="1" t="s">
        <v>201</v>
      </c>
      <c r="BA178" s="1" t="s">
        <v>174</v>
      </c>
      <c r="BB178" s="1">
        <v>77.72</v>
      </c>
      <c r="BC178" s="1"/>
      <c r="BD178" s="1"/>
      <c r="BE178" s="1"/>
      <c r="BF178" s="1"/>
      <c r="BG178" s="1"/>
      <c r="BH178" s="1"/>
      <c r="BI178" s="1"/>
      <c r="BJ178" s="1" t="s">
        <v>3749</v>
      </c>
      <c r="BK178" s="1"/>
      <c r="BL178" s="1"/>
      <c r="BM178" s="1" t="s">
        <v>3750</v>
      </c>
      <c r="BN178" s="1">
        <v>36</v>
      </c>
      <c r="BO178" s="1" t="s">
        <v>3751</v>
      </c>
      <c r="BP178" s="1" t="str">
        <f>HYPERLINK("https://nconnect.nicmar.ac.in/storage/profile/ProfilePhoto_P25700117_189624.jpg","Download")</f>
        <v>0</v>
      </c>
      <c r="BQ178" s="3"/>
      <c r="BR178" s="3"/>
    </row>
    <row r="179" spans="1:70">
      <c r="A179" s="1" t="s">
        <v>70</v>
      </c>
      <c r="B179" s="1" t="s">
        <v>1269</v>
      </c>
      <c r="C179" s="1" t="s">
        <v>3752</v>
      </c>
      <c r="D179" s="1" t="s">
        <v>3753</v>
      </c>
      <c r="E179" s="1"/>
      <c r="F179" s="1" t="s">
        <v>3754</v>
      </c>
      <c r="G179" s="1" t="s">
        <v>3755</v>
      </c>
      <c r="H179" s="1" t="s">
        <v>3756</v>
      </c>
      <c r="I179" s="1" t="s">
        <v>3757</v>
      </c>
      <c r="J179" s="1">
        <v>8210698337</v>
      </c>
      <c r="K179" s="1" t="s">
        <v>79</v>
      </c>
      <c r="L179" s="1" t="s">
        <v>3758</v>
      </c>
      <c r="M179" s="1" t="s">
        <v>81</v>
      </c>
      <c r="N179" s="1" t="s">
        <v>82</v>
      </c>
      <c r="O179" s="1"/>
      <c r="P179" s="1" t="s">
        <v>1278</v>
      </c>
      <c r="Q179" s="1" t="s">
        <v>3759</v>
      </c>
      <c r="R179" s="1" t="s">
        <v>3760</v>
      </c>
      <c r="S179" s="1">
        <v>9431107316</v>
      </c>
      <c r="T179" s="1" t="s">
        <v>520</v>
      </c>
      <c r="U179" s="1" t="s">
        <v>3761</v>
      </c>
      <c r="V179" s="1">
        <v>9631194424</v>
      </c>
      <c r="W179" s="1" t="s">
        <v>651</v>
      </c>
      <c r="X179" s="1" t="s">
        <v>3762</v>
      </c>
      <c r="Y179" s="1" t="s">
        <v>1623</v>
      </c>
      <c r="Z179" s="1" t="s">
        <v>92</v>
      </c>
      <c r="AA179" s="1" t="s">
        <v>3763</v>
      </c>
      <c r="AB179" s="1" t="s">
        <v>3764</v>
      </c>
      <c r="AC179" s="1" t="s">
        <v>3765</v>
      </c>
      <c r="AD179" s="1">
        <v>8.41</v>
      </c>
      <c r="AE179" s="1" t="s">
        <v>93</v>
      </c>
      <c r="AF179" s="1" t="s">
        <v>3766</v>
      </c>
      <c r="AG179" s="1" t="s">
        <v>2531</v>
      </c>
      <c r="AH179" s="1" t="s">
        <v>503</v>
      </c>
      <c r="AI179" s="1" t="s">
        <v>527</v>
      </c>
      <c r="AJ179" s="1">
        <v>79.8</v>
      </c>
      <c r="AK179" s="1">
        <v>8.4</v>
      </c>
      <c r="AL179" s="1" t="s">
        <v>3766</v>
      </c>
      <c r="AM179" s="1" t="s">
        <v>2531</v>
      </c>
      <c r="AN179" s="1" t="s">
        <v>678</v>
      </c>
      <c r="AO179" s="1" t="s">
        <v>166</v>
      </c>
      <c r="AP179" s="1">
        <v>73</v>
      </c>
      <c r="AQ179" s="1"/>
      <c r="AR179" s="1"/>
      <c r="AS179" s="1"/>
      <c r="AT179" s="1"/>
      <c r="AU179" s="1"/>
      <c r="AV179" s="1"/>
      <c r="AW179" s="1"/>
      <c r="AX179" s="1" t="s">
        <v>3767</v>
      </c>
      <c r="AY179" s="1" t="s">
        <v>3768</v>
      </c>
      <c r="AZ179" s="1" t="s">
        <v>636</v>
      </c>
      <c r="BA179" s="1" t="s">
        <v>174</v>
      </c>
      <c r="BB179" s="1">
        <v>64.7</v>
      </c>
      <c r="BC179" s="1">
        <v>6.47</v>
      </c>
      <c r="BD179" s="1"/>
      <c r="BE179" s="1"/>
      <c r="BF179" s="1"/>
      <c r="BG179" s="1"/>
      <c r="BH179" s="1"/>
      <c r="BI179" s="1"/>
      <c r="BJ179" s="1" t="s">
        <v>3769</v>
      </c>
      <c r="BK179" s="1" t="s">
        <v>3770</v>
      </c>
      <c r="BL179" s="1" t="s">
        <v>2019</v>
      </c>
      <c r="BM179" s="1" t="s">
        <v>3771</v>
      </c>
      <c r="BN179" s="1">
        <v>26</v>
      </c>
      <c r="BO179" s="1"/>
      <c r="BP179" s="1" t="str">
        <f>HYPERLINK("https://nconnect.nicmar.ac.in/storage/profile/ProfilePhoto_P25700118_148736.jpg","Download")</f>
        <v>0</v>
      </c>
      <c r="BQ179" s="3"/>
      <c r="BR179" s="3"/>
    </row>
    <row r="180" spans="1:70">
      <c r="A180" s="1" t="s">
        <v>70</v>
      </c>
      <c r="B180" s="1" t="s">
        <v>1269</v>
      </c>
      <c r="C180" s="1" t="s">
        <v>3772</v>
      </c>
      <c r="D180" s="1" t="s">
        <v>2149</v>
      </c>
      <c r="E180" s="1" t="s">
        <v>3773</v>
      </c>
      <c r="F180" s="1" t="s">
        <v>3774</v>
      </c>
      <c r="G180" s="1" t="s">
        <v>3775</v>
      </c>
      <c r="H180" s="1" t="s">
        <v>3776</v>
      </c>
      <c r="I180" s="1" t="s">
        <v>3777</v>
      </c>
      <c r="J180" s="1">
        <v>9587233281</v>
      </c>
      <c r="K180" s="1" t="s">
        <v>79</v>
      </c>
      <c r="L180" s="1" t="s">
        <v>3778</v>
      </c>
      <c r="M180" s="1" t="s">
        <v>81</v>
      </c>
      <c r="N180" s="1" t="s">
        <v>3779</v>
      </c>
      <c r="O180" s="1"/>
      <c r="P180" s="1" t="s">
        <v>1278</v>
      </c>
      <c r="Q180" s="1" t="s">
        <v>3780</v>
      </c>
      <c r="R180" s="1" t="s">
        <v>3781</v>
      </c>
      <c r="S180" s="1">
        <v>9783696344</v>
      </c>
      <c r="T180" s="1" t="s">
        <v>496</v>
      </c>
      <c r="U180" s="1" t="s">
        <v>3782</v>
      </c>
      <c r="V180" s="1">
        <v>6350421506</v>
      </c>
      <c r="W180" s="1" t="s">
        <v>651</v>
      </c>
      <c r="X180" s="1" t="s">
        <v>3783</v>
      </c>
      <c r="Y180" s="1" t="s">
        <v>3784</v>
      </c>
      <c r="Z180" s="1" t="s">
        <v>867</v>
      </c>
      <c r="AA180" s="1" t="s">
        <v>3783</v>
      </c>
      <c r="AB180" s="1" t="s">
        <v>3784</v>
      </c>
      <c r="AC180" s="1" t="s">
        <v>867</v>
      </c>
      <c r="AD180" s="1" t="s">
        <v>93</v>
      </c>
      <c r="AE180" s="1" t="s">
        <v>93</v>
      </c>
      <c r="AF180" s="1" t="s">
        <v>3785</v>
      </c>
      <c r="AG180" s="1" t="s">
        <v>3786</v>
      </c>
      <c r="AH180" s="1" t="s">
        <v>130</v>
      </c>
      <c r="AI180" s="1" t="s">
        <v>503</v>
      </c>
      <c r="AJ180" s="1">
        <v>60.5</v>
      </c>
      <c r="AK180" s="1"/>
      <c r="AL180" s="1"/>
      <c r="AM180" s="1"/>
      <c r="AN180" s="1"/>
      <c r="AO180" s="1"/>
      <c r="AP180" s="1"/>
      <c r="AQ180" s="1"/>
      <c r="AR180" s="1" t="s">
        <v>434</v>
      </c>
      <c r="AS180" s="1" t="s">
        <v>3787</v>
      </c>
      <c r="AT180" s="1" t="s">
        <v>337</v>
      </c>
      <c r="AU180" s="1" t="s">
        <v>101</v>
      </c>
      <c r="AV180" s="1">
        <v>83</v>
      </c>
      <c r="AW180" s="1">
        <v>8.3</v>
      </c>
      <c r="AX180" s="1" t="s">
        <v>3788</v>
      </c>
      <c r="AY180" s="1" t="s">
        <v>3787</v>
      </c>
      <c r="AZ180" s="1" t="s">
        <v>636</v>
      </c>
      <c r="BA180" s="1" t="s">
        <v>506</v>
      </c>
      <c r="BB180" s="1">
        <v>72.1</v>
      </c>
      <c r="BC180" s="1">
        <v>7.21</v>
      </c>
      <c r="BD180" s="1"/>
      <c r="BE180" s="1"/>
      <c r="BF180" s="1"/>
      <c r="BG180" s="1"/>
      <c r="BH180" s="1"/>
      <c r="BI180" s="1"/>
      <c r="BJ180" s="1" t="s">
        <v>1383</v>
      </c>
      <c r="BK180" s="1" t="s">
        <v>3789</v>
      </c>
      <c r="BL180" s="1" t="s">
        <v>1475</v>
      </c>
      <c r="BM180" s="1" t="s">
        <v>3790</v>
      </c>
      <c r="BN180" s="1">
        <v>32</v>
      </c>
      <c r="BO180" s="1" t="s">
        <v>3791</v>
      </c>
      <c r="BP180" s="1" t="str">
        <f>HYPERLINK("https://nconnect.nicmar.ac.in/storage/profile/ProfilePhoto_P25700119_915374.jpg","Download")</f>
        <v>0</v>
      </c>
      <c r="BQ180" s="3"/>
      <c r="BR180" s="3"/>
    </row>
    <row r="181" spans="1:70">
      <c r="A181" s="1" t="s">
        <v>70</v>
      </c>
      <c r="B181" s="1" t="s">
        <v>1269</v>
      </c>
      <c r="C181" s="1" t="s">
        <v>3792</v>
      </c>
      <c r="D181" s="1" t="s">
        <v>3793</v>
      </c>
      <c r="E181" s="1" t="s">
        <v>533</v>
      </c>
      <c r="F181" s="1" t="s">
        <v>1546</v>
      </c>
      <c r="G181" s="1" t="s">
        <v>3794</v>
      </c>
      <c r="H181" s="1" t="s">
        <v>3795</v>
      </c>
      <c r="I181" s="1" t="s">
        <v>3796</v>
      </c>
      <c r="J181" s="1">
        <v>9172128006</v>
      </c>
      <c r="K181" s="1" t="s">
        <v>79</v>
      </c>
      <c r="L181" s="1" t="s">
        <v>2028</v>
      </c>
      <c r="M181" s="1" t="s">
        <v>81</v>
      </c>
      <c r="N181" s="1" t="s">
        <v>3187</v>
      </c>
      <c r="O181" s="1"/>
      <c r="P181" s="1" t="s">
        <v>1298</v>
      </c>
      <c r="Q181" s="1" t="s">
        <v>3797</v>
      </c>
      <c r="R181" s="1" t="s">
        <v>3798</v>
      </c>
      <c r="S181" s="1">
        <v>9423164910</v>
      </c>
      <c r="T181" s="1" t="s">
        <v>377</v>
      </c>
      <c r="U181" s="1" t="s">
        <v>3799</v>
      </c>
      <c r="V181" s="1">
        <v>9604786901</v>
      </c>
      <c r="W181" s="1" t="s">
        <v>89</v>
      </c>
      <c r="X181" s="1" t="s">
        <v>3800</v>
      </c>
      <c r="Y181" s="1" t="s">
        <v>523</v>
      </c>
      <c r="Z181" s="1" t="s">
        <v>92</v>
      </c>
      <c r="AA181" s="1" t="s">
        <v>3800</v>
      </c>
      <c r="AB181" s="1" t="s">
        <v>523</v>
      </c>
      <c r="AC181" s="1" t="s">
        <v>92</v>
      </c>
      <c r="AD181" s="1" t="s">
        <v>93</v>
      </c>
      <c r="AE181" s="1" t="s">
        <v>93</v>
      </c>
      <c r="AF181" s="1" t="s">
        <v>3801</v>
      </c>
      <c r="AG181" s="1" t="s">
        <v>3476</v>
      </c>
      <c r="AH181" s="1" t="s">
        <v>101</v>
      </c>
      <c r="AI181" s="1" t="s">
        <v>409</v>
      </c>
      <c r="AJ181" s="1">
        <v>82.8</v>
      </c>
      <c r="AK181" s="1"/>
      <c r="AL181" s="1" t="s">
        <v>3802</v>
      </c>
      <c r="AM181" s="1" t="s">
        <v>3476</v>
      </c>
      <c r="AN181" s="1" t="s">
        <v>433</v>
      </c>
      <c r="AO181" s="1" t="s">
        <v>1712</v>
      </c>
      <c r="AP181" s="1">
        <v>84.17</v>
      </c>
      <c r="AQ181" s="1"/>
      <c r="AR181" s="1"/>
      <c r="AS181" s="1"/>
      <c r="AT181" s="1"/>
      <c r="AU181" s="1"/>
      <c r="AV181" s="1"/>
      <c r="AW181" s="1"/>
      <c r="AX181" s="1" t="s">
        <v>3803</v>
      </c>
      <c r="AY181" s="1" t="s">
        <v>3804</v>
      </c>
      <c r="AZ181" s="1" t="s">
        <v>897</v>
      </c>
      <c r="BA181" s="1" t="s">
        <v>1714</v>
      </c>
      <c r="BB181" s="1">
        <v>69</v>
      </c>
      <c r="BC181" s="1">
        <v>7.4</v>
      </c>
      <c r="BD181" s="1"/>
      <c r="BE181" s="1"/>
      <c r="BF181" s="1"/>
      <c r="BG181" s="1"/>
      <c r="BH181" s="1"/>
      <c r="BI181" s="1"/>
      <c r="BJ181" s="1" t="s">
        <v>1715</v>
      </c>
      <c r="BK181" s="1"/>
      <c r="BL181" s="1"/>
      <c r="BM181" s="1" t="s">
        <v>3805</v>
      </c>
      <c r="BN181" s="1">
        <v>8</v>
      </c>
      <c r="BO181" s="1"/>
      <c r="BP181" s="1" t="str">
        <f>HYPERLINK("https://nconnect.nicmar.ac.in/storage/profile/ProfilePhoto_P25700121_694527.jpg","Download")</f>
        <v>0</v>
      </c>
      <c r="BQ181" s="3"/>
      <c r="BR181" s="3"/>
    </row>
    <row r="182" spans="1:70">
      <c r="A182" s="1" t="s">
        <v>70</v>
      </c>
      <c r="B182" s="1" t="s">
        <v>1269</v>
      </c>
      <c r="C182" s="1" t="s">
        <v>3806</v>
      </c>
      <c r="D182" s="1" t="s">
        <v>3807</v>
      </c>
      <c r="E182" s="1" t="s">
        <v>1390</v>
      </c>
      <c r="F182" s="1" t="s">
        <v>3808</v>
      </c>
      <c r="G182" s="1" t="s">
        <v>3809</v>
      </c>
      <c r="H182" s="1" t="s">
        <v>3810</v>
      </c>
      <c r="I182" s="1" t="s">
        <v>3811</v>
      </c>
      <c r="J182" s="1">
        <v>7204112797</v>
      </c>
      <c r="K182" s="1" t="s">
        <v>148</v>
      </c>
      <c r="L182" s="1" t="s">
        <v>3812</v>
      </c>
      <c r="M182" s="1" t="s">
        <v>81</v>
      </c>
      <c r="N182" s="1" t="s">
        <v>2433</v>
      </c>
      <c r="O182" s="1"/>
      <c r="P182" s="1" t="s">
        <v>1323</v>
      </c>
      <c r="Q182" s="1" t="s">
        <v>3813</v>
      </c>
      <c r="R182" s="1" t="s">
        <v>3814</v>
      </c>
      <c r="S182" s="1">
        <v>9741530797</v>
      </c>
      <c r="T182" s="1" t="s">
        <v>3815</v>
      </c>
      <c r="U182" s="1" t="s">
        <v>3816</v>
      </c>
      <c r="V182" s="1">
        <v>9663432156</v>
      </c>
      <c r="W182" s="1" t="s">
        <v>273</v>
      </c>
      <c r="X182" s="1" t="s">
        <v>3817</v>
      </c>
      <c r="Y182" s="1" t="s">
        <v>3818</v>
      </c>
      <c r="Z182" s="1" t="s">
        <v>1084</v>
      </c>
      <c r="AA182" s="1" t="s">
        <v>3817</v>
      </c>
      <c r="AB182" s="1" t="s">
        <v>3818</v>
      </c>
      <c r="AC182" s="1" t="s">
        <v>1084</v>
      </c>
      <c r="AD182" s="1">
        <v>8.44</v>
      </c>
      <c r="AE182" s="1" t="s">
        <v>93</v>
      </c>
      <c r="AF182" s="1" t="s">
        <v>3819</v>
      </c>
      <c r="AG182" s="1" t="s">
        <v>307</v>
      </c>
      <c r="AH182" s="1" t="s">
        <v>165</v>
      </c>
      <c r="AI182" s="1" t="s">
        <v>166</v>
      </c>
      <c r="AJ182" s="1">
        <v>74.2</v>
      </c>
      <c r="AK182" s="1"/>
      <c r="AL182" s="1" t="s">
        <v>3820</v>
      </c>
      <c r="AM182" s="1" t="s">
        <v>3821</v>
      </c>
      <c r="AN182" s="1" t="s">
        <v>409</v>
      </c>
      <c r="AO182" s="1" t="s">
        <v>941</v>
      </c>
      <c r="AP182" s="1">
        <v>87.33</v>
      </c>
      <c r="AQ182" s="1"/>
      <c r="AR182" s="1"/>
      <c r="AS182" s="1"/>
      <c r="AT182" s="1"/>
      <c r="AU182" s="1"/>
      <c r="AV182" s="1"/>
      <c r="AW182" s="1"/>
      <c r="AX182" s="1" t="s">
        <v>3822</v>
      </c>
      <c r="AY182" s="1" t="s">
        <v>3823</v>
      </c>
      <c r="AZ182" s="1" t="s">
        <v>363</v>
      </c>
      <c r="BA182" s="1" t="s">
        <v>202</v>
      </c>
      <c r="BB182" s="1">
        <v>66.4</v>
      </c>
      <c r="BC182" s="1">
        <v>7.39</v>
      </c>
      <c r="BD182" s="1"/>
      <c r="BE182" s="1"/>
      <c r="BF182" s="1"/>
      <c r="BG182" s="1"/>
      <c r="BH182" s="1"/>
      <c r="BI182" s="1"/>
      <c r="BJ182" s="1" t="s">
        <v>3824</v>
      </c>
      <c r="BK182" s="1"/>
      <c r="BL182" s="1"/>
      <c r="BM182" s="1" t="s">
        <v>3825</v>
      </c>
      <c r="BN182" s="1">
        <v>8</v>
      </c>
      <c r="BO182" s="1"/>
      <c r="BP182" s="1" t="str">
        <f>HYPERLINK("https://nconnect.nicmar.ac.in/storage/profile/ProfilePhoto_P25700122_231978.jpg","Download")</f>
        <v>0</v>
      </c>
      <c r="BQ182" s="3"/>
      <c r="BR182" s="3"/>
    </row>
    <row r="183" spans="1:70">
      <c r="A183" s="1" t="s">
        <v>70</v>
      </c>
      <c r="B183" s="1" t="s">
        <v>1269</v>
      </c>
      <c r="C183" s="1" t="s">
        <v>3826</v>
      </c>
      <c r="D183" s="1" t="s">
        <v>3827</v>
      </c>
      <c r="E183" s="1"/>
      <c r="F183" s="1" t="s">
        <v>3828</v>
      </c>
      <c r="G183" s="1" t="s">
        <v>3829</v>
      </c>
      <c r="H183" s="1" t="s">
        <v>3830</v>
      </c>
      <c r="I183" s="1" t="s">
        <v>3831</v>
      </c>
      <c r="J183" s="1">
        <v>9502943943</v>
      </c>
      <c r="K183" s="1" t="s">
        <v>148</v>
      </c>
      <c r="L183" s="1" t="s">
        <v>3832</v>
      </c>
      <c r="M183" s="1" t="s">
        <v>81</v>
      </c>
      <c r="N183" s="1" t="s">
        <v>3833</v>
      </c>
      <c r="O183" s="1"/>
      <c r="P183" s="1" t="s">
        <v>1323</v>
      </c>
      <c r="Q183" s="1" t="s">
        <v>3834</v>
      </c>
      <c r="R183" s="1" t="s">
        <v>3835</v>
      </c>
      <c r="S183" s="1">
        <v>9440805093</v>
      </c>
      <c r="T183" s="1" t="s">
        <v>87</v>
      </c>
      <c r="U183" s="1" t="s">
        <v>3836</v>
      </c>
      <c r="V183" s="1">
        <v>9908344785</v>
      </c>
      <c r="W183" s="1" t="s">
        <v>651</v>
      </c>
      <c r="X183" s="1" t="s">
        <v>3837</v>
      </c>
      <c r="Y183" s="1" t="s">
        <v>608</v>
      </c>
      <c r="Z183" s="1" t="s">
        <v>609</v>
      </c>
      <c r="AA183" s="1" t="s">
        <v>3837</v>
      </c>
      <c r="AB183" s="1" t="s">
        <v>608</v>
      </c>
      <c r="AC183" s="1" t="s">
        <v>609</v>
      </c>
      <c r="AD183" s="1">
        <v>8.74</v>
      </c>
      <c r="AE183" s="1" t="s">
        <v>93</v>
      </c>
      <c r="AF183" s="1" t="s">
        <v>3838</v>
      </c>
      <c r="AG183" s="1" t="s">
        <v>1285</v>
      </c>
      <c r="AH183" s="1" t="s">
        <v>337</v>
      </c>
      <c r="AI183" s="1" t="s">
        <v>456</v>
      </c>
      <c r="AJ183" s="1">
        <v>98</v>
      </c>
      <c r="AK183" s="1">
        <v>9.8</v>
      </c>
      <c r="AL183" s="1" t="s">
        <v>612</v>
      </c>
      <c r="AM183" s="1" t="s">
        <v>613</v>
      </c>
      <c r="AN183" s="1" t="s">
        <v>165</v>
      </c>
      <c r="AO183" s="1" t="s">
        <v>1307</v>
      </c>
      <c r="AP183" s="1">
        <v>90</v>
      </c>
      <c r="AQ183" s="1"/>
      <c r="AR183" s="1"/>
      <c r="AS183" s="1"/>
      <c r="AT183" s="1"/>
      <c r="AU183" s="1"/>
      <c r="AV183" s="1"/>
      <c r="AW183" s="1"/>
      <c r="AX183" s="1" t="s">
        <v>811</v>
      </c>
      <c r="AY183" s="1" t="s">
        <v>3839</v>
      </c>
      <c r="AZ183" s="1" t="s">
        <v>636</v>
      </c>
      <c r="BA183" s="1" t="s">
        <v>1003</v>
      </c>
      <c r="BB183" s="1">
        <v>67.04</v>
      </c>
      <c r="BC183" s="1">
        <v>7.04</v>
      </c>
      <c r="BD183" s="1"/>
      <c r="BE183" s="1"/>
      <c r="BF183" s="1"/>
      <c r="BG183" s="1"/>
      <c r="BH183" s="1"/>
      <c r="BI183" s="1"/>
      <c r="BJ183" s="1" t="s">
        <v>3840</v>
      </c>
      <c r="BK183" s="1"/>
      <c r="BL183" s="1"/>
      <c r="BM183" s="1" t="s">
        <v>3841</v>
      </c>
      <c r="BN183" s="1">
        <v>36</v>
      </c>
      <c r="BO183" s="1"/>
      <c r="BP183" s="1" t="str">
        <f>HYPERLINK("https://nconnect.nicmar.ac.in/storage/profile/ProfilePhoto_P25700123_419637.jpg","Download")</f>
        <v>0</v>
      </c>
      <c r="BQ183" s="3"/>
      <c r="BR183" s="3"/>
    </row>
    <row r="184" spans="1:70">
      <c r="A184" s="1" t="s">
        <v>70</v>
      </c>
      <c r="B184" s="1" t="s">
        <v>1269</v>
      </c>
      <c r="C184" s="1" t="s">
        <v>3842</v>
      </c>
      <c r="D184" s="1" t="s">
        <v>3843</v>
      </c>
      <c r="E184" s="1" t="s">
        <v>970</v>
      </c>
      <c r="F184" s="1" t="s">
        <v>513</v>
      </c>
      <c r="G184" s="1" t="s">
        <v>3844</v>
      </c>
      <c r="H184" s="1" t="s">
        <v>3845</v>
      </c>
      <c r="I184" s="1" t="s">
        <v>3846</v>
      </c>
      <c r="J184" s="1">
        <v>9309161835</v>
      </c>
      <c r="K184" s="1" t="s">
        <v>148</v>
      </c>
      <c r="L184" s="1" t="s">
        <v>1970</v>
      </c>
      <c r="M184" s="1" t="s">
        <v>81</v>
      </c>
      <c r="N184" s="1" t="s">
        <v>3847</v>
      </c>
      <c r="O184" s="1"/>
      <c r="P184" s="1" t="s">
        <v>1766</v>
      </c>
      <c r="Q184" s="1" t="s">
        <v>3848</v>
      </c>
      <c r="R184" s="1" t="s">
        <v>3849</v>
      </c>
      <c r="S184" s="1">
        <v>9423550172</v>
      </c>
      <c r="T184" s="1" t="s">
        <v>154</v>
      </c>
      <c r="U184" s="1" t="s">
        <v>3850</v>
      </c>
      <c r="V184" s="1">
        <v>7378732829</v>
      </c>
      <c r="W184" s="1" t="s">
        <v>2492</v>
      </c>
      <c r="X184" s="1" t="s">
        <v>3851</v>
      </c>
      <c r="Y184" s="1" t="s">
        <v>1174</v>
      </c>
      <c r="Z184" s="1" t="s">
        <v>92</v>
      </c>
      <c r="AA184" s="1" t="s">
        <v>3851</v>
      </c>
      <c r="AB184" s="1" t="s">
        <v>1174</v>
      </c>
      <c r="AC184" s="1" t="s">
        <v>92</v>
      </c>
      <c r="AD184" s="1">
        <v>8.64</v>
      </c>
      <c r="AE184" s="1" t="s">
        <v>93</v>
      </c>
      <c r="AF184" s="1" t="s">
        <v>3852</v>
      </c>
      <c r="AG184" s="1" t="s">
        <v>3853</v>
      </c>
      <c r="AH184" s="1" t="s">
        <v>165</v>
      </c>
      <c r="AI184" s="1" t="s">
        <v>281</v>
      </c>
      <c r="AJ184" s="1">
        <v>92</v>
      </c>
      <c r="AK184" s="1"/>
      <c r="AL184" s="1" t="s">
        <v>3854</v>
      </c>
      <c r="AM184" s="1" t="s">
        <v>3853</v>
      </c>
      <c r="AN184" s="1" t="s">
        <v>433</v>
      </c>
      <c r="AO184" s="1" t="s">
        <v>360</v>
      </c>
      <c r="AP184" s="1">
        <v>80</v>
      </c>
      <c r="AQ184" s="1"/>
      <c r="AR184" s="1"/>
      <c r="AS184" s="1"/>
      <c r="AT184" s="1"/>
      <c r="AU184" s="1"/>
      <c r="AV184" s="1"/>
      <c r="AW184" s="1"/>
      <c r="AX184" s="1" t="s">
        <v>361</v>
      </c>
      <c r="AY184" s="1" t="s">
        <v>3855</v>
      </c>
      <c r="AZ184" s="1" t="s">
        <v>360</v>
      </c>
      <c r="BA184" s="1" t="s">
        <v>702</v>
      </c>
      <c r="BB184" s="1">
        <v>76.64</v>
      </c>
      <c r="BC184" s="1">
        <v>8.47</v>
      </c>
      <c r="BD184" s="1"/>
      <c r="BE184" s="1"/>
      <c r="BF184" s="1"/>
      <c r="BG184" s="1"/>
      <c r="BH184" s="1"/>
      <c r="BI184" s="1"/>
      <c r="BJ184" s="1" t="s">
        <v>1777</v>
      </c>
      <c r="BK184" s="1"/>
      <c r="BL184" s="1"/>
      <c r="BM184" s="1" t="s">
        <v>3856</v>
      </c>
      <c r="BN184" s="1">
        <v>4</v>
      </c>
      <c r="BO184" s="1"/>
      <c r="BP184" s="1" t="str">
        <f>HYPERLINK("https://nconnect.nicmar.ac.in/storage/profile/ProfilePhoto_P25700124_567432.jpg","Download")</f>
        <v>0</v>
      </c>
      <c r="BQ184" s="3"/>
      <c r="BR184" s="3"/>
    </row>
    <row r="185" spans="1:70">
      <c r="A185" s="1" t="s">
        <v>70</v>
      </c>
      <c r="B185" s="1" t="s">
        <v>1269</v>
      </c>
      <c r="C185" s="1" t="s">
        <v>3857</v>
      </c>
      <c r="D185" s="1" t="s">
        <v>1808</v>
      </c>
      <c r="E185" s="1" t="s">
        <v>3858</v>
      </c>
      <c r="F185" s="1" t="s">
        <v>3859</v>
      </c>
      <c r="G185" s="1" t="s">
        <v>3860</v>
      </c>
      <c r="H185" s="1" t="s">
        <v>3861</v>
      </c>
      <c r="I185" s="1" t="s">
        <v>3862</v>
      </c>
      <c r="J185" s="1">
        <v>9029189774</v>
      </c>
      <c r="K185" s="1" t="s">
        <v>148</v>
      </c>
      <c r="L185" s="1" t="s">
        <v>3863</v>
      </c>
      <c r="M185" s="1" t="s">
        <v>81</v>
      </c>
      <c r="N185" s="1" t="s">
        <v>3864</v>
      </c>
      <c r="O185" s="1"/>
      <c r="P185" s="1" t="s">
        <v>1298</v>
      </c>
      <c r="Q185" s="1" t="s">
        <v>3865</v>
      </c>
      <c r="R185" s="1" t="s">
        <v>3866</v>
      </c>
      <c r="S185" s="1">
        <v>9221309375</v>
      </c>
      <c r="T185" s="1" t="s">
        <v>3867</v>
      </c>
      <c r="U185" s="1" t="s">
        <v>3868</v>
      </c>
      <c r="V185" s="1">
        <v>9321451544</v>
      </c>
      <c r="W185" s="1" t="s">
        <v>156</v>
      </c>
      <c r="X185" s="1" t="s">
        <v>3869</v>
      </c>
      <c r="Y185" s="1" t="s">
        <v>1623</v>
      </c>
      <c r="Z185" s="1" t="s">
        <v>92</v>
      </c>
      <c r="AA185" s="1" t="s">
        <v>3869</v>
      </c>
      <c r="AB185" s="1" t="s">
        <v>1623</v>
      </c>
      <c r="AC185" s="1" t="s">
        <v>92</v>
      </c>
      <c r="AD185" s="1">
        <v>7.73</v>
      </c>
      <c r="AE185" s="1" t="s">
        <v>93</v>
      </c>
      <c r="AF185" s="1" t="s">
        <v>3870</v>
      </c>
      <c r="AG185" s="1" t="s">
        <v>160</v>
      </c>
      <c r="AH185" s="1" t="s">
        <v>161</v>
      </c>
      <c r="AI185" s="1" t="s">
        <v>456</v>
      </c>
      <c r="AJ185" s="1">
        <v>78.4</v>
      </c>
      <c r="AK185" s="1"/>
      <c r="AL185" s="1"/>
      <c r="AM185" s="1"/>
      <c r="AN185" s="1"/>
      <c r="AO185" s="1"/>
      <c r="AP185" s="1"/>
      <c r="AQ185" s="1"/>
      <c r="AR185" s="1" t="s">
        <v>434</v>
      </c>
      <c r="AS185" s="1" t="s">
        <v>2767</v>
      </c>
      <c r="AT185" s="1" t="s">
        <v>134</v>
      </c>
      <c r="AU185" s="1" t="s">
        <v>433</v>
      </c>
      <c r="AV185" s="1">
        <v>73.93</v>
      </c>
      <c r="AW185" s="1">
        <v>7.78</v>
      </c>
      <c r="AX185" s="1" t="s">
        <v>253</v>
      </c>
      <c r="AY185" s="1" t="s">
        <v>3871</v>
      </c>
      <c r="AZ185" s="1" t="s">
        <v>201</v>
      </c>
      <c r="BA185" s="1" t="s">
        <v>105</v>
      </c>
      <c r="BB185" s="1">
        <v>73.52</v>
      </c>
      <c r="BC185" s="1">
        <v>8.42</v>
      </c>
      <c r="BD185" s="1"/>
      <c r="BE185" s="1"/>
      <c r="BF185" s="1"/>
      <c r="BG185" s="1"/>
      <c r="BH185" s="1"/>
      <c r="BI185" s="1"/>
      <c r="BJ185" s="1" t="s">
        <v>3872</v>
      </c>
      <c r="BK185" s="1" t="s">
        <v>3873</v>
      </c>
      <c r="BL185" s="1" t="s">
        <v>2186</v>
      </c>
      <c r="BM185" s="1" t="s">
        <v>3874</v>
      </c>
      <c r="BN185" s="1">
        <v>60</v>
      </c>
      <c r="BO185" s="1" t="s">
        <v>3875</v>
      </c>
      <c r="BP185" s="1" t="str">
        <f>HYPERLINK("https://nconnect.nicmar.ac.in/storage/profile/ProfilePhoto_P25700125_234987.jpg","Download")</f>
        <v>0</v>
      </c>
      <c r="BQ185" s="3"/>
      <c r="BR185" s="3"/>
    </row>
    <row r="186" spans="1:70">
      <c r="A186" s="1" t="s">
        <v>70</v>
      </c>
      <c r="B186" s="1" t="s">
        <v>1269</v>
      </c>
      <c r="C186" s="1" t="s">
        <v>3876</v>
      </c>
      <c r="D186" s="1" t="s">
        <v>3877</v>
      </c>
      <c r="E186" s="1"/>
      <c r="F186" s="1" t="s">
        <v>3878</v>
      </c>
      <c r="G186" s="1" t="s">
        <v>3879</v>
      </c>
      <c r="H186" s="1" t="s">
        <v>3880</v>
      </c>
      <c r="I186" s="1" t="s">
        <v>3881</v>
      </c>
      <c r="J186" s="1">
        <v>7095626628</v>
      </c>
      <c r="K186" s="1" t="s">
        <v>148</v>
      </c>
      <c r="L186" s="1" t="s">
        <v>3882</v>
      </c>
      <c r="M186" s="1" t="s">
        <v>81</v>
      </c>
      <c r="N186" s="1" t="s">
        <v>3883</v>
      </c>
      <c r="O186" s="1"/>
      <c r="P186" s="1" t="s">
        <v>1278</v>
      </c>
      <c r="Q186" s="1" t="s">
        <v>3884</v>
      </c>
      <c r="R186" s="1" t="s">
        <v>3885</v>
      </c>
      <c r="S186" s="1">
        <v>7569920980</v>
      </c>
      <c r="T186" s="1" t="s">
        <v>3886</v>
      </c>
      <c r="U186" s="1" t="s">
        <v>3887</v>
      </c>
      <c r="V186" s="1">
        <v>9505935783</v>
      </c>
      <c r="W186" s="1" t="s">
        <v>3888</v>
      </c>
      <c r="X186" s="1" t="s">
        <v>3889</v>
      </c>
      <c r="Y186" s="1" t="s">
        <v>3890</v>
      </c>
      <c r="Z186" s="1" t="s">
        <v>276</v>
      </c>
      <c r="AA186" s="1" t="s">
        <v>3891</v>
      </c>
      <c r="AB186" s="1" t="s">
        <v>3890</v>
      </c>
      <c r="AC186" s="1" t="s">
        <v>276</v>
      </c>
      <c r="AD186" s="1">
        <v>9.13</v>
      </c>
      <c r="AE186" s="1" t="s">
        <v>93</v>
      </c>
      <c r="AF186" s="1" t="s">
        <v>3892</v>
      </c>
      <c r="AG186" s="1" t="s">
        <v>3118</v>
      </c>
      <c r="AH186" s="1" t="s">
        <v>165</v>
      </c>
      <c r="AI186" s="1" t="s">
        <v>1307</v>
      </c>
      <c r="AJ186" s="1">
        <v>97</v>
      </c>
      <c r="AK186" s="1">
        <v>9.7</v>
      </c>
      <c r="AL186" s="1"/>
      <c r="AM186" s="1"/>
      <c r="AN186" s="1"/>
      <c r="AO186" s="1"/>
      <c r="AP186" s="1"/>
      <c r="AQ186" s="1"/>
      <c r="AR186" s="1" t="s">
        <v>98</v>
      </c>
      <c r="AS186" s="1" t="s">
        <v>3893</v>
      </c>
      <c r="AT186" s="1" t="s">
        <v>101</v>
      </c>
      <c r="AU186" s="1" t="s">
        <v>3081</v>
      </c>
      <c r="AV186" s="1">
        <v>90.15</v>
      </c>
      <c r="AW186" s="1"/>
      <c r="AX186" s="1" t="s">
        <v>3894</v>
      </c>
      <c r="AY186" s="1" t="s">
        <v>3895</v>
      </c>
      <c r="AZ186" s="1" t="s">
        <v>897</v>
      </c>
      <c r="BA186" s="1" t="s">
        <v>702</v>
      </c>
      <c r="BB186" s="1">
        <v>81.3</v>
      </c>
      <c r="BC186" s="1">
        <v>8.88</v>
      </c>
      <c r="BD186" s="1"/>
      <c r="BE186" s="1"/>
      <c r="BF186" s="1"/>
      <c r="BG186" s="1"/>
      <c r="BH186" s="1"/>
      <c r="BI186" s="1"/>
      <c r="BJ186" s="1" t="s">
        <v>3896</v>
      </c>
      <c r="BK186" s="1"/>
      <c r="BL186" s="1"/>
      <c r="BM186" s="1" t="s">
        <v>3897</v>
      </c>
      <c r="BN186" s="1">
        <v>41</v>
      </c>
      <c r="BO186" s="1"/>
      <c r="BP186" s="1" t="str">
        <f>HYPERLINK("https://nconnect.nicmar.ac.in/storage/profile/ProfilePhoto_P25700126_934175.jpg","Download")</f>
        <v>0</v>
      </c>
      <c r="BQ186" s="3"/>
      <c r="BR186" s="3"/>
    </row>
    <row r="187" spans="1:70">
      <c r="A187" s="1" t="s">
        <v>70</v>
      </c>
      <c r="B187" s="1" t="s">
        <v>1269</v>
      </c>
      <c r="C187" s="1" t="s">
        <v>3898</v>
      </c>
      <c r="D187" s="1" t="s">
        <v>3899</v>
      </c>
      <c r="E187" s="1" t="s">
        <v>3900</v>
      </c>
      <c r="F187" s="1" t="s">
        <v>3901</v>
      </c>
      <c r="G187" s="1" t="s">
        <v>3902</v>
      </c>
      <c r="H187" s="1" t="s">
        <v>3903</v>
      </c>
      <c r="I187" s="1" t="s">
        <v>3904</v>
      </c>
      <c r="J187" s="1">
        <v>7385732663</v>
      </c>
      <c r="K187" s="1" t="s">
        <v>148</v>
      </c>
      <c r="L187" s="1" t="s">
        <v>3905</v>
      </c>
      <c r="M187" s="1" t="s">
        <v>81</v>
      </c>
      <c r="N187" s="1" t="s">
        <v>2008</v>
      </c>
      <c r="O187" s="1"/>
      <c r="P187" s="1" t="s">
        <v>1766</v>
      </c>
      <c r="Q187" s="1" t="s">
        <v>3906</v>
      </c>
      <c r="R187" s="1" t="s">
        <v>3907</v>
      </c>
      <c r="S187" s="1">
        <v>9359165126</v>
      </c>
      <c r="T187" s="1" t="s">
        <v>3908</v>
      </c>
      <c r="U187" s="1" t="s">
        <v>3909</v>
      </c>
      <c r="V187" s="1">
        <v>9021172362</v>
      </c>
      <c r="W187" s="1" t="s">
        <v>2395</v>
      </c>
      <c r="X187" s="1" t="s">
        <v>3910</v>
      </c>
      <c r="Y187" s="1" t="s">
        <v>405</v>
      </c>
      <c r="Z187" s="1" t="s">
        <v>92</v>
      </c>
      <c r="AA187" s="1" t="s">
        <v>3910</v>
      </c>
      <c r="AB187" s="1" t="s">
        <v>405</v>
      </c>
      <c r="AC187" s="1" t="s">
        <v>92</v>
      </c>
      <c r="AD187" s="1">
        <v>8.92</v>
      </c>
      <c r="AE187" s="1" t="s">
        <v>93</v>
      </c>
      <c r="AF187" s="1" t="s">
        <v>3911</v>
      </c>
      <c r="AG187" s="1" t="s">
        <v>939</v>
      </c>
      <c r="AH187" s="1" t="s">
        <v>3912</v>
      </c>
      <c r="AI187" s="1" t="s">
        <v>165</v>
      </c>
      <c r="AJ187" s="1">
        <v>82.2</v>
      </c>
      <c r="AK187" s="1">
        <v>9</v>
      </c>
      <c r="AL187" s="1" t="s">
        <v>3913</v>
      </c>
      <c r="AM187" s="1" t="s">
        <v>3154</v>
      </c>
      <c r="AN187" s="1" t="s">
        <v>433</v>
      </c>
      <c r="AO187" s="1" t="s">
        <v>360</v>
      </c>
      <c r="AP187" s="1">
        <v>66.31</v>
      </c>
      <c r="AQ187" s="1"/>
      <c r="AR187" s="1"/>
      <c r="AS187" s="1"/>
      <c r="AT187" s="1"/>
      <c r="AU187" s="1"/>
      <c r="AV187" s="1"/>
      <c r="AW187" s="1"/>
      <c r="AX187" s="1" t="s">
        <v>410</v>
      </c>
      <c r="AY187" s="1" t="s">
        <v>3914</v>
      </c>
      <c r="AZ187" s="1" t="s">
        <v>699</v>
      </c>
      <c r="BA187" s="1" t="s">
        <v>1408</v>
      </c>
      <c r="BB187" s="1">
        <v>68.1</v>
      </c>
      <c r="BC187" s="1">
        <v>7.56</v>
      </c>
      <c r="BD187" s="1"/>
      <c r="BE187" s="1"/>
      <c r="BF187" s="1"/>
      <c r="BG187" s="1"/>
      <c r="BH187" s="1"/>
      <c r="BI187" s="1"/>
      <c r="BJ187" s="1" t="s">
        <v>3915</v>
      </c>
      <c r="BK187" s="1"/>
      <c r="BL187" s="1"/>
      <c r="BM187" s="1" t="s">
        <v>3916</v>
      </c>
      <c r="BN187" s="1">
        <v>15</v>
      </c>
      <c r="BO187" s="1" t="s">
        <v>3917</v>
      </c>
      <c r="BP187" s="1" t="str">
        <f>HYPERLINK("https://nconnect.nicmar.ac.in/storage/profile/ProfilePhoto_P25700127_184296.jpg","Download")</f>
        <v>0</v>
      </c>
      <c r="BQ187" s="3"/>
      <c r="BR187" s="3"/>
    </row>
    <row r="188" spans="1:70">
      <c r="A188" s="1" t="s">
        <v>70</v>
      </c>
      <c r="B188" s="1" t="s">
        <v>1269</v>
      </c>
      <c r="C188" s="1" t="s">
        <v>3918</v>
      </c>
      <c r="D188" s="1" t="s">
        <v>3919</v>
      </c>
      <c r="E188" s="1"/>
      <c r="F188" s="1" t="s">
        <v>3920</v>
      </c>
      <c r="G188" s="1" t="s">
        <v>3921</v>
      </c>
      <c r="H188" s="1" t="s">
        <v>3922</v>
      </c>
      <c r="I188" s="1" t="s">
        <v>3923</v>
      </c>
      <c r="J188" s="1">
        <v>9606501819</v>
      </c>
      <c r="K188" s="1" t="s">
        <v>148</v>
      </c>
      <c r="L188" s="1" t="s">
        <v>3924</v>
      </c>
      <c r="M188" s="1" t="s">
        <v>81</v>
      </c>
      <c r="N188" s="1" t="s">
        <v>3925</v>
      </c>
      <c r="O188" s="1"/>
      <c r="P188" s="1" t="s">
        <v>1278</v>
      </c>
      <c r="Q188" s="1" t="s">
        <v>3926</v>
      </c>
      <c r="R188" s="1" t="s">
        <v>3927</v>
      </c>
      <c r="S188" s="1">
        <v>9972894585</v>
      </c>
      <c r="T188" s="1" t="s">
        <v>3928</v>
      </c>
      <c r="U188" s="1" t="s">
        <v>3929</v>
      </c>
      <c r="V188" s="1">
        <v>9980537861</v>
      </c>
      <c r="W188" s="1" t="s">
        <v>3930</v>
      </c>
      <c r="X188" s="1" t="s">
        <v>3931</v>
      </c>
      <c r="Y188" s="1" t="s">
        <v>1083</v>
      </c>
      <c r="Z188" s="1" t="s">
        <v>1084</v>
      </c>
      <c r="AA188" s="1" t="s">
        <v>3931</v>
      </c>
      <c r="AB188" s="1" t="s">
        <v>1083</v>
      </c>
      <c r="AC188" s="1" t="s">
        <v>1084</v>
      </c>
      <c r="AD188" s="1">
        <v>9.05</v>
      </c>
      <c r="AE188" s="1" t="s">
        <v>93</v>
      </c>
      <c r="AF188" s="1" t="s">
        <v>3932</v>
      </c>
      <c r="AG188" s="1" t="s">
        <v>2990</v>
      </c>
      <c r="AH188" s="1" t="s">
        <v>161</v>
      </c>
      <c r="AI188" s="1" t="s">
        <v>527</v>
      </c>
      <c r="AJ188" s="1">
        <v>91.5</v>
      </c>
      <c r="AK188" s="1">
        <v>0</v>
      </c>
      <c r="AL188" s="1" t="s">
        <v>3933</v>
      </c>
      <c r="AM188" s="1" t="s">
        <v>2056</v>
      </c>
      <c r="AN188" s="1" t="s">
        <v>165</v>
      </c>
      <c r="AO188" s="1" t="s">
        <v>166</v>
      </c>
      <c r="AP188" s="1">
        <v>93.33</v>
      </c>
      <c r="AQ188" s="1">
        <v>0</v>
      </c>
      <c r="AR188" s="1"/>
      <c r="AS188" s="1"/>
      <c r="AT188" s="1"/>
      <c r="AU188" s="1"/>
      <c r="AV188" s="1"/>
      <c r="AW188" s="1"/>
      <c r="AX188" s="1" t="s">
        <v>1519</v>
      </c>
      <c r="AY188" s="1" t="s">
        <v>3934</v>
      </c>
      <c r="AZ188" s="1" t="s">
        <v>101</v>
      </c>
      <c r="BA188" s="1" t="s">
        <v>229</v>
      </c>
      <c r="BB188" s="1">
        <v>77.9</v>
      </c>
      <c r="BC188" s="1">
        <v>8.54</v>
      </c>
      <c r="BD188" s="1"/>
      <c r="BE188" s="1"/>
      <c r="BF188" s="1"/>
      <c r="BG188" s="1"/>
      <c r="BH188" s="1"/>
      <c r="BI188" s="1"/>
      <c r="BJ188" s="1" t="s">
        <v>3935</v>
      </c>
      <c r="BK188" s="1" t="s">
        <v>3936</v>
      </c>
      <c r="BL188" s="1" t="s">
        <v>1028</v>
      </c>
      <c r="BM188" s="1" t="s">
        <v>3937</v>
      </c>
      <c r="BN188" s="1">
        <v>15</v>
      </c>
      <c r="BO188" s="1"/>
      <c r="BP188" s="1" t="str">
        <f>HYPERLINK("https://nconnect.nicmar.ac.in/storage/profile/ProfilePhoto_P25700128_169427.jpg","Download")</f>
        <v>0</v>
      </c>
      <c r="BQ188" s="3"/>
      <c r="BR188" s="3"/>
    </row>
    <row r="189" spans="1:70">
      <c r="A189" s="1" t="s">
        <v>70</v>
      </c>
      <c r="B189" s="1" t="s">
        <v>1269</v>
      </c>
      <c r="C189" s="1" t="s">
        <v>3938</v>
      </c>
      <c r="D189" s="1" t="s">
        <v>3939</v>
      </c>
      <c r="E189" s="1"/>
      <c r="F189" s="1" t="s">
        <v>3940</v>
      </c>
      <c r="G189" s="1" t="s">
        <v>3941</v>
      </c>
      <c r="H189" s="1" t="s">
        <v>3942</v>
      </c>
      <c r="I189" s="1" t="s">
        <v>3943</v>
      </c>
      <c r="J189" s="1">
        <v>8330872736</v>
      </c>
      <c r="K189" s="1" t="s">
        <v>148</v>
      </c>
      <c r="L189" s="1" t="s">
        <v>3944</v>
      </c>
      <c r="M189" s="1" t="s">
        <v>81</v>
      </c>
      <c r="N189" s="1" t="s">
        <v>3945</v>
      </c>
      <c r="O189" s="1"/>
      <c r="P189" s="1" t="s">
        <v>1278</v>
      </c>
      <c r="Q189" s="1" t="s">
        <v>3946</v>
      </c>
      <c r="R189" s="1" t="s">
        <v>3947</v>
      </c>
      <c r="S189" s="1">
        <v>9447672243</v>
      </c>
      <c r="T189" s="1" t="s">
        <v>3948</v>
      </c>
      <c r="U189" s="1" t="s">
        <v>3949</v>
      </c>
      <c r="V189" s="1">
        <v>8289980736</v>
      </c>
      <c r="W189" s="1" t="s">
        <v>3950</v>
      </c>
      <c r="X189" s="1" t="s">
        <v>3951</v>
      </c>
      <c r="Y189" s="1" t="s">
        <v>2139</v>
      </c>
      <c r="Z189" s="1" t="s">
        <v>125</v>
      </c>
      <c r="AA189" s="1" t="s">
        <v>3951</v>
      </c>
      <c r="AB189" s="1" t="s">
        <v>2139</v>
      </c>
      <c r="AC189" s="1" t="s">
        <v>125</v>
      </c>
      <c r="AD189" s="1">
        <v>8.67</v>
      </c>
      <c r="AE189" s="1" t="s">
        <v>93</v>
      </c>
      <c r="AF189" s="1" t="s">
        <v>3952</v>
      </c>
      <c r="AG189" s="1" t="s">
        <v>3953</v>
      </c>
      <c r="AH189" s="1" t="s">
        <v>101</v>
      </c>
      <c r="AI189" s="1" t="s">
        <v>308</v>
      </c>
      <c r="AJ189" s="1">
        <v>91.6</v>
      </c>
      <c r="AK189" s="1"/>
      <c r="AL189" s="1" t="s">
        <v>3952</v>
      </c>
      <c r="AM189" s="1" t="s">
        <v>3953</v>
      </c>
      <c r="AN189" s="1" t="s">
        <v>699</v>
      </c>
      <c r="AO189" s="1" t="s">
        <v>506</v>
      </c>
      <c r="AP189" s="1">
        <v>85.8</v>
      </c>
      <c r="AQ189" s="1"/>
      <c r="AR189" s="1"/>
      <c r="AS189" s="1"/>
      <c r="AT189" s="1"/>
      <c r="AU189" s="1"/>
      <c r="AV189" s="1"/>
      <c r="AW189" s="1"/>
      <c r="AX189" s="1" t="s">
        <v>132</v>
      </c>
      <c r="AY189" s="1" t="s">
        <v>3954</v>
      </c>
      <c r="AZ189" s="1" t="s">
        <v>1407</v>
      </c>
      <c r="BA189" s="1" t="s">
        <v>1408</v>
      </c>
      <c r="BB189" s="1">
        <v>75</v>
      </c>
      <c r="BC189" s="1">
        <v>7.5</v>
      </c>
      <c r="BD189" s="1"/>
      <c r="BE189" s="1"/>
      <c r="BF189" s="1"/>
      <c r="BG189" s="1"/>
      <c r="BH189" s="1"/>
      <c r="BI189" s="1"/>
      <c r="BJ189" s="1" t="s">
        <v>3955</v>
      </c>
      <c r="BK189" s="1"/>
      <c r="BL189" s="1"/>
      <c r="BM189" s="1" t="s">
        <v>3956</v>
      </c>
      <c r="BN189" s="1">
        <v>10</v>
      </c>
      <c r="BO189" s="1"/>
      <c r="BP189" s="1" t="str">
        <f>HYPERLINK("https://nconnect.nicmar.ac.in/storage/profile/ProfilePhoto_P25700129_792154.jpg","Download")</f>
        <v>0</v>
      </c>
      <c r="BQ189" s="3"/>
      <c r="BR189" s="3"/>
    </row>
    <row r="190" spans="1:70">
      <c r="A190" s="1" t="s">
        <v>70</v>
      </c>
      <c r="B190" s="1" t="s">
        <v>1269</v>
      </c>
      <c r="C190" s="1" t="s">
        <v>3957</v>
      </c>
      <c r="D190" s="1" t="s">
        <v>3958</v>
      </c>
      <c r="E190" s="1" t="s">
        <v>3959</v>
      </c>
      <c r="F190" s="1" t="s">
        <v>3960</v>
      </c>
      <c r="G190" s="1" t="s">
        <v>3961</v>
      </c>
      <c r="H190" s="1" t="s">
        <v>3962</v>
      </c>
      <c r="I190" s="1" t="s">
        <v>3963</v>
      </c>
      <c r="J190" s="1">
        <v>9146478193</v>
      </c>
      <c r="K190" s="1" t="s">
        <v>148</v>
      </c>
      <c r="L190" s="1" t="s">
        <v>3964</v>
      </c>
      <c r="M190" s="1" t="s">
        <v>81</v>
      </c>
      <c r="N190" s="1" t="s">
        <v>1765</v>
      </c>
      <c r="O190" s="1"/>
      <c r="P190" s="1" t="s">
        <v>1323</v>
      </c>
      <c r="Q190" s="1" t="s">
        <v>3965</v>
      </c>
      <c r="R190" s="1" t="s">
        <v>3959</v>
      </c>
      <c r="S190" s="1">
        <v>8999583483</v>
      </c>
      <c r="T190" s="1" t="s">
        <v>122</v>
      </c>
      <c r="U190" s="1" t="s">
        <v>3966</v>
      </c>
      <c r="V190" s="1">
        <v>9561761166</v>
      </c>
      <c r="W190" s="1" t="s">
        <v>156</v>
      </c>
      <c r="X190" s="1" t="s">
        <v>3967</v>
      </c>
      <c r="Y190" s="1" t="s">
        <v>191</v>
      </c>
      <c r="Z190" s="1" t="s">
        <v>92</v>
      </c>
      <c r="AA190" s="1" t="s">
        <v>3968</v>
      </c>
      <c r="AB190" s="1" t="s">
        <v>191</v>
      </c>
      <c r="AC190" s="1" t="s">
        <v>92</v>
      </c>
      <c r="AD190" s="1">
        <v>8.28</v>
      </c>
      <c r="AE190" s="1" t="s">
        <v>93</v>
      </c>
      <c r="AF190" s="1" t="s">
        <v>3969</v>
      </c>
      <c r="AG190" s="1" t="s">
        <v>3970</v>
      </c>
      <c r="AH190" s="1" t="s">
        <v>162</v>
      </c>
      <c r="AI190" s="1" t="s">
        <v>195</v>
      </c>
      <c r="AJ190" s="1">
        <v>83</v>
      </c>
      <c r="AK190" s="1"/>
      <c r="AL190" s="1" t="s">
        <v>3971</v>
      </c>
      <c r="AM190" s="1" t="s">
        <v>3970</v>
      </c>
      <c r="AN190" s="1" t="s">
        <v>101</v>
      </c>
      <c r="AO190" s="1" t="s">
        <v>198</v>
      </c>
      <c r="AP190" s="1">
        <v>61.69</v>
      </c>
      <c r="AQ190" s="1"/>
      <c r="AR190" s="1"/>
      <c r="AS190" s="1"/>
      <c r="AT190" s="1"/>
      <c r="AU190" s="1"/>
      <c r="AV190" s="1"/>
      <c r="AW190" s="1"/>
      <c r="AX190" s="1" t="s">
        <v>3972</v>
      </c>
      <c r="AY190" s="1" t="s">
        <v>3973</v>
      </c>
      <c r="AZ190" s="1" t="s">
        <v>433</v>
      </c>
      <c r="BA190" s="1" t="s">
        <v>202</v>
      </c>
      <c r="BB190" s="1">
        <v>64</v>
      </c>
      <c r="BC190" s="1">
        <v>7.15</v>
      </c>
      <c r="BD190" s="1"/>
      <c r="BE190" s="1"/>
      <c r="BF190" s="1"/>
      <c r="BG190" s="1"/>
      <c r="BH190" s="1"/>
      <c r="BI190" s="1"/>
      <c r="BJ190" s="1" t="s">
        <v>3974</v>
      </c>
      <c r="BK190" s="1"/>
      <c r="BL190" s="1"/>
      <c r="BM190" s="1" t="s">
        <v>3975</v>
      </c>
      <c r="BN190" s="1">
        <v>21</v>
      </c>
      <c r="BO190" s="1"/>
      <c r="BP190" s="1" t="str">
        <f>HYPERLINK("https://nconnect.nicmar.ac.in/storage/profile/ProfilePhoto_P25700130_468259.jpg","Download")</f>
        <v>0</v>
      </c>
      <c r="BQ190" s="3"/>
      <c r="BR190" s="3"/>
    </row>
    <row r="191" spans="1:70">
      <c r="A191" s="1" t="s">
        <v>70</v>
      </c>
      <c r="B191" s="1" t="s">
        <v>1269</v>
      </c>
      <c r="C191" s="1" t="s">
        <v>3976</v>
      </c>
      <c r="D191" s="1" t="s">
        <v>3977</v>
      </c>
      <c r="E191" s="1"/>
      <c r="F191" s="1" t="s">
        <v>3978</v>
      </c>
      <c r="G191" s="1" t="s">
        <v>3979</v>
      </c>
      <c r="H191" s="1" t="s">
        <v>3980</v>
      </c>
      <c r="I191" s="1" t="s">
        <v>3981</v>
      </c>
      <c r="J191" s="1">
        <v>8289866254</v>
      </c>
      <c r="K191" s="1" t="s">
        <v>148</v>
      </c>
      <c r="L191" s="1" t="s">
        <v>3982</v>
      </c>
      <c r="M191" s="1" t="s">
        <v>81</v>
      </c>
      <c r="N191" s="1" t="s">
        <v>3168</v>
      </c>
      <c r="O191" s="1"/>
      <c r="P191" s="1" t="s">
        <v>1298</v>
      </c>
      <c r="Q191" s="1" t="s">
        <v>3983</v>
      </c>
      <c r="R191" s="1" t="s">
        <v>3984</v>
      </c>
      <c r="S191" s="1">
        <v>9446472524</v>
      </c>
      <c r="T191" s="1" t="s">
        <v>120</v>
      </c>
      <c r="U191" s="1" t="s">
        <v>3985</v>
      </c>
      <c r="V191" s="1">
        <v>9446412524</v>
      </c>
      <c r="W191" s="1" t="s">
        <v>3986</v>
      </c>
      <c r="X191" s="1" t="s">
        <v>3987</v>
      </c>
      <c r="Y191" s="1" t="s">
        <v>3988</v>
      </c>
      <c r="Z191" s="1" t="s">
        <v>125</v>
      </c>
      <c r="AA191" s="1" t="s">
        <v>3987</v>
      </c>
      <c r="AB191" s="1" t="s">
        <v>3988</v>
      </c>
      <c r="AC191" s="1" t="s">
        <v>125</v>
      </c>
      <c r="AD191" s="1">
        <v>8.34</v>
      </c>
      <c r="AE191" s="1" t="s">
        <v>93</v>
      </c>
      <c r="AF191" s="1" t="s">
        <v>3989</v>
      </c>
      <c r="AG191" s="1" t="s">
        <v>3990</v>
      </c>
      <c r="AH191" s="1" t="s">
        <v>96</v>
      </c>
      <c r="AI191" s="1" t="s">
        <v>97</v>
      </c>
      <c r="AJ191" s="1">
        <v>90</v>
      </c>
      <c r="AK191" s="1"/>
      <c r="AL191" s="1" t="s">
        <v>3991</v>
      </c>
      <c r="AM191" s="1" t="s">
        <v>3992</v>
      </c>
      <c r="AN191" s="1" t="s">
        <v>162</v>
      </c>
      <c r="AO191" s="1" t="s">
        <v>195</v>
      </c>
      <c r="AP191" s="1">
        <v>94.08</v>
      </c>
      <c r="AQ191" s="1"/>
      <c r="AR191" s="1"/>
      <c r="AS191" s="1"/>
      <c r="AT191" s="1"/>
      <c r="AU191" s="1"/>
      <c r="AV191" s="1"/>
      <c r="AW191" s="1"/>
      <c r="AX191" s="1" t="s">
        <v>132</v>
      </c>
      <c r="AY191" s="1" t="s">
        <v>3993</v>
      </c>
      <c r="AZ191" s="1" t="s">
        <v>636</v>
      </c>
      <c r="BA191" s="1" t="s">
        <v>944</v>
      </c>
      <c r="BB191" s="1">
        <v>67.4</v>
      </c>
      <c r="BC191" s="1">
        <v>6.74</v>
      </c>
      <c r="BD191" s="1"/>
      <c r="BE191" s="1"/>
      <c r="BF191" s="1"/>
      <c r="BG191" s="1"/>
      <c r="BH191" s="1"/>
      <c r="BI191" s="1"/>
      <c r="BJ191" s="1" t="s">
        <v>3994</v>
      </c>
      <c r="BK191" s="1" t="s">
        <v>3995</v>
      </c>
      <c r="BL191" s="1" t="s">
        <v>1919</v>
      </c>
      <c r="BM191" s="1" t="s">
        <v>3996</v>
      </c>
      <c r="BN191" s="1">
        <v>9</v>
      </c>
      <c r="BO191" s="1" t="s">
        <v>3997</v>
      </c>
      <c r="BP191" s="1" t="str">
        <f>HYPERLINK("https://nconnect.nicmar.ac.in/storage/profile/ProfilePhoto_P25700131_136529.jpg","Download")</f>
        <v>0</v>
      </c>
      <c r="BQ191" s="3"/>
      <c r="BR191" s="3"/>
    </row>
    <row r="192" spans="1:70">
      <c r="A192" s="1" t="s">
        <v>70</v>
      </c>
      <c r="B192" s="1" t="s">
        <v>1269</v>
      </c>
      <c r="C192" s="1" t="s">
        <v>3998</v>
      </c>
      <c r="D192" s="1" t="s">
        <v>3999</v>
      </c>
      <c r="E192" s="1" t="s">
        <v>3052</v>
      </c>
      <c r="F192" s="1" t="s">
        <v>4000</v>
      </c>
      <c r="G192" s="1" t="s">
        <v>4001</v>
      </c>
      <c r="H192" s="1" t="s">
        <v>4002</v>
      </c>
      <c r="I192" s="1" t="s">
        <v>4003</v>
      </c>
      <c r="J192" s="1">
        <v>9975532344</v>
      </c>
      <c r="K192" s="1" t="s">
        <v>148</v>
      </c>
      <c r="L192" s="1" t="s">
        <v>4004</v>
      </c>
      <c r="M192" s="1" t="s">
        <v>81</v>
      </c>
      <c r="N192" s="1" t="s">
        <v>2008</v>
      </c>
      <c r="O192" s="1"/>
      <c r="P192" s="1" t="s">
        <v>1278</v>
      </c>
      <c r="Q192" s="1" t="s">
        <v>4005</v>
      </c>
      <c r="R192" s="1" t="s">
        <v>3052</v>
      </c>
      <c r="S192" s="1">
        <v>8421633601</v>
      </c>
      <c r="T192" s="1" t="s">
        <v>496</v>
      </c>
      <c r="U192" s="1" t="s">
        <v>4006</v>
      </c>
      <c r="V192" s="1">
        <v>9011127409</v>
      </c>
      <c r="W192" s="1" t="s">
        <v>156</v>
      </c>
      <c r="X192" s="1" t="s">
        <v>4007</v>
      </c>
      <c r="Y192" s="1" t="s">
        <v>328</v>
      </c>
      <c r="Z192" s="1" t="s">
        <v>92</v>
      </c>
      <c r="AA192" s="1" t="s">
        <v>4007</v>
      </c>
      <c r="AB192" s="1" t="s">
        <v>328</v>
      </c>
      <c r="AC192" s="1" t="s">
        <v>92</v>
      </c>
      <c r="AD192" s="1">
        <v>7.79</v>
      </c>
      <c r="AE192" s="1" t="s">
        <v>93</v>
      </c>
      <c r="AF192" s="1" t="s">
        <v>4008</v>
      </c>
      <c r="AG192" s="1" t="s">
        <v>4009</v>
      </c>
      <c r="AH192" s="1" t="s">
        <v>101</v>
      </c>
      <c r="AI192" s="1" t="s">
        <v>409</v>
      </c>
      <c r="AJ192" s="1">
        <v>71</v>
      </c>
      <c r="AK192" s="1"/>
      <c r="AL192" s="1" t="s">
        <v>4010</v>
      </c>
      <c r="AM192" s="1" t="s">
        <v>4009</v>
      </c>
      <c r="AN192" s="1" t="s">
        <v>681</v>
      </c>
      <c r="AO192" s="1" t="s">
        <v>2016</v>
      </c>
      <c r="AP192" s="1">
        <v>93</v>
      </c>
      <c r="AQ192" s="1"/>
      <c r="AR192" s="1"/>
      <c r="AS192" s="1"/>
      <c r="AT192" s="1"/>
      <c r="AU192" s="1"/>
      <c r="AV192" s="1"/>
      <c r="AW192" s="1"/>
      <c r="AX192" s="1" t="s">
        <v>335</v>
      </c>
      <c r="AY192" s="1" t="s">
        <v>4011</v>
      </c>
      <c r="AZ192" s="1" t="s">
        <v>436</v>
      </c>
      <c r="BA192" s="1" t="s">
        <v>1408</v>
      </c>
      <c r="BB192" s="1">
        <v>67.62</v>
      </c>
      <c r="BC192" s="1">
        <v>7.62</v>
      </c>
      <c r="BD192" s="1"/>
      <c r="BE192" s="1"/>
      <c r="BF192" s="1"/>
      <c r="BG192" s="1"/>
      <c r="BH192" s="1"/>
      <c r="BI192" s="1"/>
      <c r="BJ192" s="1" t="s">
        <v>1383</v>
      </c>
      <c r="BK192" s="1"/>
      <c r="BL192" s="1"/>
      <c r="BM192" s="1" t="s">
        <v>4012</v>
      </c>
      <c r="BN192" s="1">
        <v>2</v>
      </c>
      <c r="BO192" s="1"/>
      <c r="BP192" s="1" t="str">
        <f>HYPERLINK("https://nconnect.nicmar.ac.in/storage/profile/ProfilePhoto_P25700132_591768.jpg","Download")</f>
        <v>0</v>
      </c>
      <c r="BQ192" s="3"/>
      <c r="BR192" s="3"/>
    </row>
    <row r="193" spans="1:70">
      <c r="A193" s="1" t="s">
        <v>70</v>
      </c>
      <c r="B193" s="1" t="s">
        <v>1269</v>
      </c>
      <c r="C193" s="1" t="s">
        <v>4013</v>
      </c>
      <c r="D193" s="1" t="s">
        <v>4014</v>
      </c>
      <c r="E193" s="1" t="s">
        <v>4015</v>
      </c>
      <c r="F193" s="1" t="s">
        <v>4016</v>
      </c>
      <c r="G193" s="1" t="s">
        <v>4017</v>
      </c>
      <c r="H193" s="1" t="s">
        <v>4018</v>
      </c>
      <c r="I193" s="1" t="s">
        <v>4019</v>
      </c>
      <c r="J193" s="1">
        <v>9819507312</v>
      </c>
      <c r="K193" s="1" t="s">
        <v>148</v>
      </c>
      <c r="L193" s="1" t="s">
        <v>4020</v>
      </c>
      <c r="M193" s="1" t="s">
        <v>81</v>
      </c>
      <c r="N193" s="1" t="s">
        <v>2029</v>
      </c>
      <c r="O193" s="1"/>
      <c r="P193" s="1" t="s">
        <v>1298</v>
      </c>
      <c r="Q193" s="1" t="s">
        <v>4021</v>
      </c>
      <c r="R193" s="1" t="s">
        <v>4022</v>
      </c>
      <c r="S193" s="1">
        <v>8104891124</v>
      </c>
      <c r="T193" s="1" t="s">
        <v>4023</v>
      </c>
      <c r="U193" s="1" t="s">
        <v>4024</v>
      </c>
      <c r="V193" s="1">
        <v>9819075437</v>
      </c>
      <c r="W193" s="1" t="s">
        <v>763</v>
      </c>
      <c r="X193" s="1" t="s">
        <v>4025</v>
      </c>
      <c r="Y193" s="1" t="s">
        <v>1623</v>
      </c>
      <c r="Z193" s="1" t="s">
        <v>92</v>
      </c>
      <c r="AA193" s="1" t="s">
        <v>4025</v>
      </c>
      <c r="AB193" s="1" t="s">
        <v>1623</v>
      </c>
      <c r="AC193" s="1" t="s">
        <v>92</v>
      </c>
      <c r="AD193" s="1">
        <v>8.44</v>
      </c>
      <c r="AE193" s="1" t="s">
        <v>93</v>
      </c>
      <c r="AF193" s="1" t="s">
        <v>4026</v>
      </c>
      <c r="AG193" s="1" t="s">
        <v>4027</v>
      </c>
      <c r="AH193" s="1" t="s">
        <v>162</v>
      </c>
      <c r="AI193" s="1" t="s">
        <v>195</v>
      </c>
      <c r="AJ193" s="1">
        <v>78.8</v>
      </c>
      <c r="AK193" s="1"/>
      <c r="AL193" s="1" t="s">
        <v>4028</v>
      </c>
      <c r="AM193" s="1" t="s">
        <v>4029</v>
      </c>
      <c r="AN193" s="1" t="s">
        <v>636</v>
      </c>
      <c r="AO193" s="1" t="s">
        <v>198</v>
      </c>
      <c r="AP193" s="1">
        <v>64.62</v>
      </c>
      <c r="AQ193" s="1"/>
      <c r="AR193" s="1"/>
      <c r="AS193" s="1"/>
      <c r="AT193" s="1"/>
      <c r="AU193" s="1"/>
      <c r="AV193" s="1"/>
      <c r="AW193" s="1"/>
      <c r="AX193" s="1" t="s">
        <v>253</v>
      </c>
      <c r="AY193" s="1" t="s">
        <v>4030</v>
      </c>
      <c r="AZ193" s="1" t="s">
        <v>201</v>
      </c>
      <c r="BA193" s="1" t="s">
        <v>174</v>
      </c>
      <c r="BB193" s="1">
        <v>77.01</v>
      </c>
      <c r="BC193" s="1"/>
      <c r="BD193" s="1"/>
      <c r="BE193" s="1"/>
      <c r="BF193" s="1"/>
      <c r="BG193" s="1"/>
      <c r="BH193" s="1"/>
      <c r="BI193" s="1"/>
      <c r="BJ193" s="1" t="s">
        <v>1521</v>
      </c>
      <c r="BK193" s="1"/>
      <c r="BL193" s="1"/>
      <c r="BM193" s="1" t="s">
        <v>4031</v>
      </c>
      <c r="BN193" s="1">
        <v>97</v>
      </c>
      <c r="BO193" s="1" t="s">
        <v>4032</v>
      </c>
      <c r="BP193" s="1" t="str">
        <f>HYPERLINK("https://nconnect.nicmar.ac.in/storage/profile/ProfilePhoto_P25700133_325479.jpg","Download")</f>
        <v>0</v>
      </c>
      <c r="BQ193" s="3"/>
      <c r="BR193" s="3"/>
    </row>
    <row r="194" spans="1:70">
      <c r="A194" s="1" t="s">
        <v>70</v>
      </c>
      <c r="B194" s="1" t="s">
        <v>1269</v>
      </c>
      <c r="C194" s="1" t="s">
        <v>4033</v>
      </c>
      <c r="D194" s="1" t="s">
        <v>4034</v>
      </c>
      <c r="E194" s="1"/>
      <c r="F194" s="1" t="s">
        <v>4035</v>
      </c>
      <c r="G194" s="1" t="s">
        <v>4036</v>
      </c>
      <c r="H194" s="1" t="s">
        <v>4037</v>
      </c>
      <c r="I194" s="1" t="s">
        <v>4038</v>
      </c>
      <c r="J194" s="1">
        <v>9995361307</v>
      </c>
      <c r="K194" s="1" t="s">
        <v>148</v>
      </c>
      <c r="L194" s="1" t="s">
        <v>4039</v>
      </c>
      <c r="M194" s="1" t="s">
        <v>150</v>
      </c>
      <c r="N194" s="1" t="s">
        <v>3945</v>
      </c>
      <c r="O194" s="1"/>
      <c r="P194" s="1" t="s">
        <v>1323</v>
      </c>
      <c r="Q194" s="1" t="s">
        <v>4040</v>
      </c>
      <c r="R194" s="1" t="s">
        <v>4041</v>
      </c>
      <c r="S194" s="1">
        <v>7510861307</v>
      </c>
      <c r="T194" s="1" t="s">
        <v>4042</v>
      </c>
      <c r="U194" s="1" t="s">
        <v>4043</v>
      </c>
      <c r="V194" s="1">
        <v>9895820148</v>
      </c>
      <c r="W194" s="1" t="s">
        <v>156</v>
      </c>
      <c r="X194" s="1" t="s">
        <v>4044</v>
      </c>
      <c r="Y194" s="1" t="s">
        <v>3988</v>
      </c>
      <c r="Z194" s="1" t="s">
        <v>125</v>
      </c>
      <c r="AA194" s="1" t="s">
        <v>4044</v>
      </c>
      <c r="AB194" s="1" t="s">
        <v>3988</v>
      </c>
      <c r="AC194" s="1" t="s">
        <v>125</v>
      </c>
      <c r="AD194" s="1">
        <v>8.74</v>
      </c>
      <c r="AE194" s="1" t="s">
        <v>93</v>
      </c>
      <c r="AF194" s="1" t="s">
        <v>4045</v>
      </c>
      <c r="AG194" s="1" t="s">
        <v>4046</v>
      </c>
      <c r="AH194" s="1" t="s">
        <v>998</v>
      </c>
      <c r="AI194" s="1" t="s">
        <v>999</v>
      </c>
      <c r="AJ194" s="1">
        <v>92.95</v>
      </c>
      <c r="AK194" s="1"/>
      <c r="AL194" s="1" t="s">
        <v>4045</v>
      </c>
      <c r="AM194" s="1" t="s">
        <v>4046</v>
      </c>
      <c r="AN194" s="1" t="s">
        <v>161</v>
      </c>
      <c r="AO194" s="1" t="s">
        <v>456</v>
      </c>
      <c r="AP194" s="1">
        <v>84.92</v>
      </c>
      <c r="AQ194" s="1"/>
      <c r="AR194" s="1"/>
      <c r="AS194" s="1"/>
      <c r="AT194" s="1"/>
      <c r="AU194" s="1"/>
      <c r="AV194" s="1"/>
      <c r="AW194" s="1"/>
      <c r="AX194" s="1" t="s">
        <v>132</v>
      </c>
      <c r="AY194" s="1" t="s">
        <v>4047</v>
      </c>
      <c r="AZ194" s="1" t="s">
        <v>162</v>
      </c>
      <c r="BA194" s="1" t="s">
        <v>920</v>
      </c>
      <c r="BB194" s="1">
        <v>70.15</v>
      </c>
      <c r="BC194" s="1">
        <v>7.39</v>
      </c>
      <c r="BD194" s="1"/>
      <c r="BE194" s="1"/>
      <c r="BF194" s="1"/>
      <c r="BG194" s="1"/>
      <c r="BH194" s="1"/>
      <c r="BI194" s="1"/>
      <c r="BJ194" s="1" t="s">
        <v>4048</v>
      </c>
      <c r="BK194" s="1"/>
      <c r="BL194" s="1"/>
      <c r="BM194" s="1" t="s">
        <v>4049</v>
      </c>
      <c r="BN194" s="1">
        <v>50</v>
      </c>
      <c r="BO194" s="1" t="s">
        <v>4050</v>
      </c>
      <c r="BP194" s="1" t="str">
        <f>HYPERLINK("https://nconnect.nicmar.ac.in/storage/profile/ProfilePhoto_P25700134_358914.jpg","Download")</f>
        <v>0</v>
      </c>
      <c r="BQ194" s="3"/>
      <c r="BR194" s="3"/>
    </row>
    <row r="195" spans="1:70">
      <c r="A195" s="1" t="s">
        <v>70</v>
      </c>
      <c r="B195" s="1" t="s">
        <v>1269</v>
      </c>
      <c r="C195" s="1" t="s">
        <v>4051</v>
      </c>
      <c r="D195" s="1" t="s">
        <v>4052</v>
      </c>
      <c r="E195" s="1"/>
      <c r="F195" s="1" t="s">
        <v>4053</v>
      </c>
      <c r="G195" s="1" t="s">
        <v>4054</v>
      </c>
      <c r="H195" s="1" t="s">
        <v>4055</v>
      </c>
      <c r="I195" s="1" t="s">
        <v>4056</v>
      </c>
      <c r="J195" s="1">
        <v>9526572346</v>
      </c>
      <c r="K195" s="1" t="s">
        <v>148</v>
      </c>
      <c r="L195" s="1" t="s">
        <v>1076</v>
      </c>
      <c r="M195" s="1" t="s">
        <v>81</v>
      </c>
      <c r="N195" s="1" t="s">
        <v>4057</v>
      </c>
      <c r="O195" s="1"/>
      <c r="P195" s="1" t="s">
        <v>1278</v>
      </c>
      <c r="Q195" s="1" t="s">
        <v>4058</v>
      </c>
      <c r="R195" s="1" t="s">
        <v>4059</v>
      </c>
      <c r="S195" s="1">
        <v>6238791056</v>
      </c>
      <c r="T195" s="1" t="s">
        <v>910</v>
      </c>
      <c r="U195" s="1" t="s">
        <v>4060</v>
      </c>
      <c r="V195" s="1">
        <v>9846809792</v>
      </c>
      <c r="W195" s="1" t="s">
        <v>156</v>
      </c>
      <c r="X195" s="1" t="s">
        <v>4061</v>
      </c>
      <c r="Y195" s="1" t="s">
        <v>2139</v>
      </c>
      <c r="Z195" s="1" t="s">
        <v>125</v>
      </c>
      <c r="AA195" s="1" t="s">
        <v>4061</v>
      </c>
      <c r="AB195" s="1" t="s">
        <v>2139</v>
      </c>
      <c r="AC195" s="1" t="s">
        <v>125</v>
      </c>
      <c r="AD195" s="1">
        <v>8.23</v>
      </c>
      <c r="AE195" s="1" t="s">
        <v>93</v>
      </c>
      <c r="AF195" s="1" t="s">
        <v>4062</v>
      </c>
      <c r="AG195" s="1" t="s">
        <v>894</v>
      </c>
      <c r="AH195" s="1" t="s">
        <v>161</v>
      </c>
      <c r="AI195" s="1" t="s">
        <v>527</v>
      </c>
      <c r="AJ195" s="1">
        <v>93.1</v>
      </c>
      <c r="AK195" s="1">
        <v>9.8</v>
      </c>
      <c r="AL195" s="1" t="s">
        <v>4062</v>
      </c>
      <c r="AM195" s="1" t="s">
        <v>894</v>
      </c>
      <c r="AN195" s="1" t="s">
        <v>165</v>
      </c>
      <c r="AO195" s="1" t="s">
        <v>166</v>
      </c>
      <c r="AP195" s="1">
        <v>73.2</v>
      </c>
      <c r="AQ195" s="1">
        <v>7.32</v>
      </c>
      <c r="AR195" s="1"/>
      <c r="AS195" s="1"/>
      <c r="AT195" s="1"/>
      <c r="AU195" s="1"/>
      <c r="AV195" s="1"/>
      <c r="AW195" s="1"/>
      <c r="AX195" s="1" t="s">
        <v>132</v>
      </c>
      <c r="AY195" s="1" t="s">
        <v>4063</v>
      </c>
      <c r="AZ195" s="1" t="s">
        <v>169</v>
      </c>
      <c r="BA195" s="1" t="s">
        <v>284</v>
      </c>
      <c r="BB195" s="1">
        <v>75.1</v>
      </c>
      <c r="BC195" s="1"/>
      <c r="BD195" s="1"/>
      <c r="BE195" s="1"/>
      <c r="BF195" s="1"/>
      <c r="BG195" s="1"/>
      <c r="BH195" s="1"/>
      <c r="BI195" s="1"/>
      <c r="BJ195" s="1" t="s">
        <v>1383</v>
      </c>
      <c r="BK195" s="1"/>
      <c r="BL195" s="1"/>
      <c r="BM195" s="1" t="s">
        <v>4064</v>
      </c>
      <c r="BN195" s="1">
        <v>52</v>
      </c>
      <c r="BO195" s="1"/>
      <c r="BP195" s="1" t="str">
        <f>HYPERLINK("https://nconnect.nicmar.ac.in/storage/profile/ProfilePhoto_P25700135_792418.jpg","Download")</f>
        <v>0</v>
      </c>
      <c r="BQ195" s="3"/>
      <c r="BR195" s="3"/>
    </row>
    <row r="196" spans="1:70">
      <c r="A196" s="1" t="s">
        <v>70</v>
      </c>
      <c r="B196" s="1" t="s">
        <v>1269</v>
      </c>
      <c r="C196" s="1" t="s">
        <v>4065</v>
      </c>
      <c r="D196" s="1" t="s">
        <v>4066</v>
      </c>
      <c r="E196" s="1"/>
      <c r="F196" s="1" t="s">
        <v>4067</v>
      </c>
      <c r="G196" s="1" t="s">
        <v>4068</v>
      </c>
      <c r="H196" s="1" t="s">
        <v>4069</v>
      </c>
      <c r="I196" s="1" t="s">
        <v>4070</v>
      </c>
      <c r="J196" s="1">
        <v>9563939574</v>
      </c>
      <c r="K196" s="1" t="s">
        <v>148</v>
      </c>
      <c r="L196" s="1" t="s">
        <v>4071</v>
      </c>
      <c r="M196" s="1" t="s">
        <v>150</v>
      </c>
      <c r="N196" s="1" t="s">
        <v>4072</v>
      </c>
      <c r="O196" s="1"/>
      <c r="P196" s="1" t="s">
        <v>1323</v>
      </c>
      <c r="Q196" s="1" t="s">
        <v>4073</v>
      </c>
      <c r="R196" s="1" t="s">
        <v>4074</v>
      </c>
      <c r="S196" s="1">
        <v>9434171075</v>
      </c>
      <c r="T196" s="1" t="s">
        <v>4075</v>
      </c>
      <c r="U196" s="1" t="s">
        <v>4076</v>
      </c>
      <c r="V196" s="1">
        <v>6290276437</v>
      </c>
      <c r="W196" s="1" t="s">
        <v>156</v>
      </c>
      <c r="X196" s="1" t="s">
        <v>4077</v>
      </c>
      <c r="Y196" s="1" t="s">
        <v>4078</v>
      </c>
      <c r="Z196" s="1" t="s">
        <v>783</v>
      </c>
      <c r="AA196" s="1" t="s">
        <v>4077</v>
      </c>
      <c r="AB196" s="1" t="s">
        <v>4078</v>
      </c>
      <c r="AC196" s="1" t="s">
        <v>783</v>
      </c>
      <c r="AD196" s="1">
        <v>8.07</v>
      </c>
      <c r="AE196" s="1" t="s">
        <v>93</v>
      </c>
      <c r="AF196" s="1" t="s">
        <v>4079</v>
      </c>
      <c r="AG196" s="1" t="s">
        <v>785</v>
      </c>
      <c r="AH196" s="1" t="s">
        <v>657</v>
      </c>
      <c r="AI196" s="1" t="s">
        <v>249</v>
      </c>
      <c r="AJ196" s="1">
        <v>77.28</v>
      </c>
      <c r="AK196" s="1"/>
      <c r="AL196" s="1" t="s">
        <v>4080</v>
      </c>
      <c r="AM196" s="1" t="s">
        <v>4081</v>
      </c>
      <c r="AN196" s="1" t="s">
        <v>249</v>
      </c>
      <c r="AO196" s="1" t="s">
        <v>130</v>
      </c>
      <c r="AP196" s="1">
        <v>65.2</v>
      </c>
      <c r="AQ196" s="1"/>
      <c r="AR196" s="1"/>
      <c r="AS196" s="1"/>
      <c r="AT196" s="1"/>
      <c r="AU196" s="1"/>
      <c r="AV196" s="1"/>
      <c r="AW196" s="1"/>
      <c r="AX196" s="1" t="s">
        <v>2078</v>
      </c>
      <c r="AY196" s="1" t="s">
        <v>4082</v>
      </c>
      <c r="AZ196" s="1" t="s">
        <v>252</v>
      </c>
      <c r="BA196" s="1" t="s">
        <v>169</v>
      </c>
      <c r="BB196" s="1">
        <v>67.6</v>
      </c>
      <c r="BC196" s="1">
        <v>7.54</v>
      </c>
      <c r="BD196" s="1"/>
      <c r="BE196" s="1"/>
      <c r="BF196" s="1"/>
      <c r="BG196" s="1"/>
      <c r="BH196" s="1"/>
      <c r="BI196" s="1"/>
      <c r="BJ196" s="1" t="s">
        <v>4083</v>
      </c>
      <c r="BK196" s="1" t="s">
        <v>4084</v>
      </c>
      <c r="BL196" s="1" t="s">
        <v>4085</v>
      </c>
      <c r="BM196" s="1" t="s">
        <v>4086</v>
      </c>
      <c r="BN196" s="1">
        <v>113</v>
      </c>
      <c r="BO196" s="1" t="s">
        <v>1715</v>
      </c>
      <c r="BP196" s="1" t="str">
        <f>HYPERLINK("https://nconnect.nicmar.ac.in/storage/profile/ProfilePhoto_P25700136_196742.jpg","Download")</f>
        <v>0</v>
      </c>
      <c r="BQ196" s="3"/>
      <c r="BR196" s="3"/>
    </row>
    <row r="197" spans="1:70">
      <c r="A197" s="1" t="s">
        <v>70</v>
      </c>
      <c r="B197" s="1" t="s">
        <v>1269</v>
      </c>
      <c r="C197" s="1" t="s">
        <v>4087</v>
      </c>
      <c r="D197" s="1" t="s">
        <v>4088</v>
      </c>
      <c r="E197" s="1"/>
      <c r="F197" s="1" t="s">
        <v>2308</v>
      </c>
      <c r="G197" s="1" t="s">
        <v>4089</v>
      </c>
      <c r="H197" s="1" t="s">
        <v>4090</v>
      </c>
      <c r="I197" s="1" t="s">
        <v>4091</v>
      </c>
      <c r="J197" s="1">
        <v>6238245494</v>
      </c>
      <c r="K197" s="1" t="s">
        <v>79</v>
      </c>
      <c r="L197" s="1" t="s">
        <v>4092</v>
      </c>
      <c r="M197" s="1" t="s">
        <v>81</v>
      </c>
      <c r="N197" s="1" t="s">
        <v>3945</v>
      </c>
      <c r="O197" s="1"/>
      <c r="P197" s="1" t="s">
        <v>1323</v>
      </c>
      <c r="Q197" s="1" t="s">
        <v>4093</v>
      </c>
      <c r="R197" s="1" t="s">
        <v>4094</v>
      </c>
      <c r="S197" s="1">
        <v>9847297977</v>
      </c>
      <c r="T197" s="1" t="s">
        <v>4095</v>
      </c>
      <c r="U197" s="1" t="s">
        <v>4096</v>
      </c>
      <c r="V197" s="1">
        <v>9847493320</v>
      </c>
      <c r="W197" s="1" t="s">
        <v>4097</v>
      </c>
      <c r="X197" s="1" t="s">
        <v>4098</v>
      </c>
      <c r="Y197" s="1" t="s">
        <v>3988</v>
      </c>
      <c r="Z197" s="1" t="s">
        <v>125</v>
      </c>
      <c r="AA197" s="1" t="s">
        <v>4098</v>
      </c>
      <c r="AB197" s="1" t="s">
        <v>3988</v>
      </c>
      <c r="AC197" s="1" t="s">
        <v>125</v>
      </c>
      <c r="AD197" s="1">
        <v>8.2</v>
      </c>
      <c r="AE197" s="1" t="s">
        <v>93</v>
      </c>
      <c r="AF197" s="1" t="s">
        <v>4099</v>
      </c>
      <c r="AG197" s="1" t="s">
        <v>4100</v>
      </c>
      <c r="AH197" s="1" t="s">
        <v>165</v>
      </c>
      <c r="AI197" s="1" t="s">
        <v>166</v>
      </c>
      <c r="AJ197" s="1">
        <v>82.83</v>
      </c>
      <c r="AK197" s="1"/>
      <c r="AL197" s="1" t="s">
        <v>4099</v>
      </c>
      <c r="AM197" s="1" t="s">
        <v>4100</v>
      </c>
      <c r="AN197" s="1" t="s">
        <v>433</v>
      </c>
      <c r="AO197" s="1" t="s">
        <v>173</v>
      </c>
      <c r="AP197" s="1">
        <v>75.2</v>
      </c>
      <c r="AQ197" s="1"/>
      <c r="AR197" s="1"/>
      <c r="AS197" s="1"/>
      <c r="AT197" s="1"/>
      <c r="AU197" s="1"/>
      <c r="AV197" s="1"/>
      <c r="AW197" s="1"/>
      <c r="AX197" s="1" t="s">
        <v>132</v>
      </c>
      <c r="AY197" s="1" t="s">
        <v>4101</v>
      </c>
      <c r="AZ197" s="1" t="s">
        <v>228</v>
      </c>
      <c r="BA197" s="1" t="s">
        <v>202</v>
      </c>
      <c r="BB197" s="1">
        <v>68.8</v>
      </c>
      <c r="BC197" s="1"/>
      <c r="BD197" s="1"/>
      <c r="BE197" s="1"/>
      <c r="BF197" s="1"/>
      <c r="BG197" s="1"/>
      <c r="BH197" s="1"/>
      <c r="BI197" s="1"/>
      <c r="BJ197" s="1" t="s">
        <v>4102</v>
      </c>
      <c r="BK197" s="1" t="s">
        <v>4103</v>
      </c>
      <c r="BL197" s="1" t="s">
        <v>1895</v>
      </c>
      <c r="BM197" s="1" t="s">
        <v>4104</v>
      </c>
      <c r="BN197" s="1">
        <v>8</v>
      </c>
      <c r="BO197" s="1"/>
      <c r="BP197" s="1" t="str">
        <f>HYPERLINK("https://nconnect.nicmar.ac.in/storage/profile/ProfilePhoto_P25700137_823974.jpg","Download")</f>
        <v>0</v>
      </c>
      <c r="BQ197" s="3"/>
      <c r="BR197" s="3"/>
    </row>
    <row r="198" spans="1:70">
      <c r="A198" s="1" t="s">
        <v>70</v>
      </c>
      <c r="B198" s="1" t="s">
        <v>1269</v>
      </c>
      <c r="C198" s="1" t="s">
        <v>4105</v>
      </c>
      <c r="D198" s="1" t="s">
        <v>4106</v>
      </c>
      <c r="E198" s="1"/>
      <c r="F198" s="1" t="s">
        <v>4107</v>
      </c>
      <c r="G198" s="1" t="s">
        <v>4108</v>
      </c>
      <c r="H198" s="1" t="s">
        <v>4109</v>
      </c>
      <c r="I198" s="1" t="s">
        <v>4110</v>
      </c>
      <c r="J198" s="1">
        <v>7068336907</v>
      </c>
      <c r="K198" s="1" t="s">
        <v>79</v>
      </c>
      <c r="L198" s="1" t="s">
        <v>4111</v>
      </c>
      <c r="M198" s="1" t="s">
        <v>81</v>
      </c>
      <c r="N198" s="1" t="s">
        <v>241</v>
      </c>
      <c r="O198" s="1"/>
      <c r="P198" s="1" t="s">
        <v>1323</v>
      </c>
      <c r="Q198" s="1" t="s">
        <v>4112</v>
      </c>
      <c r="R198" s="1" t="s">
        <v>4113</v>
      </c>
      <c r="S198" s="1">
        <v>9044024038</v>
      </c>
      <c r="T198" s="1" t="s">
        <v>216</v>
      </c>
      <c r="U198" s="1" t="s">
        <v>4114</v>
      </c>
      <c r="V198" s="1">
        <v>8090008254</v>
      </c>
      <c r="W198" s="1" t="s">
        <v>156</v>
      </c>
      <c r="X198" s="1" t="s">
        <v>4115</v>
      </c>
      <c r="Y198" s="1" t="s">
        <v>4116</v>
      </c>
      <c r="Z198" s="1" t="s">
        <v>1355</v>
      </c>
      <c r="AA198" s="1" t="s">
        <v>4115</v>
      </c>
      <c r="AB198" s="1" t="s">
        <v>4116</v>
      </c>
      <c r="AC198" s="1" t="s">
        <v>1355</v>
      </c>
      <c r="AD198" s="1">
        <v>8.36</v>
      </c>
      <c r="AE198" s="1" t="s">
        <v>93</v>
      </c>
      <c r="AF198" s="1" t="s">
        <v>4117</v>
      </c>
      <c r="AG198" s="1" t="s">
        <v>939</v>
      </c>
      <c r="AH198" s="1" t="s">
        <v>161</v>
      </c>
      <c r="AI198" s="1" t="s">
        <v>527</v>
      </c>
      <c r="AJ198" s="1">
        <v>95</v>
      </c>
      <c r="AK198" s="1">
        <v>10</v>
      </c>
      <c r="AL198" s="1" t="s">
        <v>4118</v>
      </c>
      <c r="AM198" s="1" t="s">
        <v>939</v>
      </c>
      <c r="AN198" s="1" t="s">
        <v>165</v>
      </c>
      <c r="AO198" s="1" t="s">
        <v>166</v>
      </c>
      <c r="AP198" s="1">
        <v>72.6</v>
      </c>
      <c r="AQ198" s="1"/>
      <c r="AR198" s="1"/>
      <c r="AS198" s="1"/>
      <c r="AT198" s="1"/>
      <c r="AU198" s="1"/>
      <c r="AV198" s="1"/>
      <c r="AW198" s="1"/>
      <c r="AX198" s="1" t="s">
        <v>4119</v>
      </c>
      <c r="AY198" s="1" t="s">
        <v>4119</v>
      </c>
      <c r="AZ198" s="1" t="s">
        <v>433</v>
      </c>
      <c r="BA198" s="1" t="s">
        <v>229</v>
      </c>
      <c r="BB198" s="1">
        <v>72.2</v>
      </c>
      <c r="BC198" s="1"/>
      <c r="BD198" s="1"/>
      <c r="BE198" s="1"/>
      <c r="BF198" s="1"/>
      <c r="BG198" s="1"/>
      <c r="BH198" s="1"/>
      <c r="BI198" s="1"/>
      <c r="BJ198" s="1" t="s">
        <v>4120</v>
      </c>
      <c r="BK198" s="1" t="s">
        <v>4121</v>
      </c>
      <c r="BL198" s="1" t="s">
        <v>287</v>
      </c>
      <c r="BM198" s="1"/>
      <c r="BN198" s="1"/>
      <c r="BO198" s="1" t="s">
        <v>4122</v>
      </c>
      <c r="BP198" s="1" t="str">
        <f>HYPERLINK("https://nconnect.nicmar.ac.in/storage/profile/ProfilePhoto_P25700138_159438.jpg","Download")</f>
        <v>0</v>
      </c>
      <c r="BQ198" s="3"/>
      <c r="BR198" s="3"/>
    </row>
    <row r="199" spans="1:70">
      <c r="A199" s="1" t="s">
        <v>70</v>
      </c>
      <c r="B199" s="1" t="s">
        <v>1269</v>
      </c>
      <c r="C199" s="1" t="s">
        <v>4123</v>
      </c>
      <c r="D199" s="1" t="s">
        <v>443</v>
      </c>
      <c r="E199" s="1" t="s">
        <v>4124</v>
      </c>
      <c r="F199" s="1" t="s">
        <v>4125</v>
      </c>
      <c r="G199" s="1" t="s">
        <v>4126</v>
      </c>
      <c r="H199" s="1" t="s">
        <v>4127</v>
      </c>
      <c r="I199" s="1" t="s">
        <v>4128</v>
      </c>
      <c r="J199" s="1">
        <v>8329386839</v>
      </c>
      <c r="K199" s="1" t="s">
        <v>79</v>
      </c>
      <c r="L199" s="1" t="s">
        <v>4129</v>
      </c>
      <c r="M199" s="1" t="s">
        <v>81</v>
      </c>
      <c r="N199" s="1" t="s">
        <v>4130</v>
      </c>
      <c r="O199" s="1"/>
      <c r="P199" s="1" t="s">
        <v>1278</v>
      </c>
      <c r="Q199" s="1" t="s">
        <v>4131</v>
      </c>
      <c r="R199" s="1" t="s">
        <v>4124</v>
      </c>
      <c r="S199" s="1">
        <v>9423358067</v>
      </c>
      <c r="T199" s="1" t="s">
        <v>4023</v>
      </c>
      <c r="U199" s="1" t="s">
        <v>4132</v>
      </c>
      <c r="V199" s="1">
        <v>8793338575</v>
      </c>
      <c r="W199" s="1" t="s">
        <v>156</v>
      </c>
      <c r="X199" s="1" t="s">
        <v>4133</v>
      </c>
      <c r="Y199" s="1" t="s">
        <v>191</v>
      </c>
      <c r="Z199" s="1" t="s">
        <v>92</v>
      </c>
      <c r="AA199" s="1" t="s">
        <v>4134</v>
      </c>
      <c r="AB199" s="1" t="s">
        <v>304</v>
      </c>
      <c r="AC199" s="1" t="s">
        <v>92</v>
      </c>
      <c r="AD199" s="1">
        <v>9.0</v>
      </c>
      <c r="AE199" s="1" t="s">
        <v>93</v>
      </c>
      <c r="AF199" s="1" t="s">
        <v>4135</v>
      </c>
      <c r="AG199" s="1" t="s">
        <v>4136</v>
      </c>
      <c r="AH199" s="1" t="s">
        <v>165</v>
      </c>
      <c r="AI199" s="1" t="s">
        <v>101</v>
      </c>
      <c r="AJ199" s="1">
        <v>77.8</v>
      </c>
      <c r="AK199" s="1">
        <v>0</v>
      </c>
      <c r="AL199" s="1"/>
      <c r="AM199" s="1"/>
      <c r="AN199" s="1"/>
      <c r="AO199" s="1"/>
      <c r="AP199" s="1"/>
      <c r="AQ199" s="1"/>
      <c r="AR199" s="1" t="s">
        <v>98</v>
      </c>
      <c r="AS199" s="1" t="s">
        <v>4137</v>
      </c>
      <c r="AT199" s="1" t="s">
        <v>636</v>
      </c>
      <c r="AU199" s="1" t="s">
        <v>436</v>
      </c>
      <c r="AV199" s="1">
        <v>89.95</v>
      </c>
      <c r="AW199" s="1">
        <v>0</v>
      </c>
      <c r="AX199" s="1" t="s">
        <v>1024</v>
      </c>
      <c r="AY199" s="1" t="s">
        <v>4138</v>
      </c>
      <c r="AZ199" s="1" t="s">
        <v>897</v>
      </c>
      <c r="BA199" s="1" t="s">
        <v>1938</v>
      </c>
      <c r="BB199" s="1">
        <v>70.85</v>
      </c>
      <c r="BC199" s="1">
        <v>7.78</v>
      </c>
      <c r="BD199" s="1"/>
      <c r="BE199" s="1"/>
      <c r="BF199" s="1"/>
      <c r="BG199" s="1"/>
      <c r="BH199" s="1"/>
      <c r="BI199" s="1"/>
      <c r="BJ199" s="1" t="s">
        <v>4139</v>
      </c>
      <c r="BK199" s="1"/>
      <c r="BL199" s="1"/>
      <c r="BM199" s="1" t="s">
        <v>4140</v>
      </c>
      <c r="BN199" s="1">
        <v>32</v>
      </c>
      <c r="BO199" s="1" t="s">
        <v>4141</v>
      </c>
      <c r="BP199" s="1" t="str">
        <f>HYPERLINK("https://nconnect.nicmar.ac.in/storage/profile/ProfilePhoto_P25700139_421357.jpg","Download")</f>
        <v>0</v>
      </c>
      <c r="BQ199" s="3"/>
      <c r="BR199" s="3"/>
    </row>
    <row r="200" spans="1:70">
      <c r="A200" s="1" t="s">
        <v>70</v>
      </c>
      <c r="B200" s="1" t="s">
        <v>1269</v>
      </c>
      <c r="C200" s="1" t="s">
        <v>4142</v>
      </c>
      <c r="D200" s="1" t="s">
        <v>4143</v>
      </c>
      <c r="E200" s="1" t="s">
        <v>4144</v>
      </c>
      <c r="F200" s="1" t="s">
        <v>2024</v>
      </c>
      <c r="G200" s="1" t="s">
        <v>4145</v>
      </c>
      <c r="H200" s="1" t="s">
        <v>4146</v>
      </c>
      <c r="I200" s="1" t="s">
        <v>4147</v>
      </c>
      <c r="J200" s="1">
        <v>9067925520</v>
      </c>
      <c r="K200" s="1" t="s">
        <v>79</v>
      </c>
      <c r="L200" s="1" t="s">
        <v>4148</v>
      </c>
      <c r="M200" s="1" t="s">
        <v>81</v>
      </c>
      <c r="N200" s="1" t="s">
        <v>4149</v>
      </c>
      <c r="O200" s="1"/>
      <c r="P200" s="1" t="s">
        <v>1298</v>
      </c>
      <c r="Q200" s="1" t="s">
        <v>4150</v>
      </c>
      <c r="R200" s="1" t="s">
        <v>4151</v>
      </c>
      <c r="S200" s="1">
        <v>9860129290</v>
      </c>
      <c r="T200" s="1" t="s">
        <v>4152</v>
      </c>
      <c r="U200" s="1" t="s">
        <v>4153</v>
      </c>
      <c r="V200" s="1">
        <v>9970087332</v>
      </c>
      <c r="W200" s="1" t="s">
        <v>4154</v>
      </c>
      <c r="X200" s="1" t="s">
        <v>4155</v>
      </c>
      <c r="Y200" s="1" t="s">
        <v>191</v>
      </c>
      <c r="Z200" s="1" t="s">
        <v>92</v>
      </c>
      <c r="AA200" s="1" t="s">
        <v>4156</v>
      </c>
      <c r="AB200" s="1" t="s">
        <v>1174</v>
      </c>
      <c r="AC200" s="1" t="s">
        <v>92</v>
      </c>
      <c r="AD200" s="1">
        <v>8.18</v>
      </c>
      <c r="AE200" s="1" t="s">
        <v>93</v>
      </c>
      <c r="AF200" s="1" t="s">
        <v>4157</v>
      </c>
      <c r="AG200" s="1" t="s">
        <v>4158</v>
      </c>
      <c r="AH200" s="1" t="s">
        <v>101</v>
      </c>
      <c r="AI200" s="1" t="s">
        <v>308</v>
      </c>
      <c r="AJ200" s="1">
        <v>85.6</v>
      </c>
      <c r="AK200" s="1"/>
      <c r="AL200" s="1" t="s">
        <v>4159</v>
      </c>
      <c r="AM200" s="1" t="s">
        <v>4160</v>
      </c>
      <c r="AN200" s="1" t="s">
        <v>699</v>
      </c>
      <c r="AO200" s="1" t="s">
        <v>436</v>
      </c>
      <c r="AP200" s="1">
        <v>90.83</v>
      </c>
      <c r="AQ200" s="1"/>
      <c r="AR200" s="1"/>
      <c r="AS200" s="1"/>
      <c r="AT200" s="1"/>
      <c r="AU200" s="1"/>
      <c r="AV200" s="1"/>
      <c r="AW200" s="1"/>
      <c r="AX200" s="1" t="s">
        <v>361</v>
      </c>
      <c r="AY200" s="1" t="s">
        <v>4161</v>
      </c>
      <c r="AZ200" s="1" t="s">
        <v>897</v>
      </c>
      <c r="BA200" s="1" t="s">
        <v>1714</v>
      </c>
      <c r="BB200" s="1">
        <v>69.2</v>
      </c>
      <c r="BC200" s="1">
        <v>7.67</v>
      </c>
      <c r="BD200" s="1"/>
      <c r="BE200" s="1"/>
      <c r="BF200" s="1"/>
      <c r="BG200" s="1"/>
      <c r="BH200" s="1"/>
      <c r="BI200" s="1"/>
      <c r="BJ200" s="1" t="s">
        <v>4162</v>
      </c>
      <c r="BK200" s="1"/>
      <c r="BL200" s="1"/>
      <c r="BM200" s="1" t="s">
        <v>4163</v>
      </c>
      <c r="BN200" s="1">
        <v>13</v>
      </c>
      <c r="BO200" s="1" t="s">
        <v>4164</v>
      </c>
      <c r="BP200" s="1" t="str">
        <f>HYPERLINK("https://nconnect.nicmar.ac.in/storage/profile/ProfilePhoto_P25700140_347569.jpg","Download")</f>
        <v>0</v>
      </c>
      <c r="BQ200" s="3"/>
      <c r="BR200" s="3"/>
    </row>
    <row r="201" spans="1:70">
      <c r="A201" s="1" t="s">
        <v>70</v>
      </c>
      <c r="B201" s="1" t="s">
        <v>1269</v>
      </c>
      <c r="C201" s="1" t="s">
        <v>4165</v>
      </c>
      <c r="D201" s="1" t="s">
        <v>4166</v>
      </c>
      <c r="E201" s="1" t="s">
        <v>1874</v>
      </c>
      <c r="F201" s="1" t="s">
        <v>2190</v>
      </c>
      <c r="G201" s="1" t="s">
        <v>4167</v>
      </c>
      <c r="H201" s="1" t="s">
        <v>4168</v>
      </c>
      <c r="I201" s="1" t="s">
        <v>4169</v>
      </c>
      <c r="J201" s="1">
        <v>9544952840</v>
      </c>
      <c r="K201" s="1" t="s">
        <v>148</v>
      </c>
      <c r="L201" s="1" t="s">
        <v>4170</v>
      </c>
      <c r="M201" s="1" t="s">
        <v>81</v>
      </c>
      <c r="N201" s="1" t="s">
        <v>1485</v>
      </c>
      <c r="O201" s="1"/>
      <c r="P201" s="1" t="s">
        <v>1278</v>
      </c>
      <c r="Q201" s="1" t="s">
        <v>4171</v>
      </c>
      <c r="R201" s="1" t="s">
        <v>4172</v>
      </c>
      <c r="S201" s="1">
        <v>9961232601</v>
      </c>
      <c r="T201" s="1" t="s">
        <v>496</v>
      </c>
      <c r="U201" s="1" t="s">
        <v>4173</v>
      </c>
      <c r="V201" s="1">
        <v>9995843595</v>
      </c>
      <c r="W201" s="1" t="s">
        <v>2094</v>
      </c>
      <c r="X201" s="1" t="s">
        <v>4174</v>
      </c>
      <c r="Y201" s="1" t="s">
        <v>1260</v>
      </c>
      <c r="Z201" s="1" t="s">
        <v>125</v>
      </c>
      <c r="AA201" s="1" t="s">
        <v>4174</v>
      </c>
      <c r="AB201" s="1" t="s">
        <v>1260</v>
      </c>
      <c r="AC201" s="1" t="s">
        <v>125</v>
      </c>
      <c r="AD201" s="1">
        <v>7.56</v>
      </c>
      <c r="AE201" s="1" t="s">
        <v>93</v>
      </c>
      <c r="AF201" s="1" t="s">
        <v>4175</v>
      </c>
      <c r="AG201" s="1" t="s">
        <v>307</v>
      </c>
      <c r="AH201" s="1" t="s">
        <v>162</v>
      </c>
      <c r="AI201" s="1" t="s">
        <v>165</v>
      </c>
      <c r="AJ201" s="1">
        <v>83.6</v>
      </c>
      <c r="AK201" s="1">
        <v>8.8</v>
      </c>
      <c r="AL201" s="1" t="s">
        <v>4175</v>
      </c>
      <c r="AM201" s="1" t="s">
        <v>307</v>
      </c>
      <c r="AN201" s="1" t="s">
        <v>101</v>
      </c>
      <c r="AO201" s="1" t="s">
        <v>1065</v>
      </c>
      <c r="AP201" s="1">
        <v>60.6</v>
      </c>
      <c r="AQ201" s="1">
        <v>6</v>
      </c>
      <c r="AR201" s="1"/>
      <c r="AS201" s="1"/>
      <c r="AT201" s="1"/>
      <c r="AU201" s="1"/>
      <c r="AV201" s="1"/>
      <c r="AW201" s="1"/>
      <c r="AX201" s="1" t="s">
        <v>132</v>
      </c>
      <c r="AY201" s="1" t="s">
        <v>4176</v>
      </c>
      <c r="AZ201" s="1" t="s">
        <v>310</v>
      </c>
      <c r="BA201" s="1" t="s">
        <v>202</v>
      </c>
      <c r="BB201" s="1">
        <v>65.5</v>
      </c>
      <c r="BC201" s="1">
        <v>6.55</v>
      </c>
      <c r="BD201" s="1"/>
      <c r="BE201" s="1"/>
      <c r="BF201" s="1"/>
      <c r="BG201" s="1"/>
      <c r="BH201" s="1"/>
      <c r="BI201" s="1"/>
      <c r="BJ201" s="1" t="s">
        <v>4177</v>
      </c>
      <c r="BK201" s="1"/>
      <c r="BL201" s="1"/>
      <c r="BM201" s="1" t="s">
        <v>4178</v>
      </c>
      <c r="BN201" s="1">
        <v>1</v>
      </c>
      <c r="BO201" s="1"/>
      <c r="BP201" s="1" t="str">
        <f>HYPERLINK("https://nconnect.nicmar.ac.in/storage/profile/ProfilePhoto_P25700141_362759.jpg","Download")</f>
        <v>0</v>
      </c>
      <c r="BQ201" s="3"/>
      <c r="BR201" s="3"/>
    </row>
    <row r="202" spans="1:70">
      <c r="A202" s="1" t="s">
        <v>70</v>
      </c>
      <c r="B202" s="1" t="s">
        <v>1269</v>
      </c>
      <c r="C202" s="1" t="s">
        <v>4179</v>
      </c>
      <c r="D202" s="1" t="s">
        <v>4180</v>
      </c>
      <c r="E202" s="1"/>
      <c r="F202" s="1" t="s">
        <v>2208</v>
      </c>
      <c r="G202" s="1" t="s">
        <v>4181</v>
      </c>
      <c r="H202" s="1" t="s">
        <v>4182</v>
      </c>
      <c r="I202" s="1" t="s">
        <v>4183</v>
      </c>
      <c r="J202" s="1">
        <v>8576913349</v>
      </c>
      <c r="K202" s="1" t="s">
        <v>79</v>
      </c>
      <c r="L202" s="1" t="s">
        <v>4184</v>
      </c>
      <c r="M202" s="1" t="s">
        <v>81</v>
      </c>
      <c r="N202" s="1" t="s">
        <v>4185</v>
      </c>
      <c r="O202" s="1"/>
      <c r="P202" s="1" t="s">
        <v>1323</v>
      </c>
      <c r="Q202" s="1" t="s">
        <v>4186</v>
      </c>
      <c r="R202" s="1" t="s">
        <v>4187</v>
      </c>
      <c r="S202" s="1">
        <v>9415767684</v>
      </c>
      <c r="T202" s="1" t="s">
        <v>4188</v>
      </c>
      <c r="U202" s="1" t="s">
        <v>4189</v>
      </c>
      <c r="V202" s="1">
        <v>7880669985</v>
      </c>
      <c r="W202" s="1" t="s">
        <v>2094</v>
      </c>
      <c r="X202" s="1" t="s">
        <v>4190</v>
      </c>
      <c r="Y202" s="1" t="s">
        <v>1911</v>
      </c>
      <c r="Z202" s="1" t="s">
        <v>1355</v>
      </c>
      <c r="AA202" s="1" t="s">
        <v>4190</v>
      </c>
      <c r="AB202" s="1" t="s">
        <v>1911</v>
      </c>
      <c r="AC202" s="1" t="s">
        <v>1355</v>
      </c>
      <c r="AD202" s="1">
        <v>7.66</v>
      </c>
      <c r="AE202" s="1" t="s">
        <v>93</v>
      </c>
      <c r="AF202" s="1" t="s">
        <v>4191</v>
      </c>
      <c r="AG202" s="1" t="s">
        <v>4192</v>
      </c>
      <c r="AH202" s="1" t="s">
        <v>477</v>
      </c>
      <c r="AI202" s="1" t="s">
        <v>131</v>
      </c>
      <c r="AJ202" s="1">
        <v>78.6</v>
      </c>
      <c r="AK202" s="1">
        <v>0</v>
      </c>
      <c r="AL202" s="1" t="s">
        <v>4193</v>
      </c>
      <c r="AM202" s="1" t="s">
        <v>307</v>
      </c>
      <c r="AN202" s="1" t="s">
        <v>279</v>
      </c>
      <c r="AO202" s="1" t="s">
        <v>165</v>
      </c>
      <c r="AP202" s="1">
        <v>67.8</v>
      </c>
      <c r="AQ202" s="1">
        <v>0</v>
      </c>
      <c r="AR202" s="1"/>
      <c r="AS202" s="1"/>
      <c r="AT202" s="1"/>
      <c r="AU202" s="1"/>
      <c r="AV202" s="1"/>
      <c r="AW202" s="1"/>
      <c r="AX202" s="1" t="s">
        <v>3425</v>
      </c>
      <c r="AY202" s="1" t="s">
        <v>4194</v>
      </c>
      <c r="AZ202" s="1" t="s">
        <v>383</v>
      </c>
      <c r="BA202" s="1" t="s">
        <v>135</v>
      </c>
      <c r="BB202" s="1">
        <v>71.33</v>
      </c>
      <c r="BC202" s="1">
        <v>6.28</v>
      </c>
      <c r="BD202" s="1"/>
      <c r="BE202" s="1"/>
      <c r="BF202" s="1"/>
      <c r="BG202" s="1"/>
      <c r="BH202" s="1"/>
      <c r="BI202" s="1"/>
      <c r="BJ202" s="1" t="s">
        <v>255</v>
      </c>
      <c r="BK202" s="1" t="s">
        <v>4195</v>
      </c>
      <c r="BL202" s="1" t="s">
        <v>4196</v>
      </c>
      <c r="BM202" s="1" t="s">
        <v>4197</v>
      </c>
      <c r="BN202" s="1">
        <v>4</v>
      </c>
      <c r="BO202" s="1"/>
      <c r="BP202" s="1" t="str">
        <f>HYPERLINK("https://nconnect.nicmar.ac.in/storage/profile/ProfilePhoto_P25700142_683421.jpg","Download")</f>
        <v>0</v>
      </c>
      <c r="BQ202" s="3"/>
      <c r="BR202" s="3"/>
    </row>
    <row r="203" spans="1:70">
      <c r="A203" s="1" t="s">
        <v>70</v>
      </c>
      <c r="B203" s="1" t="s">
        <v>1269</v>
      </c>
      <c r="C203" s="1" t="s">
        <v>4198</v>
      </c>
      <c r="D203" s="1" t="s">
        <v>4199</v>
      </c>
      <c r="E203" s="1"/>
      <c r="F203" s="1" t="s">
        <v>4200</v>
      </c>
      <c r="G203" s="1" t="s">
        <v>4201</v>
      </c>
      <c r="H203" s="1" t="s">
        <v>4202</v>
      </c>
      <c r="I203" s="1" t="s">
        <v>4203</v>
      </c>
      <c r="J203" s="1">
        <v>9672384492</v>
      </c>
      <c r="K203" s="1" t="s">
        <v>148</v>
      </c>
      <c r="L203" s="1" t="s">
        <v>4204</v>
      </c>
      <c r="M203" s="1" t="s">
        <v>81</v>
      </c>
      <c r="N203" s="1" t="s">
        <v>241</v>
      </c>
      <c r="O203" s="1"/>
      <c r="P203" s="1" t="s">
        <v>1298</v>
      </c>
      <c r="Q203" s="1" t="s">
        <v>4205</v>
      </c>
      <c r="R203" s="1" t="s">
        <v>4206</v>
      </c>
      <c r="S203" s="1">
        <v>9302820540</v>
      </c>
      <c r="T203" s="1" t="s">
        <v>4207</v>
      </c>
      <c r="U203" s="1" t="s">
        <v>4208</v>
      </c>
      <c r="V203" s="1">
        <v>8269395849</v>
      </c>
      <c r="W203" s="1" t="s">
        <v>89</v>
      </c>
      <c r="X203" s="1" t="s">
        <v>4209</v>
      </c>
      <c r="Y203" s="1" t="s">
        <v>4210</v>
      </c>
      <c r="Z203" s="1" t="s">
        <v>936</v>
      </c>
      <c r="AA203" s="1" t="s">
        <v>4209</v>
      </c>
      <c r="AB203" s="1" t="s">
        <v>4210</v>
      </c>
      <c r="AC203" s="1" t="s">
        <v>936</v>
      </c>
      <c r="AD203" s="1">
        <v>8.31</v>
      </c>
      <c r="AE203" s="1" t="s">
        <v>93</v>
      </c>
      <c r="AF203" s="1" t="s">
        <v>4211</v>
      </c>
      <c r="AG203" s="1" t="s">
        <v>307</v>
      </c>
      <c r="AH203" s="1" t="s">
        <v>4212</v>
      </c>
      <c r="AI203" s="1" t="s">
        <v>1197</v>
      </c>
      <c r="AJ203" s="1">
        <v>85.5</v>
      </c>
      <c r="AK203" s="1">
        <v>9</v>
      </c>
      <c r="AL203" s="1" t="s">
        <v>4211</v>
      </c>
      <c r="AM203" s="1" t="s">
        <v>4213</v>
      </c>
      <c r="AN203" s="1" t="s">
        <v>503</v>
      </c>
      <c r="AO203" s="1" t="s">
        <v>527</v>
      </c>
      <c r="AP203" s="1">
        <v>65.4</v>
      </c>
      <c r="AQ203" s="1"/>
      <c r="AR203" s="1"/>
      <c r="AS203" s="1"/>
      <c r="AT203" s="1"/>
      <c r="AU203" s="1"/>
      <c r="AV203" s="1"/>
      <c r="AW203" s="1"/>
      <c r="AX203" s="1" t="s">
        <v>4214</v>
      </c>
      <c r="AY203" s="1" t="s">
        <v>4214</v>
      </c>
      <c r="AZ203" s="1" t="s">
        <v>134</v>
      </c>
      <c r="BA203" s="1" t="s">
        <v>1131</v>
      </c>
      <c r="BB203" s="1">
        <v>63.45</v>
      </c>
      <c r="BC203" s="1">
        <v>6.98</v>
      </c>
      <c r="BD203" s="1"/>
      <c r="BE203" s="1"/>
      <c r="BF203" s="1"/>
      <c r="BG203" s="1"/>
      <c r="BH203" s="1"/>
      <c r="BI203" s="1"/>
      <c r="BJ203" s="1" t="s">
        <v>4215</v>
      </c>
      <c r="BK203" s="1" t="s">
        <v>4216</v>
      </c>
      <c r="BL203" s="1" t="s">
        <v>1202</v>
      </c>
      <c r="BM203" s="1" t="s">
        <v>4217</v>
      </c>
      <c r="BN203" s="1">
        <v>19</v>
      </c>
      <c r="BO203" s="1"/>
      <c r="BP203" s="1" t="str">
        <f>HYPERLINK("https://nconnect.nicmar.ac.in/storage/profile/ProfilePhoto_P25700143_172536.jpg","Download")</f>
        <v>0</v>
      </c>
      <c r="BQ203" s="3"/>
      <c r="BR203" s="3"/>
    </row>
    <row r="204" spans="1:70">
      <c r="A204" s="1" t="s">
        <v>70</v>
      </c>
      <c r="B204" s="1" t="s">
        <v>1269</v>
      </c>
      <c r="C204" s="1" t="s">
        <v>4218</v>
      </c>
      <c r="D204" s="1" t="s">
        <v>4219</v>
      </c>
      <c r="E204" s="1" t="s">
        <v>4220</v>
      </c>
      <c r="F204" s="1" t="s">
        <v>4221</v>
      </c>
      <c r="G204" s="1" t="s">
        <v>4222</v>
      </c>
      <c r="H204" s="1" t="s">
        <v>4223</v>
      </c>
      <c r="I204" s="1" t="s">
        <v>4224</v>
      </c>
      <c r="J204" s="1">
        <v>7083023252</v>
      </c>
      <c r="K204" s="1" t="s">
        <v>148</v>
      </c>
      <c r="L204" s="1" t="s">
        <v>4225</v>
      </c>
      <c r="M204" s="1" t="s">
        <v>81</v>
      </c>
      <c r="N204" s="1" t="s">
        <v>2008</v>
      </c>
      <c r="O204" s="1"/>
      <c r="P204" s="1" t="s">
        <v>1298</v>
      </c>
      <c r="Q204" s="1" t="s">
        <v>4226</v>
      </c>
      <c r="R204" s="1" t="s">
        <v>4227</v>
      </c>
      <c r="S204" s="1">
        <v>9326969111</v>
      </c>
      <c r="T204" s="1" t="s">
        <v>496</v>
      </c>
      <c r="U204" s="1" t="s">
        <v>4228</v>
      </c>
      <c r="V204" s="1">
        <v>9325354255</v>
      </c>
      <c r="W204" s="1" t="s">
        <v>122</v>
      </c>
      <c r="X204" s="1" t="s">
        <v>4229</v>
      </c>
      <c r="Y204" s="1" t="s">
        <v>405</v>
      </c>
      <c r="Z204" s="1" t="s">
        <v>92</v>
      </c>
      <c r="AA204" s="1" t="s">
        <v>4230</v>
      </c>
      <c r="AB204" s="1" t="s">
        <v>405</v>
      </c>
      <c r="AC204" s="1" t="s">
        <v>92</v>
      </c>
      <c r="AD204" s="1">
        <v>9.0</v>
      </c>
      <c r="AE204" s="1" t="s">
        <v>93</v>
      </c>
      <c r="AF204" s="1" t="s">
        <v>4231</v>
      </c>
      <c r="AG204" s="1" t="s">
        <v>4232</v>
      </c>
      <c r="AH204" s="1" t="s">
        <v>3098</v>
      </c>
      <c r="AI204" s="1" t="s">
        <v>456</v>
      </c>
      <c r="AJ204" s="1">
        <v>89.8</v>
      </c>
      <c r="AK204" s="1"/>
      <c r="AL204" s="1" t="s">
        <v>4233</v>
      </c>
      <c r="AM204" s="1" t="s">
        <v>4232</v>
      </c>
      <c r="AN204" s="1" t="s">
        <v>162</v>
      </c>
      <c r="AO204" s="1" t="s">
        <v>457</v>
      </c>
      <c r="AP204" s="1">
        <v>69.08</v>
      </c>
      <c r="AQ204" s="1"/>
      <c r="AR204" s="1"/>
      <c r="AS204" s="1"/>
      <c r="AT204" s="1"/>
      <c r="AU204" s="1"/>
      <c r="AV204" s="1"/>
      <c r="AW204" s="1"/>
      <c r="AX204" s="1" t="s">
        <v>4234</v>
      </c>
      <c r="AY204" s="1" t="s">
        <v>3914</v>
      </c>
      <c r="AZ204" s="1" t="s">
        <v>101</v>
      </c>
      <c r="BA204" s="1" t="s">
        <v>174</v>
      </c>
      <c r="BB204" s="1">
        <v>73.3</v>
      </c>
      <c r="BC204" s="1"/>
      <c r="BD204" s="1"/>
      <c r="BE204" s="1"/>
      <c r="BF204" s="1"/>
      <c r="BG204" s="1"/>
      <c r="BH204" s="1"/>
      <c r="BI204" s="1"/>
      <c r="BJ204" s="1" t="s">
        <v>4235</v>
      </c>
      <c r="BK204" s="1" t="s">
        <v>4236</v>
      </c>
      <c r="BL204" s="1" t="s">
        <v>3239</v>
      </c>
      <c r="BM204" s="1" t="s">
        <v>4237</v>
      </c>
      <c r="BN204" s="1">
        <v>34</v>
      </c>
      <c r="BO204" s="1" t="s">
        <v>4238</v>
      </c>
      <c r="BP204" s="1" t="str">
        <f>HYPERLINK("https://nconnect.nicmar.ac.in/storage/profile/ProfilePhoto_P25700144_267184.jpg","Download")</f>
        <v>0</v>
      </c>
      <c r="BQ204" s="3"/>
      <c r="BR204" s="3"/>
    </row>
    <row r="205" spans="1:70">
      <c r="A205" s="1" t="s">
        <v>70</v>
      </c>
      <c r="B205" s="1" t="s">
        <v>1269</v>
      </c>
      <c r="C205" s="1" t="s">
        <v>4239</v>
      </c>
      <c r="D205" s="1" t="s">
        <v>2713</v>
      </c>
      <c r="E205" s="1"/>
      <c r="F205" s="1" t="s">
        <v>4240</v>
      </c>
      <c r="G205" s="1" t="s">
        <v>4241</v>
      </c>
      <c r="H205" s="1" t="s">
        <v>4242</v>
      </c>
      <c r="I205" s="1" t="s">
        <v>4243</v>
      </c>
      <c r="J205" s="1">
        <v>7095686464</v>
      </c>
      <c r="K205" s="1" t="s">
        <v>79</v>
      </c>
      <c r="L205" s="1" t="s">
        <v>4244</v>
      </c>
      <c r="M205" s="1" t="s">
        <v>81</v>
      </c>
      <c r="N205" s="1" t="s">
        <v>4245</v>
      </c>
      <c r="O205" s="1"/>
      <c r="P205" s="1" t="s">
        <v>1278</v>
      </c>
      <c r="Q205" s="1" t="s">
        <v>4246</v>
      </c>
      <c r="R205" s="1" t="s">
        <v>4247</v>
      </c>
      <c r="S205" s="1">
        <v>9440917196</v>
      </c>
      <c r="T205" s="1" t="s">
        <v>4248</v>
      </c>
      <c r="U205" s="1" t="s">
        <v>4249</v>
      </c>
      <c r="V205" s="1">
        <v>9492335142</v>
      </c>
      <c r="W205" s="1" t="s">
        <v>273</v>
      </c>
      <c r="X205" s="1" t="s">
        <v>4250</v>
      </c>
      <c r="Y205" s="1" t="s">
        <v>4251</v>
      </c>
      <c r="Z205" s="1" t="s">
        <v>276</v>
      </c>
      <c r="AA205" s="1" t="s">
        <v>4250</v>
      </c>
      <c r="AB205" s="1" t="s">
        <v>4251</v>
      </c>
      <c r="AC205" s="1" t="s">
        <v>276</v>
      </c>
      <c r="AD205" s="1">
        <v>9.6</v>
      </c>
      <c r="AE205" s="1" t="s">
        <v>93</v>
      </c>
      <c r="AF205" s="1" t="s">
        <v>4252</v>
      </c>
      <c r="AG205" s="1" t="s">
        <v>4253</v>
      </c>
      <c r="AH205" s="1" t="s">
        <v>97</v>
      </c>
      <c r="AI205" s="1" t="s">
        <v>678</v>
      </c>
      <c r="AJ205" s="1">
        <v>95</v>
      </c>
      <c r="AK205" s="1">
        <v>10</v>
      </c>
      <c r="AL205" s="1" t="s">
        <v>4254</v>
      </c>
      <c r="AM205" s="1" t="s">
        <v>3291</v>
      </c>
      <c r="AN205" s="1" t="s">
        <v>165</v>
      </c>
      <c r="AO205" s="1" t="s">
        <v>308</v>
      </c>
      <c r="AP205" s="1">
        <v>93.2</v>
      </c>
      <c r="AQ205" s="1">
        <v>9.32</v>
      </c>
      <c r="AR205" s="1"/>
      <c r="AS205" s="1"/>
      <c r="AT205" s="1"/>
      <c r="AU205" s="1"/>
      <c r="AV205" s="1"/>
      <c r="AW205" s="1"/>
      <c r="AX205" s="1" t="s">
        <v>4254</v>
      </c>
      <c r="AY205" s="1" t="s">
        <v>4255</v>
      </c>
      <c r="AZ205" s="1" t="s">
        <v>433</v>
      </c>
      <c r="BA205" s="1" t="s">
        <v>682</v>
      </c>
      <c r="BB205" s="1">
        <v>98</v>
      </c>
      <c r="BC205" s="1">
        <v>9.8</v>
      </c>
      <c r="BD205" s="1"/>
      <c r="BE205" s="1"/>
      <c r="BF205" s="1"/>
      <c r="BG205" s="1"/>
      <c r="BH205" s="1"/>
      <c r="BI205" s="1"/>
      <c r="BJ205" s="1" t="s">
        <v>4256</v>
      </c>
      <c r="BK205" s="1"/>
      <c r="BL205" s="1"/>
      <c r="BM205" s="1" t="s">
        <v>4257</v>
      </c>
      <c r="BN205" s="1">
        <v>7</v>
      </c>
      <c r="BO205" s="1" t="s">
        <v>4258</v>
      </c>
      <c r="BP205" s="1" t="str">
        <f>HYPERLINK("https://nconnect.nicmar.ac.in/storage/profile/ProfilePhoto_P25700145_843721.jpg","Download")</f>
        <v>0</v>
      </c>
      <c r="BQ205" s="3"/>
      <c r="BR205" s="3"/>
    </row>
    <row r="206" spans="1:70">
      <c r="A206" s="1" t="s">
        <v>70</v>
      </c>
      <c r="B206" s="1" t="s">
        <v>1269</v>
      </c>
      <c r="C206" s="1" t="s">
        <v>4259</v>
      </c>
      <c r="D206" s="1" t="s">
        <v>4260</v>
      </c>
      <c r="E206" s="1" t="s">
        <v>111</v>
      </c>
      <c r="F206" s="1" t="s">
        <v>112</v>
      </c>
      <c r="G206" s="1" t="s">
        <v>4261</v>
      </c>
      <c r="H206" s="1" t="s">
        <v>4262</v>
      </c>
      <c r="I206" s="1" t="s">
        <v>4263</v>
      </c>
      <c r="J206" s="1">
        <v>8075638788</v>
      </c>
      <c r="K206" s="1" t="s">
        <v>148</v>
      </c>
      <c r="L206" s="1" t="s">
        <v>4264</v>
      </c>
      <c r="M206" s="1" t="s">
        <v>81</v>
      </c>
      <c r="N206" s="1" t="s">
        <v>4265</v>
      </c>
      <c r="O206" s="1"/>
      <c r="P206" s="1" t="s">
        <v>1323</v>
      </c>
      <c r="Q206" s="1" t="s">
        <v>4266</v>
      </c>
      <c r="R206" s="1" t="s">
        <v>4267</v>
      </c>
      <c r="S206" s="1">
        <v>9495224246</v>
      </c>
      <c r="T206" s="1" t="s">
        <v>4268</v>
      </c>
      <c r="U206" s="1" t="s">
        <v>4269</v>
      </c>
      <c r="V206" s="1">
        <v>9496226561</v>
      </c>
      <c r="W206" s="1" t="s">
        <v>4270</v>
      </c>
      <c r="X206" s="1" t="s">
        <v>4271</v>
      </c>
      <c r="Y206" s="1" t="s">
        <v>1491</v>
      </c>
      <c r="Z206" s="1" t="s">
        <v>125</v>
      </c>
      <c r="AA206" s="1" t="s">
        <v>4271</v>
      </c>
      <c r="AB206" s="1" t="s">
        <v>1491</v>
      </c>
      <c r="AC206" s="1" t="s">
        <v>125</v>
      </c>
      <c r="AD206" s="1">
        <v>7.99</v>
      </c>
      <c r="AE206" s="1" t="s">
        <v>93</v>
      </c>
      <c r="AF206" s="1" t="s">
        <v>4272</v>
      </c>
      <c r="AG206" s="1" t="s">
        <v>4273</v>
      </c>
      <c r="AH206" s="1" t="s">
        <v>527</v>
      </c>
      <c r="AI206" s="1" t="s">
        <v>195</v>
      </c>
      <c r="AJ206" s="1">
        <v>86.66</v>
      </c>
      <c r="AK206" s="1"/>
      <c r="AL206" s="1" t="s">
        <v>4272</v>
      </c>
      <c r="AM206" s="1" t="s">
        <v>4274</v>
      </c>
      <c r="AN206" s="1" t="s">
        <v>165</v>
      </c>
      <c r="AO206" s="1" t="s">
        <v>409</v>
      </c>
      <c r="AP206" s="1">
        <v>78.1</v>
      </c>
      <c r="AQ206" s="1"/>
      <c r="AR206" s="1"/>
      <c r="AS206" s="1"/>
      <c r="AT206" s="1"/>
      <c r="AU206" s="1"/>
      <c r="AV206" s="1"/>
      <c r="AW206" s="1"/>
      <c r="AX206" s="1" t="s">
        <v>132</v>
      </c>
      <c r="AY206" s="1" t="s">
        <v>4275</v>
      </c>
      <c r="AZ206" s="1" t="s">
        <v>310</v>
      </c>
      <c r="BA206" s="1" t="s">
        <v>174</v>
      </c>
      <c r="BB206" s="1">
        <v>70.8</v>
      </c>
      <c r="BC206" s="1">
        <v>7.08</v>
      </c>
      <c r="BD206" s="1"/>
      <c r="BE206" s="1"/>
      <c r="BF206" s="1"/>
      <c r="BG206" s="1"/>
      <c r="BH206" s="1"/>
      <c r="BI206" s="1"/>
      <c r="BJ206" s="1" t="s">
        <v>4276</v>
      </c>
      <c r="BK206" s="1" t="s">
        <v>4277</v>
      </c>
      <c r="BL206" s="1" t="s">
        <v>1919</v>
      </c>
      <c r="BM206" s="1" t="s">
        <v>4278</v>
      </c>
      <c r="BN206" s="1">
        <v>9</v>
      </c>
      <c r="BO206" s="1"/>
      <c r="BP206" s="1" t="str">
        <f>HYPERLINK("https://nconnect.nicmar.ac.in/storage/profile/ProfilePhoto_P25700146_681345.jpg","Download")</f>
        <v>0</v>
      </c>
      <c r="BQ206" s="3"/>
      <c r="BR206" s="3"/>
    </row>
    <row r="207" spans="1:70">
      <c r="A207" s="1" t="s">
        <v>70</v>
      </c>
      <c r="B207" s="1" t="s">
        <v>1269</v>
      </c>
      <c r="C207" s="1" t="s">
        <v>4279</v>
      </c>
      <c r="D207" s="1" t="s">
        <v>643</v>
      </c>
      <c r="E207" s="1" t="s">
        <v>4280</v>
      </c>
      <c r="F207" s="1" t="s">
        <v>4281</v>
      </c>
      <c r="G207" s="1" t="s">
        <v>4282</v>
      </c>
      <c r="H207" s="1" t="s">
        <v>4283</v>
      </c>
      <c r="I207" s="1" t="s">
        <v>4284</v>
      </c>
      <c r="J207" s="1">
        <v>7057998763</v>
      </c>
      <c r="K207" s="1" t="s">
        <v>79</v>
      </c>
      <c r="L207" s="1" t="s">
        <v>4285</v>
      </c>
      <c r="M207" s="1" t="s">
        <v>81</v>
      </c>
      <c r="N207" s="1" t="s">
        <v>4149</v>
      </c>
      <c r="O207" s="1"/>
      <c r="P207" s="1" t="s">
        <v>1298</v>
      </c>
      <c r="Q207" s="1" t="s">
        <v>4286</v>
      </c>
      <c r="R207" s="1" t="s">
        <v>4280</v>
      </c>
      <c r="S207" s="1">
        <v>7020753253</v>
      </c>
      <c r="T207" s="1" t="s">
        <v>377</v>
      </c>
      <c r="U207" s="1" t="s">
        <v>4287</v>
      </c>
      <c r="V207" s="1">
        <v>7020753052</v>
      </c>
      <c r="W207" s="1" t="s">
        <v>122</v>
      </c>
      <c r="X207" s="1" t="s">
        <v>4288</v>
      </c>
      <c r="Y207" s="1" t="s">
        <v>328</v>
      </c>
      <c r="Z207" s="1" t="s">
        <v>92</v>
      </c>
      <c r="AA207" s="1" t="s">
        <v>4288</v>
      </c>
      <c r="AB207" s="1" t="s">
        <v>328</v>
      </c>
      <c r="AC207" s="1" t="s">
        <v>92</v>
      </c>
      <c r="AD207" s="1">
        <v>8.36</v>
      </c>
      <c r="AE207" s="1" t="s">
        <v>93</v>
      </c>
      <c r="AF207" s="1" t="s">
        <v>4289</v>
      </c>
      <c r="AG207" s="1" t="s">
        <v>4290</v>
      </c>
      <c r="AH207" s="1" t="s">
        <v>279</v>
      </c>
      <c r="AI207" s="1" t="s">
        <v>195</v>
      </c>
      <c r="AJ207" s="1">
        <v>72.8</v>
      </c>
      <c r="AK207" s="1"/>
      <c r="AL207" s="1" t="s">
        <v>4291</v>
      </c>
      <c r="AM207" s="1" t="s">
        <v>4290</v>
      </c>
      <c r="AN207" s="1" t="s">
        <v>457</v>
      </c>
      <c r="AO207" s="1" t="s">
        <v>198</v>
      </c>
      <c r="AP207" s="1">
        <v>64.92</v>
      </c>
      <c r="AQ207" s="1"/>
      <c r="AR207" s="1"/>
      <c r="AS207" s="1"/>
      <c r="AT207" s="1"/>
      <c r="AU207" s="1"/>
      <c r="AV207" s="1"/>
      <c r="AW207" s="1"/>
      <c r="AX207" s="1" t="s">
        <v>335</v>
      </c>
      <c r="AY207" s="1" t="s">
        <v>4292</v>
      </c>
      <c r="AZ207" s="1" t="s">
        <v>201</v>
      </c>
      <c r="BA207" s="1" t="s">
        <v>174</v>
      </c>
      <c r="BB207" s="1">
        <v>73.7</v>
      </c>
      <c r="BC207" s="1">
        <v>8.48</v>
      </c>
      <c r="BD207" s="1"/>
      <c r="BE207" s="1"/>
      <c r="BF207" s="1"/>
      <c r="BG207" s="1"/>
      <c r="BH207" s="1"/>
      <c r="BI207" s="1"/>
      <c r="BJ207" s="1" t="s">
        <v>4162</v>
      </c>
      <c r="BK207" s="1"/>
      <c r="BL207" s="1"/>
      <c r="BM207" s="1" t="s">
        <v>4293</v>
      </c>
      <c r="BN207" s="1">
        <v>75</v>
      </c>
      <c r="BO207" s="1"/>
      <c r="BP207" s="1" t="str">
        <f>HYPERLINK("https://nconnect.nicmar.ac.in/storage/profile/ProfilePhoto_P25700147_396871.jpg","Download")</f>
        <v>0</v>
      </c>
      <c r="BQ207" s="3"/>
      <c r="BR207" s="3"/>
    </row>
    <row r="208" spans="1:70">
      <c r="A208" s="1" t="s">
        <v>70</v>
      </c>
      <c r="B208" s="1" t="s">
        <v>1269</v>
      </c>
      <c r="C208" s="1" t="s">
        <v>4294</v>
      </c>
      <c r="D208" s="1" t="s">
        <v>4295</v>
      </c>
      <c r="E208" s="1" t="s">
        <v>4296</v>
      </c>
      <c r="F208" s="1" t="s">
        <v>4297</v>
      </c>
      <c r="G208" s="1" t="s">
        <v>4298</v>
      </c>
      <c r="H208" s="1" t="s">
        <v>4299</v>
      </c>
      <c r="I208" s="1" t="s">
        <v>4300</v>
      </c>
      <c r="J208" s="1">
        <v>9912223421</v>
      </c>
      <c r="K208" s="1" t="s">
        <v>79</v>
      </c>
      <c r="L208" s="1" t="s">
        <v>4301</v>
      </c>
      <c r="M208" s="1" t="s">
        <v>81</v>
      </c>
      <c r="N208" s="1" t="s">
        <v>2619</v>
      </c>
      <c r="O208" s="1"/>
      <c r="P208" s="1" t="s">
        <v>1323</v>
      </c>
      <c r="Q208" s="1" t="s">
        <v>4302</v>
      </c>
      <c r="R208" s="1" t="s">
        <v>4303</v>
      </c>
      <c r="S208" s="1">
        <v>9666580285</v>
      </c>
      <c r="T208" s="1" t="s">
        <v>154</v>
      </c>
      <c r="U208" s="1" t="s">
        <v>4304</v>
      </c>
      <c r="V208" s="1">
        <v>7093580285</v>
      </c>
      <c r="W208" s="1" t="s">
        <v>156</v>
      </c>
      <c r="X208" s="1" t="s">
        <v>4305</v>
      </c>
      <c r="Y208" s="1" t="s">
        <v>4306</v>
      </c>
      <c r="Z208" s="1" t="s">
        <v>276</v>
      </c>
      <c r="AA208" s="1" t="s">
        <v>4305</v>
      </c>
      <c r="AB208" s="1" t="s">
        <v>4306</v>
      </c>
      <c r="AC208" s="1" t="s">
        <v>276</v>
      </c>
      <c r="AD208" s="1">
        <v>9.11</v>
      </c>
      <c r="AE208" s="1" t="s">
        <v>93</v>
      </c>
      <c r="AF208" s="1" t="s">
        <v>4307</v>
      </c>
      <c r="AG208" s="1" t="s">
        <v>3118</v>
      </c>
      <c r="AH208" s="1" t="s">
        <v>101</v>
      </c>
      <c r="AI208" s="1" t="s">
        <v>1065</v>
      </c>
      <c r="AJ208" s="1">
        <v>95</v>
      </c>
      <c r="AK208" s="1"/>
      <c r="AL208" s="1" t="s">
        <v>4308</v>
      </c>
      <c r="AM208" s="1" t="s">
        <v>1154</v>
      </c>
      <c r="AN208" s="1" t="s">
        <v>433</v>
      </c>
      <c r="AO208" s="1" t="s">
        <v>504</v>
      </c>
      <c r="AP208" s="1">
        <v>95.8</v>
      </c>
      <c r="AQ208" s="1"/>
      <c r="AR208" s="1"/>
      <c r="AS208" s="1"/>
      <c r="AT208" s="1"/>
      <c r="AU208" s="1"/>
      <c r="AV208" s="1"/>
      <c r="AW208" s="1"/>
      <c r="AX208" s="1" t="s">
        <v>3894</v>
      </c>
      <c r="AY208" s="1" t="s">
        <v>4309</v>
      </c>
      <c r="AZ208" s="1" t="s">
        <v>135</v>
      </c>
      <c r="BA208" s="1" t="s">
        <v>1408</v>
      </c>
      <c r="BB208" s="1">
        <v>73.8</v>
      </c>
      <c r="BC208" s="1">
        <v>8.13</v>
      </c>
      <c r="BD208" s="1"/>
      <c r="BE208" s="1"/>
      <c r="BF208" s="1"/>
      <c r="BG208" s="1"/>
      <c r="BH208" s="1"/>
      <c r="BI208" s="1"/>
      <c r="BJ208" s="1" t="s">
        <v>4310</v>
      </c>
      <c r="BK208" s="1"/>
      <c r="BL208" s="1"/>
      <c r="BM208" s="1" t="s">
        <v>4311</v>
      </c>
      <c r="BN208" s="1">
        <v>29</v>
      </c>
      <c r="BO208" s="1"/>
      <c r="BP208" s="1" t="str">
        <f>HYPERLINK("https://nconnect.nicmar.ac.in/storage/profile/ProfilePhoto_P25700148_324976.jpg","Download")</f>
        <v>0</v>
      </c>
      <c r="BQ208" s="3"/>
      <c r="BR208" s="3"/>
    </row>
    <row r="209" spans="1:70">
      <c r="A209" s="1" t="s">
        <v>70</v>
      </c>
      <c r="B209" s="1" t="s">
        <v>1269</v>
      </c>
      <c r="C209" s="1" t="s">
        <v>4312</v>
      </c>
      <c r="D209" s="1" t="s">
        <v>4313</v>
      </c>
      <c r="E209" s="1" t="s">
        <v>3224</v>
      </c>
      <c r="F209" s="1" t="s">
        <v>4314</v>
      </c>
      <c r="G209" s="1" t="s">
        <v>4315</v>
      </c>
      <c r="H209" s="1" t="s">
        <v>4316</v>
      </c>
      <c r="I209" s="1" t="s">
        <v>4317</v>
      </c>
      <c r="J209" s="1">
        <v>9356983364</v>
      </c>
      <c r="K209" s="1" t="s">
        <v>79</v>
      </c>
      <c r="L209" s="1" t="s">
        <v>4318</v>
      </c>
      <c r="M209" s="1" t="s">
        <v>81</v>
      </c>
      <c r="N209" s="1" t="s">
        <v>151</v>
      </c>
      <c r="O209" s="1"/>
      <c r="P209" s="1" t="s">
        <v>1278</v>
      </c>
      <c r="Q209" s="1" t="s">
        <v>4319</v>
      </c>
      <c r="R209" s="1" t="s">
        <v>3224</v>
      </c>
      <c r="S209" s="1">
        <v>9637679179</v>
      </c>
      <c r="T209" s="1" t="s">
        <v>976</v>
      </c>
      <c r="U209" s="1" t="s">
        <v>4320</v>
      </c>
      <c r="V209" s="1">
        <v>8010478216</v>
      </c>
      <c r="W209" s="1" t="s">
        <v>976</v>
      </c>
      <c r="X209" s="1" t="s">
        <v>4321</v>
      </c>
      <c r="Y209" s="1" t="s">
        <v>4322</v>
      </c>
      <c r="Z209" s="1" t="s">
        <v>92</v>
      </c>
      <c r="AA209" s="1" t="s">
        <v>4321</v>
      </c>
      <c r="AB209" s="1" t="s">
        <v>4322</v>
      </c>
      <c r="AC209" s="1" t="s">
        <v>92</v>
      </c>
      <c r="AD209" s="1">
        <v>7.59</v>
      </c>
      <c r="AE209" s="1" t="s">
        <v>93</v>
      </c>
      <c r="AF209" s="1" t="s">
        <v>4323</v>
      </c>
      <c r="AG209" s="1" t="s">
        <v>4324</v>
      </c>
      <c r="AH209" s="1" t="s">
        <v>165</v>
      </c>
      <c r="AI209" s="1" t="s">
        <v>281</v>
      </c>
      <c r="AJ209" s="1">
        <v>84</v>
      </c>
      <c r="AK209" s="1"/>
      <c r="AL209" s="1"/>
      <c r="AM209" s="1"/>
      <c r="AN209" s="1"/>
      <c r="AO209" s="1"/>
      <c r="AP209" s="1"/>
      <c r="AQ209" s="1"/>
      <c r="AR209" s="1" t="s">
        <v>434</v>
      </c>
      <c r="AS209" s="1" t="s">
        <v>4325</v>
      </c>
      <c r="AT209" s="1" t="s">
        <v>636</v>
      </c>
      <c r="AU209" s="1" t="s">
        <v>436</v>
      </c>
      <c r="AV209" s="1">
        <v>84.26</v>
      </c>
      <c r="AW209" s="1"/>
      <c r="AX209" s="1" t="s">
        <v>361</v>
      </c>
      <c r="AY209" s="1" t="s">
        <v>4326</v>
      </c>
      <c r="AZ209" s="1" t="s">
        <v>897</v>
      </c>
      <c r="BA209" s="1" t="s">
        <v>202</v>
      </c>
      <c r="BB209" s="1">
        <v>65.1</v>
      </c>
      <c r="BC209" s="1">
        <v>7.26</v>
      </c>
      <c r="BD209" s="1"/>
      <c r="BE209" s="1"/>
      <c r="BF209" s="1"/>
      <c r="BG209" s="1"/>
      <c r="BH209" s="1"/>
      <c r="BI209" s="1"/>
      <c r="BJ209" s="1" t="s">
        <v>1715</v>
      </c>
      <c r="BK209" s="1"/>
      <c r="BL209" s="1"/>
      <c r="BM209" s="1"/>
      <c r="BN209" s="1"/>
      <c r="BO209" s="1"/>
      <c r="BP209" s="1" t="str">
        <f>HYPERLINK("https://nconnect.nicmar.ac.in/storage/profile/ProfilePhoto_P25700150_725196.jpg","Download")</f>
        <v>0</v>
      </c>
      <c r="BQ209" s="3"/>
      <c r="BR209" s="3"/>
    </row>
    <row r="210" spans="1:70">
      <c r="A210" s="1" t="s">
        <v>70</v>
      </c>
      <c r="B210" s="1" t="s">
        <v>1269</v>
      </c>
      <c r="C210" s="1" t="s">
        <v>4327</v>
      </c>
      <c r="D210" s="1" t="s">
        <v>4328</v>
      </c>
      <c r="E210" s="1" t="s">
        <v>4329</v>
      </c>
      <c r="F210" s="1" t="s">
        <v>2190</v>
      </c>
      <c r="G210" s="1" t="s">
        <v>4330</v>
      </c>
      <c r="H210" s="1" t="s">
        <v>4331</v>
      </c>
      <c r="I210" s="1" t="s">
        <v>4332</v>
      </c>
      <c r="J210" s="1">
        <v>9544771062</v>
      </c>
      <c r="K210" s="1" t="s">
        <v>79</v>
      </c>
      <c r="L210" s="1" t="s">
        <v>4333</v>
      </c>
      <c r="M210" s="1" t="s">
        <v>81</v>
      </c>
      <c r="N210" s="1" t="s">
        <v>3945</v>
      </c>
      <c r="O210" s="1"/>
      <c r="P210" s="1" t="s">
        <v>1278</v>
      </c>
      <c r="Q210" s="1" t="s">
        <v>4334</v>
      </c>
      <c r="R210" s="1" t="s">
        <v>4335</v>
      </c>
      <c r="S210" s="1">
        <v>9447478542</v>
      </c>
      <c r="T210" s="1" t="s">
        <v>87</v>
      </c>
      <c r="U210" s="1" t="s">
        <v>4336</v>
      </c>
      <c r="V210" s="1">
        <v>9037255594</v>
      </c>
      <c r="W210" s="1" t="s">
        <v>122</v>
      </c>
      <c r="X210" s="1" t="s">
        <v>4337</v>
      </c>
      <c r="Y210" s="1" t="s">
        <v>4338</v>
      </c>
      <c r="Z210" s="1" t="s">
        <v>125</v>
      </c>
      <c r="AA210" s="1" t="s">
        <v>4337</v>
      </c>
      <c r="AB210" s="1" t="s">
        <v>4338</v>
      </c>
      <c r="AC210" s="1" t="s">
        <v>125</v>
      </c>
      <c r="AD210" s="1">
        <v>8.47</v>
      </c>
      <c r="AE210" s="1" t="s">
        <v>93</v>
      </c>
      <c r="AF210" s="1" t="s">
        <v>4339</v>
      </c>
      <c r="AG210" s="1" t="s">
        <v>4340</v>
      </c>
      <c r="AH210" s="1" t="s">
        <v>165</v>
      </c>
      <c r="AI210" s="1" t="s">
        <v>166</v>
      </c>
      <c r="AJ210" s="1">
        <v>82.1</v>
      </c>
      <c r="AK210" s="1"/>
      <c r="AL210" s="1" t="s">
        <v>4339</v>
      </c>
      <c r="AM210" s="1" t="s">
        <v>4340</v>
      </c>
      <c r="AN210" s="1" t="s">
        <v>433</v>
      </c>
      <c r="AO210" s="1" t="s">
        <v>173</v>
      </c>
      <c r="AP210" s="1">
        <v>90.6</v>
      </c>
      <c r="AQ210" s="1"/>
      <c r="AR210" s="1"/>
      <c r="AS210" s="1"/>
      <c r="AT210" s="1"/>
      <c r="AU210" s="1"/>
      <c r="AV210" s="1"/>
      <c r="AW210" s="1"/>
      <c r="AX210" s="1" t="s">
        <v>132</v>
      </c>
      <c r="AY210" s="1" t="s">
        <v>4341</v>
      </c>
      <c r="AZ210" s="1" t="s">
        <v>920</v>
      </c>
      <c r="BA210" s="1" t="s">
        <v>202</v>
      </c>
      <c r="BB210" s="1">
        <v>72.8</v>
      </c>
      <c r="BC210" s="1">
        <v>7.28</v>
      </c>
      <c r="BD210" s="1"/>
      <c r="BE210" s="1"/>
      <c r="BF210" s="1"/>
      <c r="BG210" s="1"/>
      <c r="BH210" s="1"/>
      <c r="BI210" s="1"/>
      <c r="BJ210" s="1" t="s">
        <v>255</v>
      </c>
      <c r="BK210" s="1"/>
      <c r="BL210" s="1"/>
      <c r="BM210" s="1" t="s">
        <v>4342</v>
      </c>
      <c r="BN210" s="1">
        <v>32</v>
      </c>
      <c r="BO210" s="1"/>
      <c r="BP210" s="1" t="str">
        <f>HYPERLINK("https://nconnect.nicmar.ac.in/storage/profile/ProfilePhoto_P25700151_798532.jpg","Download")</f>
        <v>0</v>
      </c>
      <c r="BQ210" s="3"/>
      <c r="BR210" s="3"/>
    </row>
    <row r="211" spans="1:70">
      <c r="A211" s="1" t="s">
        <v>70</v>
      </c>
      <c r="B211" s="1" t="s">
        <v>1269</v>
      </c>
      <c r="C211" s="1" t="s">
        <v>4343</v>
      </c>
      <c r="D211" s="1" t="s">
        <v>4344</v>
      </c>
      <c r="E211" s="1" t="s">
        <v>4345</v>
      </c>
      <c r="F211" s="1" t="s">
        <v>4346</v>
      </c>
      <c r="G211" s="1" t="s">
        <v>4347</v>
      </c>
      <c r="H211" s="1" t="s">
        <v>4348</v>
      </c>
      <c r="I211" s="1" t="s">
        <v>4349</v>
      </c>
      <c r="J211" s="1">
        <v>9370223063</v>
      </c>
      <c r="K211" s="1" t="s">
        <v>79</v>
      </c>
      <c r="L211" s="1" t="s">
        <v>4350</v>
      </c>
      <c r="M211" s="1" t="s">
        <v>81</v>
      </c>
      <c r="N211" s="1" t="s">
        <v>1618</v>
      </c>
      <c r="O211" s="1"/>
      <c r="P211" s="1" t="s">
        <v>1298</v>
      </c>
      <c r="Q211" s="1" t="s">
        <v>4351</v>
      </c>
      <c r="R211" s="1" t="s">
        <v>4345</v>
      </c>
      <c r="S211" s="1">
        <v>9561241685</v>
      </c>
      <c r="T211" s="1" t="s">
        <v>87</v>
      </c>
      <c r="U211" s="1" t="s">
        <v>4352</v>
      </c>
      <c r="V211" s="1">
        <v>8788521371</v>
      </c>
      <c r="W211" s="1" t="s">
        <v>4353</v>
      </c>
      <c r="X211" s="1" t="s">
        <v>4354</v>
      </c>
      <c r="Y211" s="1" t="s">
        <v>191</v>
      </c>
      <c r="Z211" s="1" t="s">
        <v>92</v>
      </c>
      <c r="AA211" s="1" t="s">
        <v>4354</v>
      </c>
      <c r="AB211" s="1" t="s">
        <v>191</v>
      </c>
      <c r="AC211" s="1" t="s">
        <v>92</v>
      </c>
      <c r="AD211" s="1">
        <v>7.15</v>
      </c>
      <c r="AE211" s="1" t="s">
        <v>93</v>
      </c>
      <c r="AF211" s="1" t="s">
        <v>4355</v>
      </c>
      <c r="AG211" s="1" t="s">
        <v>160</v>
      </c>
      <c r="AH211" s="1" t="s">
        <v>998</v>
      </c>
      <c r="AI211" s="1" t="s">
        <v>101</v>
      </c>
      <c r="AJ211" s="1">
        <v>78.8</v>
      </c>
      <c r="AK211" s="1"/>
      <c r="AL211" s="1"/>
      <c r="AM211" s="1"/>
      <c r="AN211" s="1"/>
      <c r="AO211" s="1"/>
      <c r="AP211" s="1"/>
      <c r="AQ211" s="1"/>
      <c r="AR211" s="1" t="s">
        <v>434</v>
      </c>
      <c r="AS211" s="1" t="s">
        <v>4356</v>
      </c>
      <c r="AT211" s="1" t="s">
        <v>101</v>
      </c>
      <c r="AU211" s="1" t="s">
        <v>481</v>
      </c>
      <c r="AV211" s="1">
        <v>68.89</v>
      </c>
      <c r="AW211" s="1"/>
      <c r="AX211" s="1" t="s">
        <v>361</v>
      </c>
      <c r="AY211" s="1" t="s">
        <v>4357</v>
      </c>
      <c r="AZ211" s="1" t="s">
        <v>616</v>
      </c>
      <c r="BA211" s="1" t="s">
        <v>1714</v>
      </c>
      <c r="BB211" s="1">
        <v>69</v>
      </c>
      <c r="BC211" s="1"/>
      <c r="BD211" s="1"/>
      <c r="BE211" s="1"/>
      <c r="BF211" s="1"/>
      <c r="BG211" s="1"/>
      <c r="BH211" s="1"/>
      <c r="BI211" s="1"/>
      <c r="BJ211" s="1" t="s">
        <v>1383</v>
      </c>
      <c r="BK211" s="1"/>
      <c r="BL211" s="1"/>
      <c r="BM211" s="1" t="s">
        <v>4358</v>
      </c>
      <c r="BN211" s="1">
        <v>26</v>
      </c>
      <c r="BO211" s="1"/>
      <c r="BP211" s="1" t="str">
        <f>HYPERLINK("https://nconnect.nicmar.ac.in/storage/profile/ProfilePhoto_P25700152_346972.jpg","Download")</f>
        <v>0</v>
      </c>
      <c r="BQ211" s="3"/>
      <c r="BR211" s="3"/>
    </row>
    <row r="212" spans="1:70">
      <c r="A212" s="1" t="s">
        <v>70</v>
      </c>
      <c r="B212" s="1" t="s">
        <v>1269</v>
      </c>
      <c r="C212" s="1" t="s">
        <v>4359</v>
      </c>
      <c r="D212" s="1" t="s">
        <v>4360</v>
      </c>
      <c r="E212" s="1"/>
      <c r="F212" s="1" t="s">
        <v>4361</v>
      </c>
      <c r="G212" s="1" t="s">
        <v>4362</v>
      </c>
      <c r="H212" s="1" t="s">
        <v>4363</v>
      </c>
      <c r="I212" s="1" t="s">
        <v>4364</v>
      </c>
      <c r="J212" s="1">
        <v>8790556579</v>
      </c>
      <c r="K212" s="1" t="s">
        <v>79</v>
      </c>
      <c r="L212" s="1" t="s">
        <v>4365</v>
      </c>
      <c r="M212" s="1" t="s">
        <v>81</v>
      </c>
      <c r="N212" s="1" t="s">
        <v>2274</v>
      </c>
      <c r="O212" s="1"/>
      <c r="P212" s="1" t="s">
        <v>1278</v>
      </c>
      <c r="Q212" s="1" t="s">
        <v>4366</v>
      </c>
      <c r="R212" s="1" t="s">
        <v>4367</v>
      </c>
      <c r="S212" s="1">
        <v>9177433255</v>
      </c>
      <c r="T212" s="1" t="s">
        <v>4368</v>
      </c>
      <c r="U212" s="1" t="s">
        <v>4369</v>
      </c>
      <c r="V212" s="1">
        <v>9177433255</v>
      </c>
      <c r="W212" s="1" t="s">
        <v>4370</v>
      </c>
      <c r="X212" s="1" t="s">
        <v>4371</v>
      </c>
      <c r="Y212" s="1" t="s">
        <v>4372</v>
      </c>
      <c r="Z212" s="1" t="s">
        <v>276</v>
      </c>
      <c r="AA212" s="1" t="s">
        <v>4371</v>
      </c>
      <c r="AB212" s="1" t="s">
        <v>4372</v>
      </c>
      <c r="AC212" s="1" t="s">
        <v>276</v>
      </c>
      <c r="AD212" s="1">
        <v>9.06</v>
      </c>
      <c r="AE212" s="1" t="s">
        <v>93</v>
      </c>
      <c r="AF212" s="1" t="s">
        <v>4373</v>
      </c>
      <c r="AG212" s="1" t="s">
        <v>1064</v>
      </c>
      <c r="AH212" s="1" t="s">
        <v>161</v>
      </c>
      <c r="AI212" s="1" t="s">
        <v>456</v>
      </c>
      <c r="AJ212" s="1">
        <v>83.6</v>
      </c>
      <c r="AK212" s="1">
        <v>8.8</v>
      </c>
      <c r="AL212" s="1" t="s">
        <v>612</v>
      </c>
      <c r="AM212" s="1" t="s">
        <v>1154</v>
      </c>
      <c r="AN212" s="1" t="s">
        <v>165</v>
      </c>
      <c r="AO212" s="1" t="s">
        <v>281</v>
      </c>
      <c r="AP212" s="1">
        <v>94</v>
      </c>
      <c r="AQ212" s="1">
        <v>0</v>
      </c>
      <c r="AR212" s="1"/>
      <c r="AS212" s="1"/>
      <c r="AT212" s="1"/>
      <c r="AU212" s="1"/>
      <c r="AV212" s="1"/>
      <c r="AW212" s="1"/>
      <c r="AX212" s="1" t="s">
        <v>3120</v>
      </c>
      <c r="AY212" s="1" t="s">
        <v>4374</v>
      </c>
      <c r="AZ212" s="1" t="s">
        <v>201</v>
      </c>
      <c r="BA212" s="1" t="s">
        <v>174</v>
      </c>
      <c r="BB212" s="1">
        <v>65.48</v>
      </c>
      <c r="BC212" s="1">
        <v>6.78</v>
      </c>
      <c r="BD212" s="1"/>
      <c r="BE212" s="1"/>
      <c r="BF212" s="1"/>
      <c r="BG212" s="1"/>
      <c r="BH212" s="1"/>
      <c r="BI212" s="1"/>
      <c r="BJ212" s="1" t="s">
        <v>4375</v>
      </c>
      <c r="BK212" s="1"/>
      <c r="BL212" s="1"/>
      <c r="BM212" s="1" t="s">
        <v>4376</v>
      </c>
      <c r="BN212" s="1">
        <v>26</v>
      </c>
      <c r="BO212" s="1" t="s">
        <v>1499</v>
      </c>
      <c r="BP212" s="1" t="str">
        <f>HYPERLINK("https://nconnect.nicmar.ac.in/storage/profile/ProfilePhoto_P25700153_315628.jpg","Download")</f>
        <v>0</v>
      </c>
      <c r="BQ212" s="3"/>
      <c r="BR212" s="3"/>
    </row>
    <row r="213" spans="1:70">
      <c r="A213" s="1" t="s">
        <v>70</v>
      </c>
      <c r="B213" s="1" t="s">
        <v>1269</v>
      </c>
      <c r="C213" s="1" t="s">
        <v>4377</v>
      </c>
      <c r="D213" s="1" t="s">
        <v>1740</v>
      </c>
      <c r="E213" s="1"/>
      <c r="F213" s="1" t="s">
        <v>596</v>
      </c>
      <c r="G213" s="1" t="s">
        <v>4378</v>
      </c>
      <c r="H213" s="1" t="s">
        <v>4379</v>
      </c>
      <c r="I213" s="1" t="s">
        <v>4380</v>
      </c>
      <c r="J213" s="1">
        <v>9011297067</v>
      </c>
      <c r="K213" s="1" t="s">
        <v>79</v>
      </c>
      <c r="L213" s="1" t="s">
        <v>3131</v>
      </c>
      <c r="M213" s="1" t="s">
        <v>81</v>
      </c>
      <c r="N213" s="1" t="s">
        <v>241</v>
      </c>
      <c r="O213" s="1"/>
      <c r="P213" s="1" t="s">
        <v>1766</v>
      </c>
      <c r="Q213" s="1" t="s">
        <v>4381</v>
      </c>
      <c r="R213" s="1" t="s">
        <v>4382</v>
      </c>
      <c r="S213" s="1">
        <v>9822116580</v>
      </c>
      <c r="T213" s="1" t="s">
        <v>496</v>
      </c>
      <c r="U213" s="1" t="s">
        <v>4383</v>
      </c>
      <c r="V213" s="1">
        <v>9960039776</v>
      </c>
      <c r="W213" s="1" t="s">
        <v>496</v>
      </c>
      <c r="X213" s="1" t="s">
        <v>4384</v>
      </c>
      <c r="Y213" s="1" t="s">
        <v>191</v>
      </c>
      <c r="Z213" s="1" t="s">
        <v>92</v>
      </c>
      <c r="AA213" s="1" t="s">
        <v>4384</v>
      </c>
      <c r="AB213" s="1" t="s">
        <v>191</v>
      </c>
      <c r="AC213" s="1" t="s">
        <v>92</v>
      </c>
      <c r="AD213" s="1">
        <v>8.31</v>
      </c>
      <c r="AE213" s="1" t="s">
        <v>93</v>
      </c>
      <c r="AF213" s="1" t="s">
        <v>4385</v>
      </c>
      <c r="AG213" s="1" t="s">
        <v>1152</v>
      </c>
      <c r="AH213" s="1" t="s">
        <v>166</v>
      </c>
      <c r="AI213" s="1" t="s">
        <v>308</v>
      </c>
      <c r="AJ213" s="1">
        <v>84</v>
      </c>
      <c r="AK213" s="1"/>
      <c r="AL213" s="1" t="s">
        <v>4386</v>
      </c>
      <c r="AM213" s="1" t="s">
        <v>160</v>
      </c>
      <c r="AN213" s="1" t="s">
        <v>201</v>
      </c>
      <c r="AO213" s="1" t="s">
        <v>1131</v>
      </c>
      <c r="AP213" s="1">
        <v>91</v>
      </c>
      <c r="AQ213" s="1"/>
      <c r="AR213" s="1"/>
      <c r="AS213" s="1"/>
      <c r="AT213" s="1"/>
      <c r="AU213" s="1"/>
      <c r="AV213" s="1"/>
      <c r="AW213" s="1"/>
      <c r="AX213" s="1" t="s">
        <v>361</v>
      </c>
      <c r="AY213" s="1" t="s">
        <v>1976</v>
      </c>
      <c r="AZ213" s="1" t="s">
        <v>897</v>
      </c>
      <c r="BA213" s="1" t="s">
        <v>1714</v>
      </c>
      <c r="BB213" s="1">
        <v>66.3</v>
      </c>
      <c r="BC213" s="1">
        <v>7.45</v>
      </c>
      <c r="BD213" s="1"/>
      <c r="BE213" s="1"/>
      <c r="BF213" s="1"/>
      <c r="BG213" s="1"/>
      <c r="BH213" s="1"/>
      <c r="BI213" s="1"/>
      <c r="BJ213" s="1" t="s">
        <v>2145</v>
      </c>
      <c r="BK213" s="1"/>
      <c r="BL213" s="1"/>
      <c r="BM213" s="1" t="s">
        <v>4387</v>
      </c>
      <c r="BN213" s="1">
        <v>13</v>
      </c>
      <c r="BO213" s="1" t="s">
        <v>4388</v>
      </c>
      <c r="BP213" s="1" t="str">
        <f>HYPERLINK("https://nconnect.nicmar.ac.in/storage/profile/ProfilePhoto_P25700154_792485.jpg","Download")</f>
        <v>0</v>
      </c>
      <c r="BQ213" s="3"/>
      <c r="BR213" s="3"/>
    </row>
    <row r="214" spans="1:70">
      <c r="A214" s="1" t="s">
        <v>70</v>
      </c>
      <c r="B214" s="1" t="s">
        <v>1269</v>
      </c>
      <c r="C214" s="1" t="s">
        <v>4389</v>
      </c>
      <c r="D214" s="1" t="s">
        <v>4390</v>
      </c>
      <c r="E214" s="1"/>
      <c r="F214" s="1" t="s">
        <v>345</v>
      </c>
      <c r="G214" s="1" t="s">
        <v>4391</v>
      </c>
      <c r="H214" s="1" t="s">
        <v>4392</v>
      </c>
      <c r="I214" s="1" t="s">
        <v>4393</v>
      </c>
      <c r="J214" s="1">
        <v>8910562186</v>
      </c>
      <c r="K214" s="1" t="s">
        <v>79</v>
      </c>
      <c r="L214" s="1" t="s">
        <v>4394</v>
      </c>
      <c r="M214" s="1" t="s">
        <v>81</v>
      </c>
      <c r="N214" s="1" t="s">
        <v>4395</v>
      </c>
      <c r="O214" s="1"/>
      <c r="P214" s="1" t="s">
        <v>1323</v>
      </c>
      <c r="Q214" s="1" t="s">
        <v>4396</v>
      </c>
      <c r="R214" s="1" t="s">
        <v>4397</v>
      </c>
      <c r="S214" s="1">
        <v>7278584228</v>
      </c>
      <c r="T214" s="1" t="s">
        <v>120</v>
      </c>
      <c r="U214" s="1" t="s">
        <v>4398</v>
      </c>
      <c r="V214" s="1">
        <v>9525075402</v>
      </c>
      <c r="W214" s="1" t="s">
        <v>2094</v>
      </c>
      <c r="X214" s="1" t="s">
        <v>4399</v>
      </c>
      <c r="Y214" s="1" t="s">
        <v>4400</v>
      </c>
      <c r="Z214" s="1" t="s">
        <v>783</v>
      </c>
      <c r="AA214" s="1" t="s">
        <v>4399</v>
      </c>
      <c r="AB214" s="1" t="s">
        <v>4400</v>
      </c>
      <c r="AC214" s="1" t="s">
        <v>783</v>
      </c>
      <c r="AD214" s="1">
        <v>8.24</v>
      </c>
      <c r="AE214" s="1" t="s">
        <v>93</v>
      </c>
      <c r="AF214" s="1" t="s">
        <v>4401</v>
      </c>
      <c r="AG214" s="1" t="s">
        <v>4402</v>
      </c>
      <c r="AH214" s="1" t="s">
        <v>477</v>
      </c>
      <c r="AI214" s="1" t="s">
        <v>527</v>
      </c>
      <c r="AJ214" s="1">
        <v>72.2</v>
      </c>
      <c r="AK214" s="1">
        <v>7.6</v>
      </c>
      <c r="AL214" s="1" t="s">
        <v>4403</v>
      </c>
      <c r="AM214" s="1" t="s">
        <v>4404</v>
      </c>
      <c r="AN214" s="1" t="s">
        <v>165</v>
      </c>
      <c r="AO214" s="1" t="s">
        <v>101</v>
      </c>
      <c r="AP214" s="1">
        <v>65</v>
      </c>
      <c r="AQ214" s="1"/>
      <c r="AR214" s="1"/>
      <c r="AS214" s="1"/>
      <c r="AT214" s="1"/>
      <c r="AU214" s="1"/>
      <c r="AV214" s="1"/>
      <c r="AW214" s="1"/>
      <c r="AX214" s="1" t="s">
        <v>4405</v>
      </c>
      <c r="AY214" s="1" t="s">
        <v>4406</v>
      </c>
      <c r="AZ214" s="1" t="s">
        <v>636</v>
      </c>
      <c r="BA214" s="1" t="s">
        <v>284</v>
      </c>
      <c r="BB214" s="1">
        <v>79.2</v>
      </c>
      <c r="BC214" s="1">
        <v>8.67</v>
      </c>
      <c r="BD214" s="1"/>
      <c r="BE214" s="1"/>
      <c r="BF214" s="1"/>
      <c r="BG214" s="1"/>
      <c r="BH214" s="1"/>
      <c r="BI214" s="1"/>
      <c r="BJ214" s="1" t="s">
        <v>4407</v>
      </c>
      <c r="BK214" s="1" t="s">
        <v>4408</v>
      </c>
      <c r="BL214" s="1" t="s">
        <v>2652</v>
      </c>
      <c r="BM214" s="1" t="s">
        <v>4409</v>
      </c>
      <c r="BN214" s="1">
        <v>14</v>
      </c>
      <c r="BO214" s="1"/>
      <c r="BP214" s="1" t="str">
        <f>HYPERLINK("https://nconnect.nicmar.ac.in/storage/profile/ProfilePhoto_P25700155_624518.jpg","Download")</f>
        <v>0</v>
      </c>
      <c r="BQ214" s="3"/>
      <c r="BR214" s="3"/>
    </row>
    <row r="215" spans="1:70">
      <c r="A215" s="1" t="s">
        <v>70</v>
      </c>
      <c r="B215" s="1" t="s">
        <v>1269</v>
      </c>
      <c r="C215" s="1" t="s">
        <v>4410</v>
      </c>
      <c r="D215" s="1" t="s">
        <v>4411</v>
      </c>
      <c r="E215" s="1" t="s">
        <v>4412</v>
      </c>
      <c r="F215" s="1" t="s">
        <v>4413</v>
      </c>
      <c r="G215" s="1" t="s">
        <v>4414</v>
      </c>
      <c r="H215" s="1" t="s">
        <v>4415</v>
      </c>
      <c r="I215" s="1" t="s">
        <v>4416</v>
      </c>
      <c r="J215" s="1">
        <v>7219270032</v>
      </c>
      <c r="K215" s="1" t="s">
        <v>79</v>
      </c>
      <c r="L215" s="1" t="s">
        <v>4417</v>
      </c>
      <c r="M215" s="1" t="s">
        <v>81</v>
      </c>
      <c r="N215" s="1" t="s">
        <v>1418</v>
      </c>
      <c r="O215" s="1"/>
      <c r="P215" s="1" t="s">
        <v>1278</v>
      </c>
      <c r="Q215" s="1" t="s">
        <v>4418</v>
      </c>
      <c r="R215" s="1" t="s">
        <v>4419</v>
      </c>
      <c r="S215" s="1">
        <v>9561086754</v>
      </c>
      <c r="T215" s="1" t="s">
        <v>4420</v>
      </c>
      <c r="U215" s="1" t="s">
        <v>650</v>
      </c>
      <c r="V215" s="1">
        <v>7350590996</v>
      </c>
      <c r="W215" s="1" t="s">
        <v>4421</v>
      </c>
      <c r="X215" s="1" t="s">
        <v>4422</v>
      </c>
      <c r="Y215" s="1" t="s">
        <v>191</v>
      </c>
      <c r="Z215" s="1" t="s">
        <v>92</v>
      </c>
      <c r="AA215" s="1" t="s">
        <v>4422</v>
      </c>
      <c r="AB215" s="1" t="s">
        <v>191</v>
      </c>
      <c r="AC215" s="1" t="s">
        <v>92</v>
      </c>
      <c r="AD215" s="1">
        <v>8.67</v>
      </c>
      <c r="AE215" s="1" t="s">
        <v>93</v>
      </c>
      <c r="AF215" s="1" t="s">
        <v>4423</v>
      </c>
      <c r="AG215" s="1" t="s">
        <v>3549</v>
      </c>
      <c r="AH215" s="1" t="s">
        <v>96</v>
      </c>
      <c r="AI215" s="1" t="s">
        <v>161</v>
      </c>
      <c r="AJ215" s="1">
        <v>86.2</v>
      </c>
      <c r="AK215" s="1"/>
      <c r="AL215" s="1"/>
      <c r="AM215" s="1"/>
      <c r="AN215" s="1"/>
      <c r="AO215" s="1"/>
      <c r="AP215" s="1"/>
      <c r="AQ215" s="1"/>
      <c r="AR215" s="1" t="s">
        <v>98</v>
      </c>
      <c r="AS215" s="1" t="s">
        <v>4424</v>
      </c>
      <c r="AT215" s="1" t="s">
        <v>100</v>
      </c>
      <c r="AU215" s="1" t="s">
        <v>166</v>
      </c>
      <c r="AV215" s="1">
        <v>76.94</v>
      </c>
      <c r="AW215" s="1"/>
      <c r="AX215" s="1" t="s">
        <v>361</v>
      </c>
      <c r="AY215" s="1" t="s">
        <v>4425</v>
      </c>
      <c r="AZ215" s="1" t="s">
        <v>169</v>
      </c>
      <c r="BA215" s="1" t="s">
        <v>506</v>
      </c>
      <c r="BB215" s="1">
        <v>67.64</v>
      </c>
      <c r="BC215" s="1">
        <v>7.72</v>
      </c>
      <c r="BD215" s="1"/>
      <c r="BE215" s="1"/>
      <c r="BF215" s="1"/>
      <c r="BG215" s="1"/>
      <c r="BH215" s="1"/>
      <c r="BI215" s="1"/>
      <c r="BJ215" s="1" t="s">
        <v>1383</v>
      </c>
      <c r="BK215" s="1" t="s">
        <v>4426</v>
      </c>
      <c r="BL215" s="1" t="s">
        <v>4085</v>
      </c>
      <c r="BM215" s="1" t="s">
        <v>4427</v>
      </c>
      <c r="BN215" s="1">
        <v>12</v>
      </c>
      <c r="BO215" s="1"/>
      <c r="BP215" s="1" t="str">
        <f>HYPERLINK("https://nconnect.nicmar.ac.in/storage/profile/ProfilePhoto_P25700156_149783.jpg","Download")</f>
        <v>0</v>
      </c>
      <c r="BQ215" s="3"/>
      <c r="BR215" s="3"/>
    </row>
    <row r="216" spans="1:70">
      <c r="A216" s="1" t="s">
        <v>70</v>
      </c>
      <c r="B216" s="1" t="s">
        <v>1269</v>
      </c>
      <c r="C216" s="1" t="s">
        <v>4428</v>
      </c>
      <c r="D216" s="1" t="s">
        <v>4429</v>
      </c>
      <c r="E216" s="1" t="s">
        <v>1924</v>
      </c>
      <c r="F216" s="1" t="s">
        <v>2674</v>
      </c>
      <c r="G216" s="1" t="s">
        <v>4430</v>
      </c>
      <c r="H216" s="1" t="s">
        <v>4431</v>
      </c>
      <c r="I216" s="1" t="s">
        <v>4432</v>
      </c>
      <c r="J216" s="1">
        <v>8369126082</v>
      </c>
      <c r="K216" s="1" t="s">
        <v>79</v>
      </c>
      <c r="L216" s="1" t="s">
        <v>2563</v>
      </c>
      <c r="M216" s="1" t="s">
        <v>81</v>
      </c>
      <c r="N216" s="1" t="s">
        <v>3229</v>
      </c>
      <c r="O216" s="1"/>
      <c r="P216" s="1" t="s">
        <v>1766</v>
      </c>
      <c r="Q216" s="1" t="s">
        <v>4433</v>
      </c>
      <c r="R216" s="1" t="s">
        <v>4434</v>
      </c>
      <c r="S216" s="1">
        <v>9820791864</v>
      </c>
      <c r="T216" s="1" t="s">
        <v>763</v>
      </c>
      <c r="U216" s="1" t="s">
        <v>4435</v>
      </c>
      <c r="V216" s="1">
        <v>9867552462</v>
      </c>
      <c r="W216" s="1" t="s">
        <v>156</v>
      </c>
      <c r="X216" s="1" t="s">
        <v>4436</v>
      </c>
      <c r="Y216" s="1" t="s">
        <v>995</v>
      </c>
      <c r="Z216" s="1" t="s">
        <v>92</v>
      </c>
      <c r="AA216" s="1" t="s">
        <v>4436</v>
      </c>
      <c r="AB216" s="1" t="s">
        <v>995</v>
      </c>
      <c r="AC216" s="1" t="s">
        <v>92</v>
      </c>
      <c r="AD216" s="1">
        <v>9.02</v>
      </c>
      <c r="AE216" s="1" t="s">
        <v>93</v>
      </c>
      <c r="AF216" s="1" t="s">
        <v>4437</v>
      </c>
      <c r="AG216" s="1" t="s">
        <v>4438</v>
      </c>
      <c r="AH216" s="1" t="s">
        <v>165</v>
      </c>
      <c r="AI216" s="1" t="s">
        <v>281</v>
      </c>
      <c r="AJ216" s="1">
        <v>75.4</v>
      </c>
      <c r="AK216" s="1"/>
      <c r="AL216" s="1"/>
      <c r="AM216" s="1"/>
      <c r="AN216" s="1"/>
      <c r="AO216" s="1"/>
      <c r="AP216" s="1"/>
      <c r="AQ216" s="1"/>
      <c r="AR216" s="1" t="s">
        <v>98</v>
      </c>
      <c r="AS216" s="1" t="s">
        <v>4439</v>
      </c>
      <c r="AT216" s="1" t="s">
        <v>636</v>
      </c>
      <c r="AU216" s="1" t="s">
        <v>481</v>
      </c>
      <c r="AV216" s="1">
        <v>76.26</v>
      </c>
      <c r="AW216" s="1"/>
      <c r="AX216" s="1" t="s">
        <v>1024</v>
      </c>
      <c r="AY216" s="1" t="s">
        <v>4440</v>
      </c>
      <c r="AZ216" s="1" t="s">
        <v>616</v>
      </c>
      <c r="BA216" s="1" t="s">
        <v>1714</v>
      </c>
      <c r="BB216" s="1">
        <v>70.01</v>
      </c>
      <c r="BC216" s="1"/>
      <c r="BD216" s="1"/>
      <c r="BE216" s="1"/>
      <c r="BF216" s="1"/>
      <c r="BG216" s="1"/>
      <c r="BH216" s="1"/>
      <c r="BI216" s="1"/>
      <c r="BJ216" s="1" t="s">
        <v>4441</v>
      </c>
      <c r="BK216" s="1"/>
      <c r="BL216" s="1"/>
      <c r="BM216" s="1" t="s">
        <v>4442</v>
      </c>
      <c r="BN216" s="1">
        <v>13</v>
      </c>
      <c r="BO216" s="1" t="s">
        <v>4443</v>
      </c>
      <c r="BP216" s="1" t="str">
        <f>HYPERLINK("https://nconnect.nicmar.ac.in/storage/profile/ProfilePhoto_P25700157_196428.jpg","Download")</f>
        <v>0</v>
      </c>
      <c r="BQ216" s="3"/>
      <c r="BR216" s="3"/>
    </row>
    <row r="217" spans="1:70">
      <c r="A217" s="1" t="s">
        <v>70</v>
      </c>
      <c r="B217" s="1" t="s">
        <v>1269</v>
      </c>
      <c r="C217" s="1" t="s">
        <v>4444</v>
      </c>
      <c r="D217" s="1" t="s">
        <v>707</v>
      </c>
      <c r="E217" s="1" t="s">
        <v>392</v>
      </c>
      <c r="F217" s="1" t="s">
        <v>4445</v>
      </c>
      <c r="G217" s="1" t="s">
        <v>4446</v>
      </c>
      <c r="H217" s="1" t="s">
        <v>4447</v>
      </c>
      <c r="I217" s="1" t="s">
        <v>4448</v>
      </c>
      <c r="J217" s="1">
        <v>7057924898</v>
      </c>
      <c r="K217" s="1" t="s">
        <v>79</v>
      </c>
      <c r="L217" s="1" t="s">
        <v>4449</v>
      </c>
      <c r="M217" s="1" t="s">
        <v>81</v>
      </c>
      <c r="N217" s="1" t="s">
        <v>2008</v>
      </c>
      <c r="O217" s="1"/>
      <c r="P217" s="1" t="s">
        <v>1298</v>
      </c>
      <c r="Q217" s="1" t="s">
        <v>4450</v>
      </c>
      <c r="R217" s="1" t="s">
        <v>4451</v>
      </c>
      <c r="S217" s="1">
        <v>9226246190</v>
      </c>
      <c r="T217" s="1" t="s">
        <v>976</v>
      </c>
      <c r="U217" s="1" t="s">
        <v>4452</v>
      </c>
      <c r="V217" s="1">
        <v>9421704498</v>
      </c>
      <c r="W217" s="1" t="s">
        <v>976</v>
      </c>
      <c r="X217" s="1" t="s">
        <v>4453</v>
      </c>
      <c r="Y217" s="1" t="s">
        <v>405</v>
      </c>
      <c r="Z217" s="1" t="s">
        <v>92</v>
      </c>
      <c r="AA217" s="1" t="s">
        <v>4453</v>
      </c>
      <c r="AB217" s="1" t="s">
        <v>405</v>
      </c>
      <c r="AC217" s="1" t="s">
        <v>92</v>
      </c>
      <c r="AD217" s="1">
        <v>8.64</v>
      </c>
      <c r="AE217" s="1" t="s">
        <v>93</v>
      </c>
      <c r="AF217" s="1" t="s">
        <v>4454</v>
      </c>
      <c r="AG217" s="1" t="s">
        <v>160</v>
      </c>
      <c r="AH217" s="1" t="s">
        <v>1242</v>
      </c>
      <c r="AI217" s="1" t="s">
        <v>999</v>
      </c>
      <c r="AJ217" s="1">
        <v>90.4</v>
      </c>
      <c r="AK217" s="1"/>
      <c r="AL217" s="1" t="s">
        <v>4455</v>
      </c>
      <c r="AM217" s="1" t="s">
        <v>160</v>
      </c>
      <c r="AN217" s="1" t="s">
        <v>2075</v>
      </c>
      <c r="AO217" s="1" t="s">
        <v>1001</v>
      </c>
      <c r="AP217" s="1">
        <v>76.15</v>
      </c>
      <c r="AQ217" s="1"/>
      <c r="AR217" s="1"/>
      <c r="AS217" s="1"/>
      <c r="AT217" s="1"/>
      <c r="AU217" s="1"/>
      <c r="AV217" s="1"/>
      <c r="AW217" s="1"/>
      <c r="AX217" s="1" t="s">
        <v>410</v>
      </c>
      <c r="AY217" s="1" t="s">
        <v>4456</v>
      </c>
      <c r="AZ217" s="1" t="s">
        <v>279</v>
      </c>
      <c r="BA217" s="1" t="s">
        <v>920</v>
      </c>
      <c r="BB217" s="1">
        <v>65.6</v>
      </c>
      <c r="BC217" s="1"/>
      <c r="BD217" s="1" t="s">
        <v>410</v>
      </c>
      <c r="BE217" s="1" t="s">
        <v>2403</v>
      </c>
      <c r="BF217" s="1" t="s">
        <v>2461</v>
      </c>
      <c r="BG217" s="1" t="s">
        <v>105</v>
      </c>
      <c r="BH217" s="1">
        <v>86.2</v>
      </c>
      <c r="BI217" s="1"/>
      <c r="BJ217" s="1" t="s">
        <v>4457</v>
      </c>
      <c r="BK217" s="1" t="s">
        <v>4458</v>
      </c>
      <c r="BL217" s="1" t="s">
        <v>2019</v>
      </c>
      <c r="BM217" s="1" t="s">
        <v>4459</v>
      </c>
      <c r="BN217" s="1">
        <v>88</v>
      </c>
      <c r="BO217" s="1" t="s">
        <v>4460</v>
      </c>
      <c r="BP217" s="1" t="str">
        <f>HYPERLINK("https://nconnect.nicmar.ac.in/storage/profile/ProfilePhoto_P25700158_196843.jpg","Download")</f>
        <v>0</v>
      </c>
      <c r="BQ217" s="3"/>
      <c r="BR217" s="3"/>
    </row>
    <row r="218" spans="1:70">
      <c r="A218" s="1" t="s">
        <v>70</v>
      </c>
      <c r="B218" s="1" t="s">
        <v>1269</v>
      </c>
      <c r="C218" s="1" t="s">
        <v>4461</v>
      </c>
      <c r="D218" s="1" t="s">
        <v>4462</v>
      </c>
      <c r="E218" s="1" t="s">
        <v>4463</v>
      </c>
      <c r="F218" s="1" t="s">
        <v>4464</v>
      </c>
      <c r="G218" s="1" t="s">
        <v>4465</v>
      </c>
      <c r="H218" s="1" t="s">
        <v>4466</v>
      </c>
      <c r="I218" s="1" t="s">
        <v>4467</v>
      </c>
      <c r="J218" s="1">
        <v>9653190231</v>
      </c>
      <c r="K218" s="1" t="s">
        <v>79</v>
      </c>
      <c r="L218" s="1" t="s">
        <v>4468</v>
      </c>
      <c r="M218" s="1" t="s">
        <v>81</v>
      </c>
      <c r="N218" s="1" t="s">
        <v>4469</v>
      </c>
      <c r="O218" s="1"/>
      <c r="P218" s="1" t="s">
        <v>1298</v>
      </c>
      <c r="Q218" s="1" t="s">
        <v>4470</v>
      </c>
      <c r="R218" s="1" t="s">
        <v>4463</v>
      </c>
      <c r="S218" s="1">
        <v>8007779051</v>
      </c>
      <c r="T218" s="1" t="s">
        <v>4471</v>
      </c>
      <c r="U218" s="1" t="s">
        <v>4472</v>
      </c>
      <c r="V218" s="1">
        <v>9820339741</v>
      </c>
      <c r="W218" s="1" t="s">
        <v>156</v>
      </c>
      <c r="X218" s="1" t="s">
        <v>4473</v>
      </c>
      <c r="Y218" s="1" t="s">
        <v>995</v>
      </c>
      <c r="Z218" s="1" t="s">
        <v>92</v>
      </c>
      <c r="AA218" s="1" t="s">
        <v>4474</v>
      </c>
      <c r="AB218" s="1" t="s">
        <v>191</v>
      </c>
      <c r="AC218" s="1" t="s">
        <v>92</v>
      </c>
      <c r="AD218" s="1">
        <v>8.36</v>
      </c>
      <c r="AE218" s="1" t="s">
        <v>93</v>
      </c>
      <c r="AF218" s="1" t="s">
        <v>4475</v>
      </c>
      <c r="AG218" s="1" t="s">
        <v>4476</v>
      </c>
      <c r="AH218" s="1" t="s">
        <v>165</v>
      </c>
      <c r="AI218" s="1" t="s">
        <v>281</v>
      </c>
      <c r="AJ218" s="1">
        <v>61.6</v>
      </c>
      <c r="AK218" s="1"/>
      <c r="AL218" s="1"/>
      <c r="AM218" s="1"/>
      <c r="AN218" s="1"/>
      <c r="AO218" s="1"/>
      <c r="AP218" s="1"/>
      <c r="AQ218" s="1"/>
      <c r="AR218" s="1" t="s">
        <v>98</v>
      </c>
      <c r="AS218" s="1" t="s">
        <v>4477</v>
      </c>
      <c r="AT218" s="1" t="s">
        <v>636</v>
      </c>
      <c r="AU218" s="1" t="s">
        <v>436</v>
      </c>
      <c r="AV218" s="1">
        <v>87.37</v>
      </c>
      <c r="AW218" s="1"/>
      <c r="AX218" s="1" t="s">
        <v>253</v>
      </c>
      <c r="AY218" s="1" t="s">
        <v>4478</v>
      </c>
      <c r="AZ218" s="1" t="s">
        <v>436</v>
      </c>
      <c r="BA218" s="1" t="s">
        <v>413</v>
      </c>
      <c r="BB218" s="1">
        <v>61.08</v>
      </c>
      <c r="BC218" s="1">
        <v>6.73</v>
      </c>
      <c r="BD218" s="1"/>
      <c r="BE218" s="1"/>
      <c r="BF218" s="1"/>
      <c r="BG218" s="1"/>
      <c r="BH218" s="1"/>
      <c r="BI218" s="1"/>
      <c r="BJ218" s="1" t="s">
        <v>1383</v>
      </c>
      <c r="BK218" s="1" t="s">
        <v>4479</v>
      </c>
      <c r="BL218" s="1" t="s">
        <v>639</v>
      </c>
      <c r="BM218" s="1" t="s">
        <v>4480</v>
      </c>
      <c r="BN218" s="1">
        <v>3</v>
      </c>
      <c r="BO218" s="1"/>
      <c r="BP218" s="1" t="str">
        <f>HYPERLINK("https://nconnect.nicmar.ac.in/storage/profile/ProfilePhoto_P25700159_791628.jpg","Download")</f>
        <v>0</v>
      </c>
      <c r="BQ218" s="3"/>
      <c r="BR218" s="3"/>
    </row>
    <row r="219" spans="1:70">
      <c r="A219" s="1" t="s">
        <v>70</v>
      </c>
      <c r="B219" s="1" t="s">
        <v>1269</v>
      </c>
      <c r="C219" s="1" t="s">
        <v>4481</v>
      </c>
      <c r="D219" s="1" t="s">
        <v>4328</v>
      </c>
      <c r="E219" s="1" t="s">
        <v>4482</v>
      </c>
      <c r="F219" s="1" t="s">
        <v>2024</v>
      </c>
      <c r="G219" s="1" t="s">
        <v>4483</v>
      </c>
      <c r="H219" s="1" t="s">
        <v>4484</v>
      </c>
      <c r="I219" s="1" t="s">
        <v>4485</v>
      </c>
      <c r="J219" s="1">
        <v>8530039495</v>
      </c>
      <c r="K219" s="1" t="s">
        <v>79</v>
      </c>
      <c r="L219" s="1" t="s">
        <v>4486</v>
      </c>
      <c r="M219" s="1" t="s">
        <v>81</v>
      </c>
      <c r="N219" s="1" t="s">
        <v>1765</v>
      </c>
      <c r="O219" s="1"/>
      <c r="P219" s="1" t="s">
        <v>1278</v>
      </c>
      <c r="Q219" s="1" t="s">
        <v>4487</v>
      </c>
      <c r="R219" s="1" t="s">
        <v>4482</v>
      </c>
      <c r="S219" s="1">
        <v>9822263222</v>
      </c>
      <c r="T219" s="1" t="s">
        <v>496</v>
      </c>
      <c r="U219" s="1" t="s">
        <v>693</v>
      </c>
      <c r="V219" s="1">
        <v>8805791153</v>
      </c>
      <c r="W219" s="1" t="s">
        <v>273</v>
      </c>
      <c r="X219" s="1" t="s">
        <v>4488</v>
      </c>
      <c r="Y219" s="1" t="s">
        <v>2786</v>
      </c>
      <c r="Z219" s="1" t="s">
        <v>92</v>
      </c>
      <c r="AA219" s="1" t="s">
        <v>4488</v>
      </c>
      <c r="AB219" s="1" t="s">
        <v>2786</v>
      </c>
      <c r="AC219" s="1" t="s">
        <v>92</v>
      </c>
      <c r="AD219" s="1">
        <v>8.95</v>
      </c>
      <c r="AE219" s="1" t="s">
        <v>93</v>
      </c>
      <c r="AF219" s="1" t="s">
        <v>4489</v>
      </c>
      <c r="AG219" s="1" t="s">
        <v>4490</v>
      </c>
      <c r="AH219" s="1" t="s">
        <v>281</v>
      </c>
      <c r="AI219" s="1" t="s">
        <v>409</v>
      </c>
      <c r="AJ219" s="1">
        <v>88</v>
      </c>
      <c r="AK219" s="1"/>
      <c r="AL219" s="1"/>
      <c r="AM219" s="1"/>
      <c r="AN219" s="1"/>
      <c r="AO219" s="1"/>
      <c r="AP219" s="1"/>
      <c r="AQ219" s="1"/>
      <c r="AR219" s="1" t="s">
        <v>98</v>
      </c>
      <c r="AS219" s="1" t="s">
        <v>2788</v>
      </c>
      <c r="AT219" s="1" t="s">
        <v>201</v>
      </c>
      <c r="AU219" s="1" t="s">
        <v>284</v>
      </c>
      <c r="AV219" s="1">
        <v>80.5</v>
      </c>
      <c r="AW219" s="1"/>
      <c r="AX219" s="1" t="s">
        <v>4491</v>
      </c>
      <c r="AY219" s="1" t="s">
        <v>4492</v>
      </c>
      <c r="AZ219" s="1" t="s">
        <v>874</v>
      </c>
      <c r="BA219" s="1" t="s">
        <v>1361</v>
      </c>
      <c r="BB219" s="1">
        <v>66.8</v>
      </c>
      <c r="BC219" s="1">
        <v>7.43</v>
      </c>
      <c r="BD219" s="1"/>
      <c r="BE219" s="1"/>
      <c r="BF219" s="1"/>
      <c r="BG219" s="1"/>
      <c r="BH219" s="1"/>
      <c r="BI219" s="1"/>
      <c r="BJ219" s="1" t="s">
        <v>4493</v>
      </c>
      <c r="BK219" s="1"/>
      <c r="BL219" s="1"/>
      <c r="BM219" s="1" t="s">
        <v>4494</v>
      </c>
      <c r="BN219" s="1">
        <v>9</v>
      </c>
      <c r="BO219" s="1" t="s">
        <v>4495</v>
      </c>
      <c r="BP219" s="1" t="str">
        <f>HYPERLINK("https://nconnect.nicmar.ac.in/storage/profile/ProfilePhoto_P25700160_274951.jpg","Download")</f>
        <v>0</v>
      </c>
      <c r="BQ219" s="3"/>
      <c r="BR219" s="3"/>
    </row>
    <row r="220" spans="1:70">
      <c r="A220" s="1" t="s">
        <v>70</v>
      </c>
      <c r="B220" s="1" t="s">
        <v>1269</v>
      </c>
      <c r="C220" s="1" t="s">
        <v>4496</v>
      </c>
      <c r="D220" s="1" t="s">
        <v>4497</v>
      </c>
      <c r="E220" s="1"/>
      <c r="F220" s="1" t="s">
        <v>4498</v>
      </c>
      <c r="G220" s="1" t="s">
        <v>4499</v>
      </c>
      <c r="H220" s="1" t="s">
        <v>4500</v>
      </c>
      <c r="I220" s="1" t="s">
        <v>4501</v>
      </c>
      <c r="J220" s="1">
        <v>6364236471</v>
      </c>
      <c r="K220" s="1" t="s">
        <v>79</v>
      </c>
      <c r="L220" s="1" t="s">
        <v>4502</v>
      </c>
      <c r="M220" s="1" t="s">
        <v>81</v>
      </c>
      <c r="N220" s="1" t="s">
        <v>4503</v>
      </c>
      <c r="O220" s="1"/>
      <c r="P220" s="1" t="s">
        <v>1766</v>
      </c>
      <c r="Q220" s="1" t="s">
        <v>4504</v>
      </c>
      <c r="R220" s="1" t="s">
        <v>4505</v>
      </c>
      <c r="S220" s="1">
        <v>9731650754</v>
      </c>
      <c r="T220" s="1" t="s">
        <v>154</v>
      </c>
      <c r="U220" s="1" t="s">
        <v>4506</v>
      </c>
      <c r="V220" s="1">
        <v>7411122048</v>
      </c>
      <c r="W220" s="1" t="s">
        <v>273</v>
      </c>
      <c r="X220" s="1" t="s">
        <v>4507</v>
      </c>
      <c r="Y220" s="1" t="s">
        <v>4508</v>
      </c>
      <c r="Z220" s="1" t="s">
        <v>1084</v>
      </c>
      <c r="AA220" s="1" t="s">
        <v>4507</v>
      </c>
      <c r="AB220" s="1" t="s">
        <v>4508</v>
      </c>
      <c r="AC220" s="1" t="s">
        <v>1084</v>
      </c>
      <c r="AD220" s="1">
        <v>8.39</v>
      </c>
      <c r="AE220" s="1" t="s">
        <v>93</v>
      </c>
      <c r="AF220" s="1" t="s">
        <v>4509</v>
      </c>
      <c r="AG220" s="1" t="s">
        <v>2745</v>
      </c>
      <c r="AH220" s="1" t="s">
        <v>162</v>
      </c>
      <c r="AI220" s="1" t="s">
        <v>678</v>
      </c>
      <c r="AJ220" s="1">
        <v>86.4</v>
      </c>
      <c r="AK220" s="1"/>
      <c r="AL220" s="1" t="s">
        <v>4510</v>
      </c>
      <c r="AM220" s="1" t="s">
        <v>4511</v>
      </c>
      <c r="AN220" s="1" t="s">
        <v>165</v>
      </c>
      <c r="AO220" s="1" t="s">
        <v>409</v>
      </c>
      <c r="AP220" s="1">
        <v>88.16</v>
      </c>
      <c r="AQ220" s="1"/>
      <c r="AR220" s="1"/>
      <c r="AS220" s="1"/>
      <c r="AT220" s="1"/>
      <c r="AU220" s="1"/>
      <c r="AV220" s="1"/>
      <c r="AW220" s="1"/>
      <c r="AX220" s="1" t="s">
        <v>4512</v>
      </c>
      <c r="AY220" s="1" t="s">
        <v>4513</v>
      </c>
      <c r="AZ220" s="1" t="s">
        <v>201</v>
      </c>
      <c r="BA220" s="1" t="s">
        <v>229</v>
      </c>
      <c r="BB220" s="1">
        <v>81.4</v>
      </c>
      <c r="BC220" s="1">
        <v>8.14</v>
      </c>
      <c r="BD220" s="1"/>
      <c r="BE220" s="1"/>
      <c r="BF220" s="1"/>
      <c r="BG220" s="1"/>
      <c r="BH220" s="1"/>
      <c r="BI220" s="1"/>
      <c r="BJ220" s="1" t="s">
        <v>4514</v>
      </c>
      <c r="BK220" s="1" t="s">
        <v>4515</v>
      </c>
      <c r="BL220" s="1" t="s">
        <v>1629</v>
      </c>
      <c r="BM220" s="1" t="s">
        <v>4516</v>
      </c>
      <c r="BN220" s="1">
        <v>16</v>
      </c>
      <c r="BO220" s="1" t="s">
        <v>4517</v>
      </c>
      <c r="BP220" s="1" t="str">
        <f>HYPERLINK("https://nconnect.nicmar.ac.in/storage/profile/ProfilePhoto_P25700161_896127.jpg","Download")</f>
        <v>0</v>
      </c>
      <c r="BQ220" s="3"/>
      <c r="BR220" s="3"/>
    </row>
    <row r="221" spans="1:70">
      <c r="A221" s="1" t="s">
        <v>70</v>
      </c>
      <c r="B221" s="1" t="s">
        <v>1269</v>
      </c>
      <c r="C221" s="1" t="s">
        <v>4518</v>
      </c>
      <c r="D221" s="1" t="s">
        <v>4519</v>
      </c>
      <c r="E221" s="1" t="s">
        <v>111</v>
      </c>
      <c r="F221" s="1" t="s">
        <v>111</v>
      </c>
      <c r="G221" s="1" t="s">
        <v>4520</v>
      </c>
      <c r="H221" s="1" t="s">
        <v>4521</v>
      </c>
      <c r="I221" s="1" t="s">
        <v>4522</v>
      </c>
      <c r="J221" s="1">
        <v>9961092275</v>
      </c>
      <c r="K221" s="1" t="s">
        <v>148</v>
      </c>
      <c r="L221" s="1" t="s">
        <v>1484</v>
      </c>
      <c r="M221" s="1" t="s">
        <v>81</v>
      </c>
      <c r="N221" s="1" t="s">
        <v>3168</v>
      </c>
      <c r="O221" s="1"/>
      <c r="P221" s="1" t="s">
        <v>1298</v>
      </c>
      <c r="Q221" s="1" t="s">
        <v>4523</v>
      </c>
      <c r="R221" s="1" t="s">
        <v>4524</v>
      </c>
      <c r="S221" s="1">
        <v>9447026728</v>
      </c>
      <c r="T221" s="1" t="s">
        <v>4525</v>
      </c>
      <c r="U221" s="1" t="s">
        <v>4526</v>
      </c>
      <c r="V221" s="1">
        <v>9495727098</v>
      </c>
      <c r="W221" s="1" t="s">
        <v>4527</v>
      </c>
      <c r="X221" s="1" t="s">
        <v>4528</v>
      </c>
      <c r="Y221" s="1" t="s">
        <v>1491</v>
      </c>
      <c r="Z221" s="1" t="s">
        <v>125</v>
      </c>
      <c r="AA221" s="1" t="s">
        <v>4529</v>
      </c>
      <c r="AB221" s="1" t="s">
        <v>3988</v>
      </c>
      <c r="AC221" s="1" t="s">
        <v>125</v>
      </c>
      <c r="AD221" s="1">
        <v>8.49</v>
      </c>
      <c r="AE221" s="1" t="s">
        <v>93</v>
      </c>
      <c r="AF221" s="1" t="s">
        <v>4530</v>
      </c>
      <c r="AG221" s="1" t="s">
        <v>4531</v>
      </c>
      <c r="AH221" s="1" t="s">
        <v>162</v>
      </c>
      <c r="AI221" s="1" t="s">
        <v>165</v>
      </c>
      <c r="AJ221" s="1">
        <v>85.5</v>
      </c>
      <c r="AK221" s="1">
        <v>9</v>
      </c>
      <c r="AL221" s="1" t="s">
        <v>4530</v>
      </c>
      <c r="AM221" s="1" t="s">
        <v>4531</v>
      </c>
      <c r="AN221" s="1" t="s">
        <v>101</v>
      </c>
      <c r="AO221" s="1" t="s">
        <v>308</v>
      </c>
      <c r="AP221" s="1">
        <v>80.8</v>
      </c>
      <c r="AQ221" s="1"/>
      <c r="AR221" s="1"/>
      <c r="AS221" s="1"/>
      <c r="AT221" s="1"/>
      <c r="AU221" s="1"/>
      <c r="AV221" s="1"/>
      <c r="AW221" s="1"/>
      <c r="AX221" s="1" t="s">
        <v>132</v>
      </c>
      <c r="AY221" s="1" t="s">
        <v>4532</v>
      </c>
      <c r="AZ221" s="1" t="s">
        <v>310</v>
      </c>
      <c r="BA221" s="1" t="s">
        <v>229</v>
      </c>
      <c r="BB221" s="1">
        <v>78.7</v>
      </c>
      <c r="BC221" s="1">
        <v>7.87</v>
      </c>
      <c r="BD221" s="1"/>
      <c r="BE221" s="1"/>
      <c r="BF221" s="1"/>
      <c r="BG221" s="1"/>
      <c r="BH221" s="1"/>
      <c r="BI221" s="1"/>
      <c r="BJ221" s="1" t="s">
        <v>364</v>
      </c>
      <c r="BK221" s="1" t="s">
        <v>4533</v>
      </c>
      <c r="BL221" s="1" t="s">
        <v>2382</v>
      </c>
      <c r="BM221" s="1" t="s">
        <v>4534</v>
      </c>
      <c r="BN221" s="1">
        <v>8</v>
      </c>
      <c r="BO221" s="1"/>
      <c r="BP221" s="1" t="str">
        <f>HYPERLINK("https://nconnect.nicmar.ac.in/storage/profile/ProfilePhoto_P25700162_326594.jpg","Download")</f>
        <v>0</v>
      </c>
      <c r="BQ221" s="3"/>
      <c r="BR221" s="3"/>
    </row>
    <row r="222" spans="1:70">
      <c r="A222" s="1" t="s">
        <v>70</v>
      </c>
      <c r="B222" s="1" t="s">
        <v>1269</v>
      </c>
      <c r="C222" s="1" t="s">
        <v>4535</v>
      </c>
      <c r="D222" s="1" t="s">
        <v>4536</v>
      </c>
      <c r="E222" s="1"/>
      <c r="F222" s="1" t="s">
        <v>4537</v>
      </c>
      <c r="G222" s="1" t="s">
        <v>4538</v>
      </c>
      <c r="H222" s="1" t="s">
        <v>4539</v>
      </c>
      <c r="I222" s="1" t="s">
        <v>4540</v>
      </c>
      <c r="J222" s="1">
        <v>9971229943</v>
      </c>
      <c r="K222" s="1" t="s">
        <v>148</v>
      </c>
      <c r="L222" s="1" t="s">
        <v>4541</v>
      </c>
      <c r="M222" s="1" t="s">
        <v>81</v>
      </c>
      <c r="N222" s="1" t="s">
        <v>241</v>
      </c>
      <c r="O222" s="1"/>
      <c r="P222" s="1" t="s">
        <v>1278</v>
      </c>
      <c r="Q222" s="1" t="s">
        <v>4542</v>
      </c>
      <c r="R222" s="1" t="s">
        <v>4543</v>
      </c>
      <c r="S222" s="1">
        <v>9810388086</v>
      </c>
      <c r="T222" s="1" t="s">
        <v>496</v>
      </c>
      <c r="U222" s="1" t="s">
        <v>4544</v>
      </c>
      <c r="V222" s="1">
        <v>8076957747</v>
      </c>
      <c r="W222" s="1" t="s">
        <v>496</v>
      </c>
      <c r="X222" s="1" t="s">
        <v>4545</v>
      </c>
      <c r="Y222" s="1" t="s">
        <v>4546</v>
      </c>
      <c r="Z222" s="1" t="s">
        <v>1355</v>
      </c>
      <c r="AA222" s="1" t="s">
        <v>4545</v>
      </c>
      <c r="AB222" s="1" t="s">
        <v>4546</v>
      </c>
      <c r="AC222" s="1" t="s">
        <v>1355</v>
      </c>
      <c r="AD222" s="1">
        <v>9.38</v>
      </c>
      <c r="AE222" s="1" t="s">
        <v>93</v>
      </c>
      <c r="AF222" s="1" t="s">
        <v>4547</v>
      </c>
      <c r="AG222" s="1" t="s">
        <v>4548</v>
      </c>
      <c r="AH222" s="1" t="s">
        <v>4549</v>
      </c>
      <c r="AI222" s="1" t="s">
        <v>165</v>
      </c>
      <c r="AJ222" s="1">
        <v>95</v>
      </c>
      <c r="AK222" s="1">
        <v>10</v>
      </c>
      <c r="AL222" s="1" t="s">
        <v>4547</v>
      </c>
      <c r="AM222" s="1" t="s">
        <v>4548</v>
      </c>
      <c r="AN222" s="1" t="s">
        <v>4549</v>
      </c>
      <c r="AO222" s="1" t="s">
        <v>308</v>
      </c>
      <c r="AP222" s="1">
        <v>96</v>
      </c>
      <c r="AQ222" s="1"/>
      <c r="AR222" s="1"/>
      <c r="AS222" s="1"/>
      <c r="AT222" s="1"/>
      <c r="AU222" s="1"/>
      <c r="AV222" s="1"/>
      <c r="AW222" s="1"/>
      <c r="AX222" s="1" t="s">
        <v>4550</v>
      </c>
      <c r="AY222" s="1" t="s">
        <v>4551</v>
      </c>
      <c r="AZ222" s="1" t="s">
        <v>201</v>
      </c>
      <c r="BA222" s="1" t="s">
        <v>413</v>
      </c>
      <c r="BB222" s="1">
        <v>91.6</v>
      </c>
      <c r="BC222" s="1">
        <v>9.16</v>
      </c>
      <c r="BD222" s="1"/>
      <c r="BE222" s="1"/>
      <c r="BF222" s="1"/>
      <c r="BG222" s="1"/>
      <c r="BH222" s="1"/>
      <c r="BI222" s="1"/>
      <c r="BJ222" s="1" t="s">
        <v>4552</v>
      </c>
      <c r="BK222" s="1" t="s">
        <v>4553</v>
      </c>
      <c r="BL222" s="1" t="s">
        <v>639</v>
      </c>
      <c r="BM222" s="1" t="s">
        <v>4554</v>
      </c>
      <c r="BN222" s="1">
        <v>15</v>
      </c>
      <c r="BO222" s="1" t="s">
        <v>4555</v>
      </c>
      <c r="BP222" s="1" t="str">
        <f>HYPERLINK("https://nconnect.nicmar.ac.in/storage/profile/ProfilePhoto_P25700163_913852.jpg","Download")</f>
        <v>0</v>
      </c>
      <c r="BQ222" s="3"/>
      <c r="BR222" s="3"/>
    </row>
    <row r="223" spans="1:70">
      <c r="A223" s="1" t="s">
        <v>70</v>
      </c>
      <c r="B223" s="1" t="s">
        <v>1269</v>
      </c>
      <c r="C223" s="1" t="s">
        <v>4556</v>
      </c>
      <c r="D223" s="1" t="s">
        <v>1249</v>
      </c>
      <c r="E223" s="1" t="s">
        <v>4557</v>
      </c>
      <c r="F223" s="1" t="s">
        <v>4558</v>
      </c>
      <c r="G223" s="1" t="s">
        <v>4559</v>
      </c>
      <c r="H223" s="1" t="s">
        <v>4560</v>
      </c>
      <c r="I223" s="1" t="s">
        <v>4561</v>
      </c>
      <c r="J223" s="1">
        <v>9392957400</v>
      </c>
      <c r="K223" s="1" t="s">
        <v>79</v>
      </c>
      <c r="L223" s="1" t="s">
        <v>4562</v>
      </c>
      <c r="M223" s="1" t="s">
        <v>81</v>
      </c>
      <c r="N223" s="1" t="s">
        <v>4563</v>
      </c>
      <c r="O223" s="1"/>
      <c r="P223" s="1" t="s">
        <v>1298</v>
      </c>
      <c r="Q223" s="1" t="s">
        <v>4564</v>
      </c>
      <c r="R223" s="1" t="s">
        <v>4565</v>
      </c>
      <c r="S223" s="1">
        <v>9748452426</v>
      </c>
      <c r="T223" s="1" t="s">
        <v>4566</v>
      </c>
      <c r="U223" s="1" t="s">
        <v>4567</v>
      </c>
      <c r="V223" s="1">
        <v>9948756222</v>
      </c>
      <c r="W223" s="1" t="s">
        <v>4568</v>
      </c>
      <c r="X223" s="1" t="s">
        <v>4569</v>
      </c>
      <c r="Y223" s="1" t="s">
        <v>1150</v>
      </c>
      <c r="Z223" s="1" t="s">
        <v>276</v>
      </c>
      <c r="AA223" s="1" t="s">
        <v>4569</v>
      </c>
      <c r="AB223" s="1" t="s">
        <v>1150</v>
      </c>
      <c r="AC223" s="1" t="s">
        <v>276</v>
      </c>
      <c r="AD223" s="1">
        <v>8.15</v>
      </c>
      <c r="AE223" s="1" t="s">
        <v>93</v>
      </c>
      <c r="AF223" s="1" t="s">
        <v>4570</v>
      </c>
      <c r="AG223" s="1" t="s">
        <v>4571</v>
      </c>
      <c r="AH223" s="1" t="s">
        <v>4572</v>
      </c>
      <c r="AI223" s="1" t="s">
        <v>308</v>
      </c>
      <c r="AJ223" s="1">
        <v>80.6</v>
      </c>
      <c r="AK223" s="1"/>
      <c r="AL223" s="1" t="s">
        <v>612</v>
      </c>
      <c r="AM223" s="1" t="s">
        <v>4573</v>
      </c>
      <c r="AN223" s="1" t="s">
        <v>310</v>
      </c>
      <c r="AO223" s="1" t="s">
        <v>506</v>
      </c>
      <c r="AP223" s="1">
        <v>90.3</v>
      </c>
      <c r="AQ223" s="1"/>
      <c r="AR223" s="1"/>
      <c r="AS223" s="1"/>
      <c r="AT223" s="1"/>
      <c r="AU223" s="1"/>
      <c r="AV223" s="1"/>
      <c r="AW223" s="1"/>
      <c r="AX223" s="1" t="s">
        <v>4574</v>
      </c>
      <c r="AY223" s="1" t="s">
        <v>4575</v>
      </c>
      <c r="AZ223" s="1" t="s">
        <v>135</v>
      </c>
      <c r="BA223" s="1" t="s">
        <v>1361</v>
      </c>
      <c r="BB223" s="1">
        <v>60.13</v>
      </c>
      <c r="BC223" s="1"/>
      <c r="BD223" s="1"/>
      <c r="BE223" s="1"/>
      <c r="BF223" s="1"/>
      <c r="BG223" s="1"/>
      <c r="BH223" s="1"/>
      <c r="BI223" s="1"/>
      <c r="BJ223" s="1" t="s">
        <v>364</v>
      </c>
      <c r="BK223" s="1"/>
      <c r="BL223" s="1"/>
      <c r="BM223" s="1" t="s">
        <v>4576</v>
      </c>
      <c r="BN223" s="1">
        <v>4</v>
      </c>
      <c r="BO223" s="1"/>
      <c r="BP223" s="1" t="str">
        <f>HYPERLINK("https://nconnect.nicmar.ac.in/storage/profile/ProfilePhoto_P25700164_746531.jpg","Download")</f>
        <v>0</v>
      </c>
      <c r="BQ223" s="3"/>
      <c r="BR223" s="3"/>
    </row>
    <row r="224" spans="1:70">
      <c r="A224" s="1" t="s">
        <v>70</v>
      </c>
      <c r="B224" s="1" t="s">
        <v>1269</v>
      </c>
      <c r="C224" s="1" t="s">
        <v>4577</v>
      </c>
      <c r="D224" s="1" t="s">
        <v>4578</v>
      </c>
      <c r="E224" s="1"/>
      <c r="F224" s="1" t="s">
        <v>835</v>
      </c>
      <c r="G224" s="1" t="s">
        <v>4579</v>
      </c>
      <c r="H224" s="1" t="s">
        <v>4580</v>
      </c>
      <c r="I224" s="1" t="s">
        <v>4581</v>
      </c>
      <c r="J224" s="1">
        <v>7678285133</v>
      </c>
      <c r="K224" s="1" t="s">
        <v>79</v>
      </c>
      <c r="L224" s="1" t="s">
        <v>4582</v>
      </c>
      <c r="M224" s="1" t="s">
        <v>81</v>
      </c>
      <c r="N224" s="1" t="s">
        <v>241</v>
      </c>
      <c r="O224" s="1"/>
      <c r="P224" s="1" t="s">
        <v>1278</v>
      </c>
      <c r="Q224" s="1" t="s">
        <v>4583</v>
      </c>
      <c r="R224" s="1" t="s">
        <v>4584</v>
      </c>
      <c r="S224" s="1">
        <v>9810080989</v>
      </c>
      <c r="T224" s="1" t="s">
        <v>496</v>
      </c>
      <c r="U224" s="1" t="s">
        <v>4585</v>
      </c>
      <c r="V224" s="1">
        <v>9311332321</v>
      </c>
      <c r="W224" s="1" t="s">
        <v>89</v>
      </c>
      <c r="X224" s="1" t="s">
        <v>4586</v>
      </c>
      <c r="Y224" s="1" t="s">
        <v>4546</v>
      </c>
      <c r="Z224" s="1" t="s">
        <v>1355</v>
      </c>
      <c r="AA224" s="1" t="s">
        <v>4586</v>
      </c>
      <c r="AB224" s="1" t="s">
        <v>4546</v>
      </c>
      <c r="AC224" s="1" t="s">
        <v>1355</v>
      </c>
      <c r="AD224" s="1">
        <v>9.03</v>
      </c>
      <c r="AE224" s="1" t="s">
        <v>93</v>
      </c>
      <c r="AF224" s="1" t="s">
        <v>4587</v>
      </c>
      <c r="AG224" s="1" t="s">
        <v>4588</v>
      </c>
      <c r="AH224" s="1" t="s">
        <v>279</v>
      </c>
      <c r="AI224" s="1" t="s">
        <v>195</v>
      </c>
      <c r="AJ224" s="1">
        <v>93.1</v>
      </c>
      <c r="AK224" s="1">
        <v>9.8</v>
      </c>
      <c r="AL224" s="1" t="s">
        <v>4587</v>
      </c>
      <c r="AM224" s="1" t="s">
        <v>4588</v>
      </c>
      <c r="AN224" s="1" t="s">
        <v>1307</v>
      </c>
      <c r="AO224" s="1" t="s">
        <v>308</v>
      </c>
      <c r="AP224" s="1">
        <v>91.4</v>
      </c>
      <c r="AQ224" s="1">
        <v>0</v>
      </c>
      <c r="AR224" s="1"/>
      <c r="AS224" s="1"/>
      <c r="AT224" s="1"/>
      <c r="AU224" s="1"/>
      <c r="AV224" s="1"/>
      <c r="AW224" s="1"/>
      <c r="AX224" s="1" t="s">
        <v>4589</v>
      </c>
      <c r="AY224" s="1" t="s">
        <v>4590</v>
      </c>
      <c r="AZ224" s="1" t="s">
        <v>310</v>
      </c>
      <c r="BA224" s="1" t="s">
        <v>174</v>
      </c>
      <c r="BB224" s="1">
        <v>85.4</v>
      </c>
      <c r="BC224" s="1">
        <v>8.54</v>
      </c>
      <c r="BD224" s="1"/>
      <c r="BE224" s="1"/>
      <c r="BF224" s="1"/>
      <c r="BG224" s="1"/>
      <c r="BH224" s="1"/>
      <c r="BI224" s="1"/>
      <c r="BJ224" s="1" t="s">
        <v>4591</v>
      </c>
      <c r="BK224" s="1"/>
      <c r="BL224" s="1"/>
      <c r="BM224" s="1" t="s">
        <v>4592</v>
      </c>
      <c r="BN224" s="1">
        <v>30</v>
      </c>
      <c r="BO224" s="1"/>
      <c r="BP224" s="1" t="str">
        <f>HYPERLINK("https://nconnect.nicmar.ac.in/storage/profile/ProfilePhoto_P25700165_376415.jpg","Download")</f>
        <v>0</v>
      </c>
      <c r="BQ224" s="3"/>
      <c r="BR224" s="3"/>
    </row>
    <row r="225" spans="1:70">
      <c r="A225" s="1" t="s">
        <v>70</v>
      </c>
      <c r="B225" s="1" t="s">
        <v>1269</v>
      </c>
      <c r="C225" s="1" t="s">
        <v>4593</v>
      </c>
      <c r="D225" s="1" t="s">
        <v>367</v>
      </c>
      <c r="E225" s="1" t="s">
        <v>4594</v>
      </c>
      <c r="F225" s="1" t="s">
        <v>4595</v>
      </c>
      <c r="G225" s="1" t="s">
        <v>4596</v>
      </c>
      <c r="H225" s="1" t="s">
        <v>4597</v>
      </c>
      <c r="I225" s="1" t="s">
        <v>4598</v>
      </c>
      <c r="J225" s="1">
        <v>7559435455</v>
      </c>
      <c r="K225" s="1" t="s">
        <v>79</v>
      </c>
      <c r="L225" s="1" t="s">
        <v>3470</v>
      </c>
      <c r="M225" s="1" t="s">
        <v>81</v>
      </c>
      <c r="N225" s="1" t="s">
        <v>3229</v>
      </c>
      <c r="O225" s="1"/>
      <c r="P225" s="1" t="s">
        <v>1278</v>
      </c>
      <c r="Q225" s="1" t="s">
        <v>4599</v>
      </c>
      <c r="R225" s="1" t="s">
        <v>4600</v>
      </c>
      <c r="S225" s="1">
        <v>9673928999</v>
      </c>
      <c r="T225" s="1" t="s">
        <v>842</v>
      </c>
      <c r="U225" s="1" t="s">
        <v>4601</v>
      </c>
      <c r="V225" s="1">
        <v>9765211617</v>
      </c>
      <c r="W225" s="1" t="s">
        <v>273</v>
      </c>
      <c r="X225" s="1" t="s">
        <v>4602</v>
      </c>
      <c r="Y225" s="1" t="s">
        <v>191</v>
      </c>
      <c r="Z225" s="1" t="s">
        <v>92</v>
      </c>
      <c r="AA225" s="1" t="s">
        <v>4603</v>
      </c>
      <c r="AB225" s="1" t="s">
        <v>158</v>
      </c>
      <c r="AC225" s="1" t="s">
        <v>92</v>
      </c>
      <c r="AD225" s="1">
        <v>7.97</v>
      </c>
      <c r="AE225" s="1" t="s">
        <v>93</v>
      </c>
      <c r="AF225" s="1" t="s">
        <v>4604</v>
      </c>
      <c r="AG225" s="1" t="s">
        <v>1665</v>
      </c>
      <c r="AH225" s="1" t="s">
        <v>162</v>
      </c>
      <c r="AI225" s="1" t="s">
        <v>308</v>
      </c>
      <c r="AJ225" s="1">
        <v>84.6</v>
      </c>
      <c r="AK225" s="1"/>
      <c r="AL225" s="1" t="s">
        <v>4605</v>
      </c>
      <c r="AM225" s="1" t="s">
        <v>4606</v>
      </c>
      <c r="AN225" s="1" t="s">
        <v>310</v>
      </c>
      <c r="AO225" s="1" t="s">
        <v>2016</v>
      </c>
      <c r="AP225" s="1">
        <v>84.5</v>
      </c>
      <c r="AQ225" s="1"/>
      <c r="AR225" s="1"/>
      <c r="AS225" s="1"/>
      <c r="AT225" s="1"/>
      <c r="AU225" s="1"/>
      <c r="AV225" s="1"/>
      <c r="AW225" s="1"/>
      <c r="AX225" s="1" t="s">
        <v>361</v>
      </c>
      <c r="AY225" s="1" t="s">
        <v>4607</v>
      </c>
      <c r="AZ225" s="1" t="s">
        <v>897</v>
      </c>
      <c r="BA225" s="1" t="s">
        <v>1361</v>
      </c>
      <c r="BB225" s="1">
        <v>75.5</v>
      </c>
      <c r="BC225" s="1">
        <v>8.3</v>
      </c>
      <c r="BD225" s="1"/>
      <c r="BE225" s="1"/>
      <c r="BF225" s="1"/>
      <c r="BG225" s="1"/>
      <c r="BH225" s="1"/>
      <c r="BI225" s="1"/>
      <c r="BJ225" s="1" t="s">
        <v>364</v>
      </c>
      <c r="BK225" s="1"/>
      <c r="BL225" s="1"/>
      <c r="BM225" s="1"/>
      <c r="BN225" s="1"/>
      <c r="BO225" s="1"/>
      <c r="BP225" s="1" t="str">
        <f>HYPERLINK("https://nconnect.nicmar.ac.in/storage/profile/ProfilePhoto_P25700166_763589.jpg","Download")</f>
        <v>0</v>
      </c>
      <c r="BQ225" s="3"/>
      <c r="BR225" s="3"/>
    </row>
    <row r="226" spans="1:70">
      <c r="A226" s="1" t="s">
        <v>70</v>
      </c>
      <c r="B226" s="1" t="s">
        <v>1269</v>
      </c>
      <c r="C226" s="1" t="s">
        <v>4608</v>
      </c>
      <c r="D226" s="1" t="s">
        <v>4609</v>
      </c>
      <c r="E226" s="1"/>
      <c r="F226" s="1" t="s">
        <v>4610</v>
      </c>
      <c r="G226" s="1" t="s">
        <v>4611</v>
      </c>
      <c r="H226" s="1" t="s">
        <v>4612</v>
      </c>
      <c r="I226" s="1" t="s">
        <v>4613</v>
      </c>
      <c r="J226" s="1">
        <v>9441056172</v>
      </c>
      <c r="K226" s="1" t="s">
        <v>79</v>
      </c>
      <c r="L226" s="1" t="s">
        <v>4614</v>
      </c>
      <c r="M226" s="1" t="s">
        <v>81</v>
      </c>
      <c r="N226" s="1" t="s">
        <v>4615</v>
      </c>
      <c r="O226" s="1"/>
      <c r="P226" s="1" t="s">
        <v>1323</v>
      </c>
      <c r="Q226" s="1" t="s">
        <v>4616</v>
      </c>
      <c r="R226" s="1" t="s">
        <v>4617</v>
      </c>
      <c r="S226" s="1">
        <v>9945279015</v>
      </c>
      <c r="T226" s="1" t="s">
        <v>496</v>
      </c>
      <c r="U226" s="1" t="s">
        <v>4618</v>
      </c>
      <c r="V226" s="1">
        <v>9440883642</v>
      </c>
      <c r="W226" s="1" t="s">
        <v>4619</v>
      </c>
      <c r="X226" s="1" t="s">
        <v>4620</v>
      </c>
      <c r="Y226" s="1" t="s">
        <v>4621</v>
      </c>
      <c r="Z226" s="1" t="s">
        <v>276</v>
      </c>
      <c r="AA226" s="1" t="s">
        <v>4620</v>
      </c>
      <c r="AB226" s="1" t="s">
        <v>4621</v>
      </c>
      <c r="AC226" s="1" t="s">
        <v>276</v>
      </c>
      <c r="AD226" s="1">
        <v>8.23</v>
      </c>
      <c r="AE226" s="1" t="s">
        <v>93</v>
      </c>
      <c r="AF226" s="1" t="s">
        <v>4622</v>
      </c>
      <c r="AG226" s="1" t="s">
        <v>2243</v>
      </c>
      <c r="AH226" s="1" t="s">
        <v>165</v>
      </c>
      <c r="AI226" s="1" t="s">
        <v>1307</v>
      </c>
      <c r="AJ226" s="1">
        <v>90</v>
      </c>
      <c r="AK226" s="1"/>
      <c r="AL226" s="1" t="s">
        <v>4622</v>
      </c>
      <c r="AM226" s="1" t="s">
        <v>613</v>
      </c>
      <c r="AN226" s="1" t="s">
        <v>101</v>
      </c>
      <c r="AO226" s="1" t="s">
        <v>699</v>
      </c>
      <c r="AP226" s="1">
        <v>65.4</v>
      </c>
      <c r="AQ226" s="1"/>
      <c r="AR226" s="1"/>
      <c r="AS226" s="1"/>
      <c r="AT226" s="1"/>
      <c r="AU226" s="1"/>
      <c r="AV226" s="1"/>
      <c r="AW226" s="1"/>
      <c r="AX226" s="1" t="s">
        <v>1088</v>
      </c>
      <c r="AY226" s="1" t="s">
        <v>4623</v>
      </c>
      <c r="AZ226" s="1" t="s">
        <v>363</v>
      </c>
      <c r="BA226" s="1" t="s">
        <v>202</v>
      </c>
      <c r="BB226" s="1">
        <v>68.4</v>
      </c>
      <c r="BC226" s="1"/>
      <c r="BD226" s="1"/>
      <c r="BE226" s="1"/>
      <c r="BF226" s="1"/>
      <c r="BG226" s="1"/>
      <c r="BH226" s="1"/>
      <c r="BI226" s="1"/>
      <c r="BJ226" s="1" t="s">
        <v>3083</v>
      </c>
      <c r="BK226" s="1"/>
      <c r="BL226" s="1"/>
      <c r="BM226" s="1" t="s">
        <v>4624</v>
      </c>
      <c r="BN226" s="1">
        <v>38</v>
      </c>
      <c r="BO226" s="1"/>
      <c r="BP226" s="1" t="str">
        <f>HYPERLINK("https://nconnect.nicmar.ac.in/storage/profile/ProfilePhoto_P25700167_351762.jpg","Download")</f>
        <v>0</v>
      </c>
      <c r="BQ226" s="3"/>
      <c r="BR226" s="3"/>
    </row>
    <row r="227" spans="1:70">
      <c r="A227" s="1" t="s">
        <v>70</v>
      </c>
      <c r="B227" s="1" t="s">
        <v>1269</v>
      </c>
      <c r="C227" s="1" t="s">
        <v>4625</v>
      </c>
      <c r="D227" s="1" t="s">
        <v>4626</v>
      </c>
      <c r="E227" s="1"/>
      <c r="F227" s="1" t="s">
        <v>4627</v>
      </c>
      <c r="G227" s="1" t="s">
        <v>4628</v>
      </c>
      <c r="H227" s="1" t="s">
        <v>4629</v>
      </c>
      <c r="I227" s="1" t="s">
        <v>4630</v>
      </c>
      <c r="J227" s="1">
        <v>9908717046</v>
      </c>
      <c r="K227" s="1" t="s">
        <v>79</v>
      </c>
      <c r="L227" s="1" t="s">
        <v>4631</v>
      </c>
      <c r="M227" s="1" t="s">
        <v>81</v>
      </c>
      <c r="N227" s="1" t="s">
        <v>4632</v>
      </c>
      <c r="O227" s="1"/>
      <c r="P227" s="1" t="s">
        <v>1298</v>
      </c>
      <c r="Q227" s="1" t="s">
        <v>4633</v>
      </c>
      <c r="R227" s="1" t="s">
        <v>4634</v>
      </c>
      <c r="S227" s="1">
        <v>8328535737</v>
      </c>
      <c r="T227" s="1" t="s">
        <v>4635</v>
      </c>
      <c r="U227" s="1" t="s">
        <v>4636</v>
      </c>
      <c r="V227" s="1">
        <v>6301738627</v>
      </c>
      <c r="W227" s="1" t="s">
        <v>651</v>
      </c>
      <c r="X227" s="1" t="s">
        <v>4637</v>
      </c>
      <c r="Y227" s="1" t="s">
        <v>2723</v>
      </c>
      <c r="Z227" s="1" t="s">
        <v>276</v>
      </c>
      <c r="AA227" s="1" t="s">
        <v>4637</v>
      </c>
      <c r="AB227" s="1" t="s">
        <v>2723</v>
      </c>
      <c r="AC227" s="1" t="s">
        <v>276</v>
      </c>
      <c r="AD227" s="1">
        <v>7.87</v>
      </c>
      <c r="AE227" s="1" t="s">
        <v>93</v>
      </c>
      <c r="AF227" s="1" t="s">
        <v>4638</v>
      </c>
      <c r="AG227" s="1" t="s">
        <v>4639</v>
      </c>
      <c r="AH227" s="1" t="s">
        <v>195</v>
      </c>
      <c r="AI227" s="1" t="s">
        <v>1307</v>
      </c>
      <c r="AJ227" s="1">
        <v>83</v>
      </c>
      <c r="AK227" s="1">
        <v>8.3</v>
      </c>
      <c r="AL227" s="1" t="s">
        <v>4640</v>
      </c>
      <c r="AM227" s="1" t="s">
        <v>4641</v>
      </c>
      <c r="AN227" s="1" t="s">
        <v>310</v>
      </c>
      <c r="AO227" s="1" t="s">
        <v>173</v>
      </c>
      <c r="AP227" s="1">
        <v>57.92</v>
      </c>
      <c r="AQ227" s="1">
        <v>6.19</v>
      </c>
      <c r="AR227" s="1"/>
      <c r="AS227" s="1"/>
      <c r="AT227" s="1"/>
      <c r="AU227" s="1"/>
      <c r="AV227" s="1"/>
      <c r="AW227" s="1"/>
      <c r="AX227" s="1" t="s">
        <v>4642</v>
      </c>
      <c r="AY227" s="1" t="s">
        <v>4643</v>
      </c>
      <c r="AZ227" s="1" t="s">
        <v>173</v>
      </c>
      <c r="BA227" s="1" t="s">
        <v>1938</v>
      </c>
      <c r="BB227" s="1">
        <v>56.7</v>
      </c>
      <c r="BC227" s="1">
        <v>6.42</v>
      </c>
      <c r="BD227" s="1"/>
      <c r="BE227" s="1"/>
      <c r="BF227" s="1"/>
      <c r="BG227" s="1"/>
      <c r="BH227" s="1"/>
      <c r="BI227" s="1"/>
      <c r="BJ227" s="1" t="s">
        <v>4644</v>
      </c>
      <c r="BK227" s="1"/>
      <c r="BL227" s="1"/>
      <c r="BM227" s="1" t="s">
        <v>4645</v>
      </c>
      <c r="BN227" s="1">
        <v>26</v>
      </c>
      <c r="BO227" s="1"/>
      <c r="BP227" s="1" t="str">
        <f>HYPERLINK("https://nconnect.nicmar.ac.in/storage/profile/ProfilePhoto_P25700168_965724.jpg","Download")</f>
        <v>0</v>
      </c>
      <c r="BQ227" s="3"/>
      <c r="BR227" s="3"/>
    </row>
    <row r="228" spans="1:70">
      <c r="A228" s="1" t="s">
        <v>70</v>
      </c>
      <c r="B228" s="1" t="s">
        <v>1269</v>
      </c>
      <c r="C228" s="1" t="s">
        <v>4646</v>
      </c>
      <c r="D228" s="1" t="s">
        <v>464</v>
      </c>
      <c r="E228" s="1" t="s">
        <v>4647</v>
      </c>
      <c r="F228" s="1" t="s">
        <v>4648</v>
      </c>
      <c r="G228" s="1" t="s">
        <v>4649</v>
      </c>
      <c r="H228" s="1" t="s">
        <v>4650</v>
      </c>
      <c r="I228" s="1" t="s">
        <v>4651</v>
      </c>
      <c r="J228" s="1">
        <v>9156403403</v>
      </c>
      <c r="K228" s="1" t="s">
        <v>148</v>
      </c>
      <c r="L228" s="1" t="s">
        <v>4652</v>
      </c>
      <c r="M228" s="1" t="s">
        <v>81</v>
      </c>
      <c r="N228" s="1" t="s">
        <v>2008</v>
      </c>
      <c r="O228" s="1"/>
      <c r="P228" s="1" t="s">
        <v>1278</v>
      </c>
      <c r="Q228" s="1" t="s">
        <v>4653</v>
      </c>
      <c r="R228" s="1" t="s">
        <v>4647</v>
      </c>
      <c r="S228" s="1">
        <v>9860505903</v>
      </c>
      <c r="T228" s="1" t="s">
        <v>842</v>
      </c>
      <c r="U228" s="1" t="s">
        <v>2699</v>
      </c>
      <c r="V228" s="1">
        <v>8600289306</v>
      </c>
      <c r="W228" s="1" t="s">
        <v>89</v>
      </c>
      <c r="X228" s="1" t="s">
        <v>4654</v>
      </c>
      <c r="Y228" s="1" t="s">
        <v>379</v>
      </c>
      <c r="Z228" s="1" t="s">
        <v>92</v>
      </c>
      <c r="AA228" s="1" t="s">
        <v>4654</v>
      </c>
      <c r="AB228" s="1" t="s">
        <v>379</v>
      </c>
      <c r="AC228" s="1" t="s">
        <v>92</v>
      </c>
      <c r="AD228" s="1">
        <v>9.57</v>
      </c>
      <c r="AE228" s="1" t="s">
        <v>93</v>
      </c>
      <c r="AF228" s="1" t="s">
        <v>4655</v>
      </c>
      <c r="AG228" s="1" t="s">
        <v>4656</v>
      </c>
      <c r="AH228" s="1" t="s">
        <v>503</v>
      </c>
      <c r="AI228" s="1" t="s">
        <v>527</v>
      </c>
      <c r="AJ228" s="1">
        <v>89.3</v>
      </c>
      <c r="AK228" s="1">
        <v>9.4</v>
      </c>
      <c r="AL228" s="1" t="s">
        <v>4657</v>
      </c>
      <c r="AM228" s="1" t="s">
        <v>4658</v>
      </c>
      <c r="AN228" s="1" t="s">
        <v>165</v>
      </c>
      <c r="AO228" s="1" t="s">
        <v>166</v>
      </c>
      <c r="AP228" s="1">
        <v>89.23</v>
      </c>
      <c r="AQ228" s="1"/>
      <c r="AR228" s="1"/>
      <c r="AS228" s="1"/>
      <c r="AT228" s="1"/>
      <c r="AU228" s="1"/>
      <c r="AV228" s="1"/>
      <c r="AW228" s="1"/>
      <c r="AX228" s="1" t="s">
        <v>1852</v>
      </c>
      <c r="AY228" s="1" t="s">
        <v>4659</v>
      </c>
      <c r="AZ228" s="1" t="s">
        <v>169</v>
      </c>
      <c r="BA228" s="1" t="s">
        <v>229</v>
      </c>
      <c r="BB228" s="1">
        <v>83.31</v>
      </c>
      <c r="BC228" s="1">
        <v>8.77</v>
      </c>
      <c r="BD228" s="1"/>
      <c r="BE228" s="1"/>
      <c r="BF228" s="1"/>
      <c r="BG228" s="1"/>
      <c r="BH228" s="1"/>
      <c r="BI228" s="1"/>
      <c r="BJ228" s="1" t="s">
        <v>4660</v>
      </c>
      <c r="BK228" s="1" t="s">
        <v>4661</v>
      </c>
      <c r="BL228" s="1" t="s">
        <v>1629</v>
      </c>
      <c r="BM228" s="1" t="s">
        <v>4662</v>
      </c>
      <c r="BN228" s="1">
        <v>26</v>
      </c>
      <c r="BO228" s="1" t="s">
        <v>4663</v>
      </c>
      <c r="BP228" s="1" t="str">
        <f>HYPERLINK("https://nconnect.nicmar.ac.in/storage/profile/ProfilePhoto_P25700169_478621.jpg","Download")</f>
        <v>0</v>
      </c>
      <c r="BQ228" s="3"/>
      <c r="BR228" s="3"/>
    </row>
    <row r="229" spans="1:70">
      <c r="A229" s="1" t="s">
        <v>70</v>
      </c>
      <c r="B229" s="1" t="s">
        <v>1269</v>
      </c>
      <c r="C229" s="1" t="s">
        <v>4664</v>
      </c>
      <c r="D229" s="1" t="s">
        <v>4665</v>
      </c>
      <c r="E229" s="1"/>
      <c r="F229" s="1" t="s">
        <v>1226</v>
      </c>
      <c r="G229" s="1" t="s">
        <v>4666</v>
      </c>
      <c r="H229" s="1" t="s">
        <v>4667</v>
      </c>
      <c r="I229" s="1" t="s">
        <v>4668</v>
      </c>
      <c r="J229" s="1">
        <v>8628051005</v>
      </c>
      <c r="K229" s="1" t="s">
        <v>79</v>
      </c>
      <c r="L229" s="1" t="s">
        <v>4669</v>
      </c>
      <c r="M229" s="1" t="s">
        <v>81</v>
      </c>
      <c r="N229" s="1" t="s">
        <v>3779</v>
      </c>
      <c r="O229" s="1"/>
      <c r="P229" s="1" t="s">
        <v>1278</v>
      </c>
      <c r="Q229" s="1" t="s">
        <v>4670</v>
      </c>
      <c r="R229" s="1" t="s">
        <v>4671</v>
      </c>
      <c r="S229" s="1">
        <v>9501232100</v>
      </c>
      <c r="T229" s="1" t="s">
        <v>4672</v>
      </c>
      <c r="U229" s="1" t="s">
        <v>4673</v>
      </c>
      <c r="V229" s="1">
        <v>9418046030</v>
      </c>
      <c r="W229" s="1" t="s">
        <v>4674</v>
      </c>
      <c r="X229" s="1" t="s">
        <v>4675</v>
      </c>
      <c r="Y229" s="1" t="s">
        <v>4676</v>
      </c>
      <c r="Z229" s="1" t="s">
        <v>3419</v>
      </c>
      <c r="AA229" s="1" t="s">
        <v>4675</v>
      </c>
      <c r="AB229" s="1" t="s">
        <v>4676</v>
      </c>
      <c r="AC229" s="1" t="s">
        <v>3419</v>
      </c>
      <c r="AD229" s="1">
        <v>7.2</v>
      </c>
      <c r="AE229" s="1" t="s">
        <v>93</v>
      </c>
      <c r="AF229" s="1" t="s">
        <v>4677</v>
      </c>
      <c r="AG229" s="1" t="s">
        <v>1665</v>
      </c>
      <c r="AH229" s="1" t="s">
        <v>195</v>
      </c>
      <c r="AI229" s="1" t="s">
        <v>281</v>
      </c>
      <c r="AJ229" s="1">
        <v>61.8</v>
      </c>
      <c r="AK229" s="1">
        <v>0</v>
      </c>
      <c r="AL229" s="1" t="s">
        <v>4678</v>
      </c>
      <c r="AM229" s="1" t="s">
        <v>1665</v>
      </c>
      <c r="AN229" s="1" t="s">
        <v>409</v>
      </c>
      <c r="AO229" s="1" t="s">
        <v>941</v>
      </c>
      <c r="AP229" s="1">
        <v>63.2</v>
      </c>
      <c r="AQ229" s="1">
        <v>0</v>
      </c>
      <c r="AR229" s="1"/>
      <c r="AS229" s="1"/>
      <c r="AT229" s="1"/>
      <c r="AU229" s="1"/>
      <c r="AV229" s="1"/>
      <c r="AW229" s="1"/>
      <c r="AX229" s="1" t="s">
        <v>4679</v>
      </c>
      <c r="AY229" s="1" t="s">
        <v>4680</v>
      </c>
      <c r="AZ229" s="1" t="s">
        <v>920</v>
      </c>
      <c r="BA229" s="1" t="s">
        <v>1938</v>
      </c>
      <c r="BB229" s="1">
        <v>70.5</v>
      </c>
      <c r="BC229" s="1">
        <v>7.05</v>
      </c>
      <c r="BD229" s="1"/>
      <c r="BE229" s="1"/>
      <c r="BF229" s="1"/>
      <c r="BG229" s="1"/>
      <c r="BH229" s="1"/>
      <c r="BI229" s="1"/>
      <c r="BJ229" s="1" t="s">
        <v>364</v>
      </c>
      <c r="BK229" s="1"/>
      <c r="BL229" s="1"/>
      <c r="BM229" s="1" t="s">
        <v>4681</v>
      </c>
      <c r="BN229" s="1">
        <v>36</v>
      </c>
      <c r="BO229" s="1"/>
      <c r="BP229" s="1" t="str">
        <f>HYPERLINK("https://nconnect.nicmar.ac.in/storage/profile/ProfilePhoto_P25700170_489362.jpg","Download")</f>
        <v>0</v>
      </c>
      <c r="BQ229" s="3"/>
      <c r="BR229" s="3"/>
    </row>
    <row r="230" spans="1:70">
      <c r="A230" s="1" t="s">
        <v>70</v>
      </c>
      <c r="B230" s="1" t="s">
        <v>1269</v>
      </c>
      <c r="C230" s="1" t="s">
        <v>4682</v>
      </c>
      <c r="D230" s="1" t="s">
        <v>4683</v>
      </c>
      <c r="E230" s="1"/>
      <c r="F230" s="1" t="s">
        <v>4684</v>
      </c>
      <c r="G230" s="1" t="s">
        <v>4685</v>
      </c>
      <c r="H230" s="1" t="s">
        <v>4686</v>
      </c>
      <c r="I230" s="1" t="s">
        <v>4687</v>
      </c>
      <c r="J230" s="1">
        <v>7980670867</v>
      </c>
      <c r="K230" s="1" t="s">
        <v>79</v>
      </c>
      <c r="L230" s="1" t="s">
        <v>4688</v>
      </c>
      <c r="M230" s="1" t="s">
        <v>81</v>
      </c>
      <c r="N230" s="1" t="s">
        <v>4689</v>
      </c>
      <c r="O230" s="1"/>
      <c r="P230" s="1" t="s">
        <v>1278</v>
      </c>
      <c r="Q230" s="1" t="s">
        <v>4690</v>
      </c>
      <c r="R230" s="1" t="s">
        <v>4691</v>
      </c>
      <c r="S230" s="1">
        <v>9073192519</v>
      </c>
      <c r="T230" s="1" t="s">
        <v>120</v>
      </c>
      <c r="U230" s="1" t="s">
        <v>4692</v>
      </c>
      <c r="V230" s="1">
        <v>9433860343</v>
      </c>
      <c r="W230" s="1" t="s">
        <v>120</v>
      </c>
      <c r="X230" s="1" t="s">
        <v>4693</v>
      </c>
      <c r="Y230" s="1" t="s">
        <v>4694</v>
      </c>
      <c r="Z230" s="1" t="s">
        <v>783</v>
      </c>
      <c r="AA230" s="1" t="s">
        <v>4693</v>
      </c>
      <c r="AB230" s="1" t="s">
        <v>4694</v>
      </c>
      <c r="AC230" s="1" t="s">
        <v>783</v>
      </c>
      <c r="AD230" s="1">
        <v>8.77</v>
      </c>
      <c r="AE230" s="1" t="s">
        <v>93</v>
      </c>
      <c r="AF230" s="1" t="s">
        <v>4695</v>
      </c>
      <c r="AG230" s="1" t="s">
        <v>1152</v>
      </c>
      <c r="AH230" s="1" t="s">
        <v>2221</v>
      </c>
      <c r="AI230" s="1" t="s">
        <v>332</v>
      </c>
      <c r="AJ230" s="1">
        <v>74.57</v>
      </c>
      <c r="AK230" s="1"/>
      <c r="AL230" s="1" t="s">
        <v>4696</v>
      </c>
      <c r="AM230" s="1" t="s">
        <v>1152</v>
      </c>
      <c r="AN230" s="1" t="s">
        <v>4697</v>
      </c>
      <c r="AO230" s="1" t="s">
        <v>1242</v>
      </c>
      <c r="AP230" s="1">
        <v>61.33</v>
      </c>
      <c r="AQ230" s="1"/>
      <c r="AR230" s="1"/>
      <c r="AS230" s="1"/>
      <c r="AT230" s="1"/>
      <c r="AU230" s="1"/>
      <c r="AV230" s="1"/>
      <c r="AW230" s="1"/>
      <c r="AX230" s="1" t="s">
        <v>2078</v>
      </c>
      <c r="AY230" s="1" t="s">
        <v>4698</v>
      </c>
      <c r="AZ230" s="1" t="s">
        <v>2401</v>
      </c>
      <c r="BA230" s="1" t="s">
        <v>383</v>
      </c>
      <c r="BB230" s="1">
        <v>68.8</v>
      </c>
      <c r="BC230" s="1">
        <v>7.63</v>
      </c>
      <c r="BD230" s="1"/>
      <c r="BE230" s="1"/>
      <c r="BF230" s="1"/>
      <c r="BG230" s="1"/>
      <c r="BH230" s="1"/>
      <c r="BI230" s="1"/>
      <c r="BJ230" s="1" t="s">
        <v>4699</v>
      </c>
      <c r="BK230" s="1" t="s">
        <v>4700</v>
      </c>
      <c r="BL230" s="1" t="s">
        <v>4701</v>
      </c>
      <c r="BM230" s="1" t="s">
        <v>4702</v>
      </c>
      <c r="BN230" s="1">
        <v>21</v>
      </c>
      <c r="BO230" s="1" t="s">
        <v>4703</v>
      </c>
      <c r="BP230" s="1" t="str">
        <f>HYPERLINK("https://nconnect.nicmar.ac.in/storage/profile/ProfilePhoto_P25700171_586279.jpg","Download")</f>
        <v>0</v>
      </c>
      <c r="BQ230" s="3"/>
      <c r="BR230" s="3"/>
    </row>
    <row r="231" spans="1:70">
      <c r="A231" s="1" t="s">
        <v>70</v>
      </c>
      <c r="B231" s="1" t="s">
        <v>1269</v>
      </c>
      <c r="C231" s="1" t="s">
        <v>4704</v>
      </c>
      <c r="D231" s="1" t="s">
        <v>4705</v>
      </c>
      <c r="E231" s="1" t="s">
        <v>1612</v>
      </c>
      <c r="F231" s="1" t="s">
        <v>2024</v>
      </c>
      <c r="G231" s="1" t="s">
        <v>4706</v>
      </c>
      <c r="H231" s="1" t="s">
        <v>4707</v>
      </c>
      <c r="I231" s="1" t="s">
        <v>4708</v>
      </c>
      <c r="J231" s="1">
        <v>8108181970</v>
      </c>
      <c r="K231" s="1" t="s">
        <v>148</v>
      </c>
      <c r="L231" s="1" t="s">
        <v>4709</v>
      </c>
      <c r="M231" s="1" t="s">
        <v>81</v>
      </c>
      <c r="N231" s="1" t="s">
        <v>2008</v>
      </c>
      <c r="O231" s="1"/>
      <c r="P231" s="1" t="s">
        <v>2505</v>
      </c>
      <c r="Q231" s="1" t="s">
        <v>4710</v>
      </c>
      <c r="R231" s="1" t="s">
        <v>4711</v>
      </c>
      <c r="S231" s="1">
        <v>9222467061</v>
      </c>
      <c r="T231" s="1" t="s">
        <v>496</v>
      </c>
      <c r="U231" s="1" t="s">
        <v>4712</v>
      </c>
      <c r="V231" s="1">
        <v>9167146470</v>
      </c>
      <c r="W231" s="1" t="s">
        <v>273</v>
      </c>
      <c r="X231" s="1" t="s">
        <v>4713</v>
      </c>
      <c r="Y231" s="1" t="s">
        <v>766</v>
      </c>
      <c r="Z231" s="1" t="s">
        <v>92</v>
      </c>
      <c r="AA231" s="1" t="s">
        <v>4713</v>
      </c>
      <c r="AB231" s="1" t="s">
        <v>766</v>
      </c>
      <c r="AC231" s="1" t="s">
        <v>92</v>
      </c>
      <c r="AD231" s="1">
        <v>7.16</v>
      </c>
      <c r="AE231" s="1" t="s">
        <v>93</v>
      </c>
      <c r="AF231" s="1" t="s">
        <v>4714</v>
      </c>
      <c r="AG231" s="1" t="s">
        <v>4715</v>
      </c>
      <c r="AH231" s="1" t="s">
        <v>162</v>
      </c>
      <c r="AI231" s="1" t="s">
        <v>195</v>
      </c>
      <c r="AJ231" s="1">
        <v>67</v>
      </c>
      <c r="AK231" s="1"/>
      <c r="AL231" s="1" t="s">
        <v>4716</v>
      </c>
      <c r="AM231" s="1" t="s">
        <v>4717</v>
      </c>
      <c r="AN231" s="1" t="s">
        <v>101</v>
      </c>
      <c r="AO231" s="1" t="s">
        <v>198</v>
      </c>
      <c r="AP231" s="1">
        <v>61.85</v>
      </c>
      <c r="AQ231" s="1"/>
      <c r="AR231" s="1"/>
      <c r="AS231" s="1"/>
      <c r="AT231" s="1"/>
      <c r="AU231" s="1"/>
      <c r="AV231" s="1"/>
      <c r="AW231" s="1"/>
      <c r="AX231" s="1" t="s">
        <v>4718</v>
      </c>
      <c r="AY231" s="1" t="s">
        <v>4719</v>
      </c>
      <c r="AZ231" s="1" t="s">
        <v>310</v>
      </c>
      <c r="BA231" s="1" t="s">
        <v>3158</v>
      </c>
      <c r="BB231" s="1">
        <v>60</v>
      </c>
      <c r="BC231" s="1">
        <v>8.1</v>
      </c>
      <c r="BD231" s="1"/>
      <c r="BE231" s="1"/>
      <c r="BF231" s="1"/>
      <c r="BG231" s="1"/>
      <c r="BH231" s="1"/>
      <c r="BI231" s="1"/>
      <c r="BJ231" s="1" t="s">
        <v>4720</v>
      </c>
      <c r="BK231" s="1" t="s">
        <v>4721</v>
      </c>
      <c r="BL231" s="1" t="s">
        <v>4722</v>
      </c>
      <c r="BM231" s="1" t="s">
        <v>4723</v>
      </c>
      <c r="BN231" s="1">
        <v>40</v>
      </c>
      <c r="BO231" s="1" t="s">
        <v>4724</v>
      </c>
      <c r="BP231" s="1" t="str">
        <f>HYPERLINK("https://nconnect.nicmar.ac.in/storage/profile/ProfilePhoto_P25700172_489631.jpg","Download")</f>
        <v>0</v>
      </c>
      <c r="BQ231" s="3"/>
      <c r="BR231" s="3"/>
    </row>
    <row r="232" spans="1:70">
      <c r="A232" s="1" t="s">
        <v>70</v>
      </c>
      <c r="B232" s="1" t="s">
        <v>1269</v>
      </c>
      <c r="C232" s="1" t="s">
        <v>4725</v>
      </c>
      <c r="D232" s="1" t="s">
        <v>4726</v>
      </c>
      <c r="E232" s="1" t="s">
        <v>650</v>
      </c>
      <c r="F232" s="1" t="s">
        <v>4727</v>
      </c>
      <c r="G232" s="1" t="s">
        <v>4728</v>
      </c>
      <c r="H232" s="1" t="s">
        <v>4729</v>
      </c>
      <c r="I232" s="1" t="s">
        <v>4730</v>
      </c>
      <c r="J232" s="1">
        <v>7798109599</v>
      </c>
      <c r="K232" s="1" t="s">
        <v>148</v>
      </c>
      <c r="L232" s="1" t="s">
        <v>4731</v>
      </c>
      <c r="M232" s="1" t="s">
        <v>150</v>
      </c>
      <c r="N232" s="1" t="s">
        <v>2008</v>
      </c>
      <c r="O232" s="1"/>
      <c r="P232" s="1" t="s">
        <v>1298</v>
      </c>
      <c r="Q232" s="1" t="s">
        <v>4732</v>
      </c>
      <c r="R232" s="1" t="s">
        <v>4733</v>
      </c>
      <c r="S232" s="1">
        <v>8830002525</v>
      </c>
      <c r="T232" s="1" t="s">
        <v>325</v>
      </c>
      <c r="U232" s="1" t="s">
        <v>4734</v>
      </c>
      <c r="V232" s="1">
        <v>9422332043</v>
      </c>
      <c r="W232" s="1" t="s">
        <v>156</v>
      </c>
      <c r="X232" s="1" t="s">
        <v>4735</v>
      </c>
      <c r="Y232" s="1" t="s">
        <v>191</v>
      </c>
      <c r="Z232" s="1" t="s">
        <v>92</v>
      </c>
      <c r="AA232" s="1" t="s">
        <v>4736</v>
      </c>
      <c r="AB232" s="1" t="s">
        <v>523</v>
      </c>
      <c r="AC232" s="1" t="s">
        <v>92</v>
      </c>
      <c r="AD232" s="1">
        <v>8.76</v>
      </c>
      <c r="AE232" s="1" t="s">
        <v>93</v>
      </c>
      <c r="AF232" s="1" t="s">
        <v>2702</v>
      </c>
      <c r="AG232" s="1" t="s">
        <v>160</v>
      </c>
      <c r="AH232" s="1" t="s">
        <v>657</v>
      </c>
      <c r="AI232" s="1" t="s">
        <v>727</v>
      </c>
      <c r="AJ232" s="1">
        <v>88.55</v>
      </c>
      <c r="AK232" s="1"/>
      <c r="AL232" s="1" t="s">
        <v>1130</v>
      </c>
      <c r="AM232" s="1" t="s">
        <v>160</v>
      </c>
      <c r="AN232" s="1" t="s">
        <v>998</v>
      </c>
      <c r="AO232" s="1" t="s">
        <v>4737</v>
      </c>
      <c r="AP232" s="1">
        <v>64.62</v>
      </c>
      <c r="AQ232" s="1"/>
      <c r="AR232" s="1"/>
      <c r="AS232" s="1"/>
      <c r="AT232" s="1"/>
      <c r="AU232" s="1"/>
      <c r="AV232" s="1"/>
      <c r="AW232" s="1"/>
      <c r="AX232" s="1" t="s">
        <v>361</v>
      </c>
      <c r="AY232" s="1" t="s">
        <v>4738</v>
      </c>
      <c r="AZ232" s="1" t="s">
        <v>96</v>
      </c>
      <c r="BA232" s="1" t="s">
        <v>1833</v>
      </c>
      <c r="BB232" s="1">
        <v>66.24</v>
      </c>
      <c r="BC232" s="1">
        <v>7.44</v>
      </c>
      <c r="BD232" s="1"/>
      <c r="BE232" s="1"/>
      <c r="BF232" s="1"/>
      <c r="BG232" s="1"/>
      <c r="BH232" s="1"/>
      <c r="BI232" s="1"/>
      <c r="BJ232" s="1" t="s">
        <v>4739</v>
      </c>
      <c r="BK232" s="1" t="s">
        <v>4740</v>
      </c>
      <c r="BL232" s="1" t="s">
        <v>4741</v>
      </c>
      <c r="BM232" s="1" t="s">
        <v>4742</v>
      </c>
      <c r="BN232" s="1">
        <v>34</v>
      </c>
      <c r="BO232" s="1"/>
      <c r="BP232" s="1" t="str">
        <f>HYPERLINK("https://nconnect.nicmar.ac.in/storage/profile/ProfilePhoto_P25700174_784592.jpg","Download")</f>
        <v>0</v>
      </c>
      <c r="BQ232" s="3"/>
      <c r="BR232" s="3"/>
    </row>
    <row r="233" spans="1:70">
      <c r="A233" s="1" t="s">
        <v>70</v>
      </c>
      <c r="B233" s="1" t="s">
        <v>1269</v>
      </c>
      <c r="C233" s="1" t="s">
        <v>4743</v>
      </c>
      <c r="D233" s="1" t="s">
        <v>4744</v>
      </c>
      <c r="E233" s="1" t="s">
        <v>2655</v>
      </c>
      <c r="F233" s="1" t="s">
        <v>4745</v>
      </c>
      <c r="G233" s="1" t="s">
        <v>4746</v>
      </c>
      <c r="H233" s="1" t="s">
        <v>4747</v>
      </c>
      <c r="I233" s="1" t="s">
        <v>4748</v>
      </c>
      <c r="J233" s="1">
        <v>7892922882</v>
      </c>
      <c r="K233" s="1" t="s">
        <v>148</v>
      </c>
      <c r="L233" s="1" t="s">
        <v>4749</v>
      </c>
      <c r="M233" s="1" t="s">
        <v>81</v>
      </c>
      <c r="N233" s="1" t="s">
        <v>4750</v>
      </c>
      <c r="O233" s="1"/>
      <c r="P233" s="1" t="s">
        <v>1298</v>
      </c>
      <c r="Q233" s="1" t="s">
        <v>4751</v>
      </c>
      <c r="R233" s="1" t="s">
        <v>4752</v>
      </c>
      <c r="S233" s="1">
        <v>9449799979</v>
      </c>
      <c r="T233" s="1" t="s">
        <v>496</v>
      </c>
      <c r="U233" s="1" t="s">
        <v>4753</v>
      </c>
      <c r="V233" s="1">
        <v>9481938444</v>
      </c>
      <c r="W233" s="1" t="s">
        <v>89</v>
      </c>
      <c r="X233" s="1" t="s">
        <v>4754</v>
      </c>
      <c r="Y233" s="1" t="s">
        <v>4755</v>
      </c>
      <c r="Z233" s="1" t="s">
        <v>1084</v>
      </c>
      <c r="AA233" s="1" t="s">
        <v>4756</v>
      </c>
      <c r="AB233" s="1" t="s">
        <v>4755</v>
      </c>
      <c r="AC233" s="1" t="s">
        <v>1084</v>
      </c>
      <c r="AD233" s="1">
        <v>7.57</v>
      </c>
      <c r="AE233" s="1" t="s">
        <v>93</v>
      </c>
      <c r="AF233" s="1" t="s">
        <v>4757</v>
      </c>
      <c r="AG233" s="1" t="s">
        <v>4758</v>
      </c>
      <c r="AH233" s="1" t="s">
        <v>162</v>
      </c>
      <c r="AI233" s="1" t="s">
        <v>165</v>
      </c>
      <c r="AJ233" s="1">
        <v>89.3</v>
      </c>
      <c r="AK233" s="1">
        <v>9.4</v>
      </c>
      <c r="AL233" s="1" t="s">
        <v>4759</v>
      </c>
      <c r="AM233" s="1" t="s">
        <v>4760</v>
      </c>
      <c r="AN233" s="1" t="s">
        <v>101</v>
      </c>
      <c r="AO233" s="1" t="s">
        <v>1065</v>
      </c>
      <c r="AP233" s="1">
        <v>66.1</v>
      </c>
      <c r="AQ233" s="1"/>
      <c r="AR233" s="1"/>
      <c r="AS233" s="1"/>
      <c r="AT233" s="1"/>
      <c r="AU233" s="1"/>
      <c r="AV233" s="1"/>
      <c r="AW233" s="1"/>
      <c r="AX233" s="1" t="s">
        <v>4761</v>
      </c>
      <c r="AY233" s="1" t="s">
        <v>4762</v>
      </c>
      <c r="AZ233" s="1" t="s">
        <v>174</v>
      </c>
      <c r="BA233" s="1" t="s">
        <v>1938</v>
      </c>
      <c r="BB233" s="1">
        <v>64.9</v>
      </c>
      <c r="BC233" s="1">
        <v>7.24</v>
      </c>
      <c r="BD233" s="1"/>
      <c r="BE233" s="1"/>
      <c r="BF233" s="1"/>
      <c r="BG233" s="1"/>
      <c r="BH233" s="1"/>
      <c r="BI233" s="1"/>
      <c r="BJ233" s="1" t="s">
        <v>4763</v>
      </c>
      <c r="BK233" s="1"/>
      <c r="BL233" s="1"/>
      <c r="BM233" s="1" t="s">
        <v>4764</v>
      </c>
      <c r="BN233" s="1">
        <v>26</v>
      </c>
      <c r="BO233" s="1" t="s">
        <v>4765</v>
      </c>
      <c r="BP233" s="1" t="str">
        <f>HYPERLINK("https://nconnect.nicmar.ac.in/storage/profile/ProfilePhoto_P25700175_314862.jpg","Download")</f>
        <v>0</v>
      </c>
      <c r="BQ233" s="3"/>
      <c r="BR233" s="3"/>
    </row>
    <row r="234" spans="1:70">
      <c r="A234" s="1" t="s">
        <v>70</v>
      </c>
      <c r="B234" s="1" t="s">
        <v>1269</v>
      </c>
      <c r="C234" s="1" t="s">
        <v>4766</v>
      </c>
      <c r="D234" s="1" t="s">
        <v>4767</v>
      </c>
      <c r="E234" s="1" t="s">
        <v>4768</v>
      </c>
      <c r="F234" s="1" t="s">
        <v>1899</v>
      </c>
      <c r="G234" s="1" t="s">
        <v>4769</v>
      </c>
      <c r="H234" s="1" t="s">
        <v>4770</v>
      </c>
      <c r="I234" s="1" t="s">
        <v>4771</v>
      </c>
      <c r="J234" s="1">
        <v>7899657629</v>
      </c>
      <c r="K234" s="1" t="s">
        <v>79</v>
      </c>
      <c r="L234" s="1" t="s">
        <v>4772</v>
      </c>
      <c r="M234" s="1" t="s">
        <v>81</v>
      </c>
      <c r="N234" s="1" t="s">
        <v>4773</v>
      </c>
      <c r="O234" s="1"/>
      <c r="P234" s="1" t="s">
        <v>1298</v>
      </c>
      <c r="Q234" s="1" t="s">
        <v>4774</v>
      </c>
      <c r="R234" s="1" t="s">
        <v>4775</v>
      </c>
      <c r="S234" s="1">
        <v>9008743435</v>
      </c>
      <c r="T234" s="1" t="s">
        <v>122</v>
      </c>
      <c r="U234" s="1" t="s">
        <v>4776</v>
      </c>
      <c r="V234" s="1">
        <v>9008743436</v>
      </c>
      <c r="W234" s="1" t="s">
        <v>273</v>
      </c>
      <c r="X234" s="1" t="s">
        <v>4777</v>
      </c>
      <c r="Y234" s="1" t="s">
        <v>2052</v>
      </c>
      <c r="Z234" s="1" t="s">
        <v>1084</v>
      </c>
      <c r="AA234" s="1" t="s">
        <v>4777</v>
      </c>
      <c r="AB234" s="1" t="s">
        <v>2052</v>
      </c>
      <c r="AC234" s="1" t="s">
        <v>1084</v>
      </c>
      <c r="AD234" s="1">
        <v>7.98</v>
      </c>
      <c r="AE234" s="1" t="s">
        <v>93</v>
      </c>
      <c r="AF234" s="1" t="s">
        <v>4778</v>
      </c>
      <c r="AG234" s="1" t="s">
        <v>4779</v>
      </c>
      <c r="AH234" s="1" t="s">
        <v>165</v>
      </c>
      <c r="AI234" s="1" t="s">
        <v>166</v>
      </c>
      <c r="AJ234" s="1">
        <v>72</v>
      </c>
      <c r="AK234" s="1">
        <v>0</v>
      </c>
      <c r="AL234" s="1" t="s">
        <v>4780</v>
      </c>
      <c r="AM234" s="1" t="s">
        <v>4781</v>
      </c>
      <c r="AN234" s="1" t="s">
        <v>433</v>
      </c>
      <c r="AO234" s="1" t="s">
        <v>173</v>
      </c>
      <c r="AP234" s="1">
        <v>82.16</v>
      </c>
      <c r="AQ234" s="1">
        <v>0</v>
      </c>
      <c r="AR234" s="1"/>
      <c r="AS234" s="1"/>
      <c r="AT234" s="1"/>
      <c r="AU234" s="1"/>
      <c r="AV234" s="1"/>
      <c r="AW234" s="1"/>
      <c r="AX234" s="1" t="s">
        <v>4782</v>
      </c>
      <c r="AY234" s="1" t="s">
        <v>4783</v>
      </c>
      <c r="AZ234" s="1" t="s">
        <v>920</v>
      </c>
      <c r="BA234" s="1" t="s">
        <v>1938</v>
      </c>
      <c r="BB234" s="1">
        <v>65.4</v>
      </c>
      <c r="BC234" s="1">
        <v>7.29</v>
      </c>
      <c r="BD234" s="1"/>
      <c r="BE234" s="1"/>
      <c r="BF234" s="1"/>
      <c r="BG234" s="1"/>
      <c r="BH234" s="1"/>
      <c r="BI234" s="1"/>
      <c r="BJ234" s="1" t="s">
        <v>4784</v>
      </c>
      <c r="BK234" s="1"/>
      <c r="BL234" s="1"/>
      <c r="BM234" s="1" t="s">
        <v>4785</v>
      </c>
      <c r="BN234" s="1">
        <v>37</v>
      </c>
      <c r="BO234" s="1"/>
      <c r="BP234" s="1" t="str">
        <f>HYPERLINK("https://nconnect.nicmar.ac.in/storage/profile/ProfilePhoto_P25700176_125376.jpg","Download")</f>
        <v>0</v>
      </c>
      <c r="BQ234" s="3"/>
      <c r="BR234" s="3"/>
    </row>
    <row r="235" spans="1:70">
      <c r="A235" s="1" t="s">
        <v>70</v>
      </c>
      <c r="B235" s="1" t="s">
        <v>1269</v>
      </c>
      <c r="C235" s="1" t="s">
        <v>4786</v>
      </c>
      <c r="D235" s="1" t="s">
        <v>4787</v>
      </c>
      <c r="E235" s="1" t="s">
        <v>4788</v>
      </c>
      <c r="F235" s="1" t="s">
        <v>4789</v>
      </c>
      <c r="G235" s="1" t="s">
        <v>4790</v>
      </c>
      <c r="H235" s="1" t="s">
        <v>4791</v>
      </c>
      <c r="I235" s="1" t="s">
        <v>4792</v>
      </c>
      <c r="J235" s="1">
        <v>7977657557</v>
      </c>
      <c r="K235" s="1" t="s">
        <v>79</v>
      </c>
      <c r="L235" s="1" t="s">
        <v>4793</v>
      </c>
      <c r="M235" s="1" t="s">
        <v>81</v>
      </c>
      <c r="N235" s="1" t="s">
        <v>4794</v>
      </c>
      <c r="O235" s="1"/>
      <c r="P235" s="1" t="s">
        <v>1766</v>
      </c>
      <c r="Q235" s="1" t="s">
        <v>4795</v>
      </c>
      <c r="R235" s="1" t="s">
        <v>4796</v>
      </c>
      <c r="S235" s="1">
        <v>9702396969</v>
      </c>
      <c r="T235" s="1" t="s">
        <v>496</v>
      </c>
      <c r="U235" s="1" t="s">
        <v>4797</v>
      </c>
      <c r="V235" s="1">
        <v>9702465656</v>
      </c>
      <c r="W235" s="1" t="s">
        <v>273</v>
      </c>
      <c r="X235" s="1" t="s">
        <v>4798</v>
      </c>
      <c r="Y235" s="1" t="s">
        <v>1623</v>
      </c>
      <c r="Z235" s="1" t="s">
        <v>92</v>
      </c>
      <c r="AA235" s="1" t="s">
        <v>4798</v>
      </c>
      <c r="AB235" s="1" t="s">
        <v>1623</v>
      </c>
      <c r="AC235" s="1" t="s">
        <v>92</v>
      </c>
      <c r="AD235" s="1">
        <v>7.77</v>
      </c>
      <c r="AE235" s="1" t="s">
        <v>93</v>
      </c>
      <c r="AF235" s="1" t="s">
        <v>4799</v>
      </c>
      <c r="AG235" s="1" t="s">
        <v>307</v>
      </c>
      <c r="AH235" s="1" t="s">
        <v>279</v>
      </c>
      <c r="AI235" s="1" t="s">
        <v>165</v>
      </c>
      <c r="AJ235" s="1">
        <v>69.6</v>
      </c>
      <c r="AK235" s="1">
        <v>7.6</v>
      </c>
      <c r="AL235" s="1"/>
      <c r="AM235" s="1"/>
      <c r="AN235" s="1"/>
      <c r="AO235" s="1"/>
      <c r="AP235" s="1"/>
      <c r="AQ235" s="1"/>
      <c r="AR235" s="1" t="s">
        <v>434</v>
      </c>
      <c r="AS235" s="1" t="s">
        <v>4800</v>
      </c>
      <c r="AT235" s="1" t="s">
        <v>225</v>
      </c>
      <c r="AU235" s="1" t="s">
        <v>436</v>
      </c>
      <c r="AV235" s="1">
        <v>90.2</v>
      </c>
      <c r="AW235" s="1"/>
      <c r="AX235" s="1" t="s">
        <v>253</v>
      </c>
      <c r="AY235" s="1" t="s">
        <v>4801</v>
      </c>
      <c r="AZ235" s="1" t="s">
        <v>1051</v>
      </c>
      <c r="BA235" s="1" t="s">
        <v>1938</v>
      </c>
      <c r="BB235" s="1">
        <v>64.24</v>
      </c>
      <c r="BC235" s="1">
        <v>7.03</v>
      </c>
      <c r="BD235" s="1"/>
      <c r="BE235" s="1"/>
      <c r="BF235" s="1"/>
      <c r="BG235" s="1"/>
      <c r="BH235" s="1"/>
      <c r="BI235" s="1"/>
      <c r="BJ235" s="1" t="s">
        <v>4802</v>
      </c>
      <c r="BK235" s="1"/>
      <c r="BL235" s="1"/>
      <c r="BM235" s="1" t="s">
        <v>4803</v>
      </c>
      <c r="BN235" s="1">
        <v>55</v>
      </c>
      <c r="BO235" s="1" t="s">
        <v>4804</v>
      </c>
      <c r="BP235" s="1" t="str">
        <f>HYPERLINK("https://nconnect.nicmar.ac.in/storage/profile/ProfilePhoto_P25700177_264735.jpg","Download")</f>
        <v>0</v>
      </c>
      <c r="BQ235" s="3"/>
      <c r="BR235" s="3"/>
    </row>
    <row r="236" spans="1:70">
      <c r="A236" s="1" t="s">
        <v>70</v>
      </c>
      <c r="B236" s="1" t="s">
        <v>1269</v>
      </c>
      <c r="C236" s="1" t="s">
        <v>4805</v>
      </c>
      <c r="D236" s="1" t="s">
        <v>4806</v>
      </c>
      <c r="E236" s="1" t="s">
        <v>4807</v>
      </c>
      <c r="F236" s="1" t="s">
        <v>4808</v>
      </c>
      <c r="G236" s="1" t="s">
        <v>4809</v>
      </c>
      <c r="H236" s="1" t="s">
        <v>4810</v>
      </c>
      <c r="I236" s="1" t="s">
        <v>4811</v>
      </c>
      <c r="J236" s="1">
        <v>7075506481</v>
      </c>
      <c r="K236" s="1" t="s">
        <v>79</v>
      </c>
      <c r="L236" s="1" t="s">
        <v>4812</v>
      </c>
      <c r="M236" s="1" t="s">
        <v>81</v>
      </c>
      <c r="N236" s="1" t="s">
        <v>3833</v>
      </c>
      <c r="O236" s="1"/>
      <c r="P236" s="1" t="s">
        <v>1323</v>
      </c>
      <c r="Q236" s="1" t="s">
        <v>4813</v>
      </c>
      <c r="R236" s="1" t="s">
        <v>4814</v>
      </c>
      <c r="S236" s="1">
        <v>9440019918</v>
      </c>
      <c r="T236" s="1" t="s">
        <v>4815</v>
      </c>
      <c r="U236" s="1" t="s">
        <v>4816</v>
      </c>
      <c r="V236" s="1">
        <v>9441045007</v>
      </c>
      <c r="W236" s="1" t="s">
        <v>2395</v>
      </c>
      <c r="X236" s="1" t="s">
        <v>4817</v>
      </c>
      <c r="Y236" s="1" t="s">
        <v>4818</v>
      </c>
      <c r="Z236" s="1" t="s">
        <v>609</v>
      </c>
      <c r="AA236" s="1" t="s">
        <v>4817</v>
      </c>
      <c r="AB236" s="1" t="s">
        <v>4818</v>
      </c>
      <c r="AC236" s="1" t="s">
        <v>609</v>
      </c>
      <c r="AD236" s="1">
        <v>9.11</v>
      </c>
      <c r="AE236" s="1" t="s">
        <v>93</v>
      </c>
      <c r="AF236" s="1" t="s">
        <v>4819</v>
      </c>
      <c r="AG236" s="1" t="s">
        <v>4820</v>
      </c>
      <c r="AH236" s="1" t="s">
        <v>101</v>
      </c>
      <c r="AI236" s="1" t="s">
        <v>308</v>
      </c>
      <c r="AJ236" s="1">
        <v>95</v>
      </c>
      <c r="AK236" s="1">
        <v>9.5</v>
      </c>
      <c r="AL236" s="1" t="s">
        <v>4821</v>
      </c>
      <c r="AM236" s="1" t="s">
        <v>613</v>
      </c>
      <c r="AN236" s="1" t="s">
        <v>699</v>
      </c>
      <c r="AO236" s="1" t="s">
        <v>1131</v>
      </c>
      <c r="AP236" s="1">
        <v>91.8</v>
      </c>
      <c r="AQ236" s="1">
        <v>0</v>
      </c>
      <c r="AR236" s="1"/>
      <c r="AS236" s="1"/>
      <c r="AT236" s="1"/>
      <c r="AU236" s="1"/>
      <c r="AV236" s="1"/>
      <c r="AW236" s="1"/>
      <c r="AX236" s="1" t="s">
        <v>4822</v>
      </c>
      <c r="AY236" s="1" t="s">
        <v>4823</v>
      </c>
      <c r="AZ236" s="1" t="s">
        <v>436</v>
      </c>
      <c r="BA236" s="1" t="s">
        <v>1361</v>
      </c>
      <c r="BB236" s="1">
        <v>78.1</v>
      </c>
      <c r="BC236" s="1">
        <v>8.31</v>
      </c>
      <c r="BD236" s="1"/>
      <c r="BE236" s="1"/>
      <c r="BF236" s="1"/>
      <c r="BG236" s="1"/>
      <c r="BH236" s="1"/>
      <c r="BI236" s="1"/>
      <c r="BJ236" s="1" t="s">
        <v>4493</v>
      </c>
      <c r="BK236" s="1"/>
      <c r="BL236" s="1"/>
      <c r="BM236" s="1" t="s">
        <v>4824</v>
      </c>
      <c r="BN236" s="1">
        <v>15</v>
      </c>
      <c r="BO236" s="1" t="s">
        <v>4825</v>
      </c>
      <c r="BP236" s="1" t="str">
        <f>HYPERLINK("https://nconnect.nicmar.ac.in/storage/profile/ProfilePhoto_P25700178_586319.jpg","Download")</f>
        <v>0</v>
      </c>
      <c r="BQ236" s="3"/>
      <c r="BR236" s="3"/>
    </row>
    <row r="237" spans="1:70">
      <c r="A237" s="1" t="s">
        <v>70</v>
      </c>
      <c r="B237" s="1" t="s">
        <v>1269</v>
      </c>
      <c r="C237" s="1" t="s">
        <v>4826</v>
      </c>
      <c r="D237" s="1" t="s">
        <v>4827</v>
      </c>
      <c r="E237" s="1"/>
      <c r="F237" s="1" t="s">
        <v>1390</v>
      </c>
      <c r="G237" s="1" t="s">
        <v>4828</v>
      </c>
      <c r="H237" s="1" t="s">
        <v>4829</v>
      </c>
      <c r="I237" s="1" t="s">
        <v>4830</v>
      </c>
      <c r="J237" s="1">
        <v>7349289566</v>
      </c>
      <c r="K237" s="1" t="s">
        <v>148</v>
      </c>
      <c r="L237" s="1" t="s">
        <v>4831</v>
      </c>
      <c r="M237" s="1" t="s">
        <v>81</v>
      </c>
      <c r="N237" s="1" t="s">
        <v>4832</v>
      </c>
      <c r="O237" s="1"/>
      <c r="P237" s="1" t="s">
        <v>1323</v>
      </c>
      <c r="Q237" s="1" t="s">
        <v>4833</v>
      </c>
      <c r="R237" s="1" t="s">
        <v>4834</v>
      </c>
      <c r="S237" s="1">
        <v>9986356499</v>
      </c>
      <c r="T237" s="1" t="s">
        <v>4835</v>
      </c>
      <c r="U237" s="1" t="s">
        <v>4836</v>
      </c>
      <c r="V237" s="1">
        <v>8217482200</v>
      </c>
      <c r="W237" s="1" t="s">
        <v>273</v>
      </c>
      <c r="X237" s="1" t="s">
        <v>4837</v>
      </c>
      <c r="Y237" s="1" t="s">
        <v>4838</v>
      </c>
      <c r="Z237" s="1" t="s">
        <v>1084</v>
      </c>
      <c r="AA237" s="1" t="s">
        <v>4837</v>
      </c>
      <c r="AB237" s="1" t="s">
        <v>4838</v>
      </c>
      <c r="AC237" s="1" t="s">
        <v>1084</v>
      </c>
      <c r="AD237" s="1">
        <v>8.13</v>
      </c>
      <c r="AE237" s="1" t="s">
        <v>93</v>
      </c>
      <c r="AF237" s="1" t="s">
        <v>4839</v>
      </c>
      <c r="AG237" s="1" t="s">
        <v>1515</v>
      </c>
      <c r="AH237" s="1" t="s">
        <v>165</v>
      </c>
      <c r="AI237" s="1" t="s">
        <v>1307</v>
      </c>
      <c r="AJ237" s="1">
        <v>76.48</v>
      </c>
      <c r="AK237" s="1"/>
      <c r="AL237" s="1" t="s">
        <v>4840</v>
      </c>
      <c r="AM237" s="1" t="s">
        <v>2056</v>
      </c>
      <c r="AN237" s="1" t="s">
        <v>310</v>
      </c>
      <c r="AO237" s="1" t="s">
        <v>941</v>
      </c>
      <c r="AP237" s="1">
        <v>61.83</v>
      </c>
      <c r="AQ237" s="1"/>
      <c r="AR237" s="1"/>
      <c r="AS237" s="1"/>
      <c r="AT237" s="1"/>
      <c r="AU237" s="1"/>
      <c r="AV237" s="1"/>
      <c r="AW237" s="1"/>
      <c r="AX237" s="1" t="s">
        <v>4841</v>
      </c>
      <c r="AY237" s="1" t="s">
        <v>4841</v>
      </c>
      <c r="AZ237" s="1" t="s">
        <v>228</v>
      </c>
      <c r="BA237" s="1" t="s">
        <v>1977</v>
      </c>
      <c r="BB237" s="1">
        <v>76.2</v>
      </c>
      <c r="BC237" s="1">
        <v>7.62</v>
      </c>
      <c r="BD237" s="1"/>
      <c r="BE237" s="1"/>
      <c r="BF237" s="1"/>
      <c r="BG237" s="1"/>
      <c r="BH237" s="1"/>
      <c r="BI237" s="1"/>
      <c r="BJ237" s="1" t="s">
        <v>4842</v>
      </c>
      <c r="BK237" s="1"/>
      <c r="BL237" s="1"/>
      <c r="BM237" s="1" t="s">
        <v>4843</v>
      </c>
      <c r="BN237" s="1">
        <v>4</v>
      </c>
      <c r="BO237" s="1"/>
      <c r="BP237" s="1" t="str">
        <f>HYPERLINK("https://nconnect.nicmar.ac.in/storage/profile/ProfilePhoto_P25700179_795823.jpg","Download")</f>
        <v>0</v>
      </c>
      <c r="BQ237" s="3"/>
      <c r="BR237" s="3"/>
    </row>
    <row r="238" spans="1:70">
      <c r="A238" s="1" t="s">
        <v>70</v>
      </c>
      <c r="B238" s="1" t="s">
        <v>1269</v>
      </c>
      <c r="C238" s="1" t="s">
        <v>4844</v>
      </c>
      <c r="D238" s="1" t="s">
        <v>2692</v>
      </c>
      <c r="E238" s="1" t="s">
        <v>4845</v>
      </c>
      <c r="F238" s="1" t="s">
        <v>4846</v>
      </c>
      <c r="G238" s="1" t="s">
        <v>4847</v>
      </c>
      <c r="H238" s="1" t="s">
        <v>4848</v>
      </c>
      <c r="I238" s="1" t="s">
        <v>4849</v>
      </c>
      <c r="J238" s="1">
        <v>7620386685</v>
      </c>
      <c r="K238" s="1" t="s">
        <v>79</v>
      </c>
      <c r="L238" s="1" t="s">
        <v>4850</v>
      </c>
      <c r="M238" s="1" t="s">
        <v>81</v>
      </c>
      <c r="N238" s="1" t="s">
        <v>4851</v>
      </c>
      <c r="O238" s="1"/>
      <c r="P238" s="1" t="s">
        <v>1323</v>
      </c>
      <c r="Q238" s="1" t="s">
        <v>4852</v>
      </c>
      <c r="R238" s="1" t="s">
        <v>4853</v>
      </c>
      <c r="S238" s="1">
        <v>7385016938</v>
      </c>
      <c r="T238" s="1" t="s">
        <v>4854</v>
      </c>
      <c r="U238" s="1" t="s">
        <v>4855</v>
      </c>
      <c r="V238" s="1">
        <v>8080758346</v>
      </c>
      <c r="W238" s="1" t="s">
        <v>4856</v>
      </c>
      <c r="X238" s="1" t="s">
        <v>4857</v>
      </c>
      <c r="Y238" s="1" t="s">
        <v>158</v>
      </c>
      <c r="Z238" s="1" t="s">
        <v>92</v>
      </c>
      <c r="AA238" s="1" t="s">
        <v>4857</v>
      </c>
      <c r="AB238" s="1" t="s">
        <v>158</v>
      </c>
      <c r="AC238" s="1" t="s">
        <v>92</v>
      </c>
      <c r="AD238" s="1">
        <v>8.74</v>
      </c>
      <c r="AE238" s="1" t="s">
        <v>93</v>
      </c>
      <c r="AF238" s="1" t="s">
        <v>4858</v>
      </c>
      <c r="AG238" s="1" t="s">
        <v>4859</v>
      </c>
      <c r="AH238" s="1" t="s">
        <v>162</v>
      </c>
      <c r="AI238" s="1" t="s">
        <v>1307</v>
      </c>
      <c r="AJ238" s="1">
        <v>73.6</v>
      </c>
      <c r="AK238" s="1"/>
      <c r="AL238" s="1" t="s">
        <v>4860</v>
      </c>
      <c r="AM238" s="1" t="s">
        <v>4859</v>
      </c>
      <c r="AN238" s="1" t="s">
        <v>101</v>
      </c>
      <c r="AO238" s="1" t="s">
        <v>941</v>
      </c>
      <c r="AP238" s="1">
        <v>63.85</v>
      </c>
      <c r="AQ238" s="1"/>
      <c r="AR238" s="1"/>
      <c r="AS238" s="1"/>
      <c r="AT238" s="1"/>
      <c r="AU238" s="1"/>
      <c r="AV238" s="1"/>
      <c r="AW238" s="1"/>
      <c r="AX238" s="1" t="s">
        <v>4861</v>
      </c>
      <c r="AY238" s="1" t="s">
        <v>2421</v>
      </c>
      <c r="AZ238" s="1" t="s">
        <v>173</v>
      </c>
      <c r="BA238" s="1" t="s">
        <v>507</v>
      </c>
      <c r="BB238" s="1">
        <v>78.27</v>
      </c>
      <c r="BC238" s="1">
        <v>9.21</v>
      </c>
      <c r="BD238" s="1"/>
      <c r="BE238" s="1"/>
      <c r="BF238" s="1"/>
      <c r="BG238" s="1"/>
      <c r="BH238" s="1"/>
      <c r="BI238" s="1"/>
      <c r="BJ238" s="1" t="s">
        <v>4862</v>
      </c>
      <c r="BK238" s="1" t="s">
        <v>4863</v>
      </c>
      <c r="BL238" s="1" t="s">
        <v>1919</v>
      </c>
      <c r="BM238" s="1" t="s">
        <v>4864</v>
      </c>
      <c r="BN238" s="1">
        <v>30</v>
      </c>
      <c r="BO238" s="1" t="s">
        <v>4865</v>
      </c>
      <c r="BP238" s="1" t="str">
        <f>HYPERLINK("https://nconnect.nicmar.ac.in/storage/profile/ProfilePhoto_P25700180_516437.jpg","Download")</f>
        <v>0</v>
      </c>
      <c r="BQ238" s="3"/>
      <c r="BR238" s="3"/>
    </row>
    <row r="239" spans="1:70">
      <c r="A239" s="1" t="s">
        <v>70</v>
      </c>
      <c r="B239" s="1" t="s">
        <v>1269</v>
      </c>
      <c r="C239" s="1" t="s">
        <v>4866</v>
      </c>
      <c r="D239" s="1" t="s">
        <v>4867</v>
      </c>
      <c r="E239" s="1"/>
      <c r="F239" s="1" t="s">
        <v>4868</v>
      </c>
      <c r="G239" s="1" t="s">
        <v>4869</v>
      </c>
      <c r="H239" s="1" t="s">
        <v>4870</v>
      </c>
      <c r="I239" s="1" t="s">
        <v>4871</v>
      </c>
      <c r="J239" s="1">
        <v>7558098383</v>
      </c>
      <c r="K239" s="1" t="s">
        <v>79</v>
      </c>
      <c r="L239" s="1" t="s">
        <v>4486</v>
      </c>
      <c r="M239" s="1" t="s">
        <v>81</v>
      </c>
      <c r="N239" s="1" t="s">
        <v>3168</v>
      </c>
      <c r="O239" s="1"/>
      <c r="P239" s="1" t="s">
        <v>1298</v>
      </c>
      <c r="Q239" s="1" t="s">
        <v>4872</v>
      </c>
      <c r="R239" s="1" t="s">
        <v>4873</v>
      </c>
      <c r="S239" s="1">
        <v>9895706823</v>
      </c>
      <c r="T239" s="1" t="s">
        <v>87</v>
      </c>
      <c r="U239" s="1" t="s">
        <v>4874</v>
      </c>
      <c r="V239" s="1">
        <v>9446340119</v>
      </c>
      <c r="W239" s="1" t="s">
        <v>273</v>
      </c>
      <c r="X239" s="1" t="s">
        <v>4875</v>
      </c>
      <c r="Y239" s="1" t="s">
        <v>1491</v>
      </c>
      <c r="Z239" s="1" t="s">
        <v>125</v>
      </c>
      <c r="AA239" s="1" t="s">
        <v>4875</v>
      </c>
      <c r="AB239" s="1" t="s">
        <v>1491</v>
      </c>
      <c r="AC239" s="1" t="s">
        <v>125</v>
      </c>
      <c r="AD239" s="1">
        <v>7.49</v>
      </c>
      <c r="AE239" s="1" t="s">
        <v>93</v>
      </c>
      <c r="AF239" s="1" t="s">
        <v>4876</v>
      </c>
      <c r="AG239" s="1" t="s">
        <v>307</v>
      </c>
      <c r="AH239" s="1" t="s">
        <v>101</v>
      </c>
      <c r="AI239" s="1" t="s">
        <v>308</v>
      </c>
      <c r="AJ239" s="1">
        <v>80.8</v>
      </c>
      <c r="AK239" s="1"/>
      <c r="AL239" s="1" t="s">
        <v>4876</v>
      </c>
      <c r="AM239" s="1" t="s">
        <v>307</v>
      </c>
      <c r="AN239" s="1" t="s">
        <v>941</v>
      </c>
      <c r="AO239" s="1" t="s">
        <v>506</v>
      </c>
      <c r="AP239" s="1">
        <v>83</v>
      </c>
      <c r="AQ239" s="1"/>
      <c r="AR239" s="1"/>
      <c r="AS239" s="1"/>
      <c r="AT239" s="1"/>
      <c r="AU239" s="1"/>
      <c r="AV239" s="1"/>
      <c r="AW239" s="1"/>
      <c r="AX239" s="1" t="s">
        <v>4877</v>
      </c>
      <c r="AY239" s="1" t="s">
        <v>4878</v>
      </c>
      <c r="AZ239" s="1" t="s">
        <v>436</v>
      </c>
      <c r="BA239" s="1" t="s">
        <v>1361</v>
      </c>
      <c r="BB239" s="1">
        <v>66.1</v>
      </c>
      <c r="BC239" s="1">
        <v>6.61</v>
      </c>
      <c r="BD239" s="1"/>
      <c r="BE239" s="1"/>
      <c r="BF239" s="1"/>
      <c r="BG239" s="1"/>
      <c r="BH239" s="1"/>
      <c r="BI239" s="1"/>
      <c r="BJ239" s="1" t="s">
        <v>4879</v>
      </c>
      <c r="BK239" s="1"/>
      <c r="BL239" s="1"/>
      <c r="BM239" s="1" t="s">
        <v>4880</v>
      </c>
      <c r="BN239" s="1">
        <v>2</v>
      </c>
      <c r="BO239" s="1"/>
      <c r="BP239" s="1" t="str">
        <f>HYPERLINK("https://nconnect.nicmar.ac.in/storage/profile/ProfilePhoto_P25700181_536927.jpg","Download")</f>
        <v>0</v>
      </c>
      <c r="BQ239" s="3"/>
      <c r="BR239" s="3"/>
    </row>
    <row r="240" spans="1:70">
      <c r="A240" s="1" t="s">
        <v>70</v>
      </c>
      <c r="B240" s="1" t="s">
        <v>1269</v>
      </c>
      <c r="C240" s="1" t="s">
        <v>4881</v>
      </c>
      <c r="D240" s="1" t="s">
        <v>111</v>
      </c>
      <c r="E240" s="1"/>
      <c r="F240" s="1" t="s">
        <v>4882</v>
      </c>
      <c r="G240" s="1" t="s">
        <v>4883</v>
      </c>
      <c r="H240" s="1" t="s">
        <v>4884</v>
      </c>
      <c r="I240" s="1" t="s">
        <v>4885</v>
      </c>
      <c r="J240" s="1">
        <v>6372758397</v>
      </c>
      <c r="K240" s="1" t="s">
        <v>148</v>
      </c>
      <c r="L240" s="1" t="s">
        <v>4886</v>
      </c>
      <c r="M240" s="1" t="s">
        <v>81</v>
      </c>
      <c r="N240" s="1" t="s">
        <v>1746</v>
      </c>
      <c r="O240" s="1"/>
      <c r="P240" s="1" t="s">
        <v>1323</v>
      </c>
      <c r="Q240" s="1" t="s">
        <v>4887</v>
      </c>
      <c r="R240" s="1" t="s">
        <v>4888</v>
      </c>
      <c r="S240" s="1">
        <v>6370177381</v>
      </c>
      <c r="T240" s="1" t="s">
        <v>4889</v>
      </c>
      <c r="U240" s="1" t="s">
        <v>4890</v>
      </c>
      <c r="V240" s="1">
        <v>7008527945</v>
      </c>
      <c r="W240" s="1" t="s">
        <v>651</v>
      </c>
      <c r="X240" s="1" t="s">
        <v>4891</v>
      </c>
      <c r="Y240" s="1" t="s">
        <v>4892</v>
      </c>
      <c r="Z240" s="1" t="s">
        <v>1731</v>
      </c>
      <c r="AA240" s="1" t="s">
        <v>4891</v>
      </c>
      <c r="AB240" s="1" t="s">
        <v>4892</v>
      </c>
      <c r="AC240" s="1" t="s">
        <v>1731</v>
      </c>
      <c r="AD240" s="1">
        <v>8.81</v>
      </c>
      <c r="AE240" s="1" t="s">
        <v>93</v>
      </c>
      <c r="AF240" s="1" t="s">
        <v>4893</v>
      </c>
      <c r="AG240" s="1" t="s">
        <v>307</v>
      </c>
      <c r="AH240" s="1" t="s">
        <v>456</v>
      </c>
      <c r="AI240" s="1" t="s">
        <v>195</v>
      </c>
      <c r="AJ240" s="1">
        <v>87.4</v>
      </c>
      <c r="AK240" s="1">
        <v>9.2</v>
      </c>
      <c r="AL240" s="1" t="s">
        <v>4894</v>
      </c>
      <c r="AM240" s="1" t="s">
        <v>307</v>
      </c>
      <c r="AN240" s="1" t="s">
        <v>169</v>
      </c>
      <c r="AO240" s="1" t="s">
        <v>308</v>
      </c>
      <c r="AP240" s="1">
        <v>70.4</v>
      </c>
      <c r="AQ240" s="1">
        <v>6.6</v>
      </c>
      <c r="AR240" s="1"/>
      <c r="AS240" s="1"/>
      <c r="AT240" s="1"/>
      <c r="AU240" s="1"/>
      <c r="AV240" s="1"/>
      <c r="AW240" s="1"/>
      <c r="AX240" s="1" t="s">
        <v>4895</v>
      </c>
      <c r="AY240" s="1" t="s">
        <v>4896</v>
      </c>
      <c r="AZ240" s="1" t="s">
        <v>104</v>
      </c>
      <c r="BA240" s="1" t="s">
        <v>413</v>
      </c>
      <c r="BB240" s="1">
        <v>80</v>
      </c>
      <c r="BC240" s="1">
        <v>8.5</v>
      </c>
      <c r="BD240" s="1"/>
      <c r="BE240" s="1"/>
      <c r="BF240" s="1"/>
      <c r="BG240" s="1"/>
      <c r="BH240" s="1"/>
      <c r="BI240" s="1"/>
      <c r="BJ240" s="1" t="s">
        <v>4897</v>
      </c>
      <c r="BK240" s="1" t="s">
        <v>4898</v>
      </c>
      <c r="BL240" s="1" t="s">
        <v>1895</v>
      </c>
      <c r="BM240" s="1" t="s">
        <v>4899</v>
      </c>
      <c r="BN240" s="1">
        <v>51</v>
      </c>
      <c r="BO240" s="1"/>
      <c r="BP240" s="1" t="str">
        <f>HYPERLINK("https://nconnect.nicmar.ac.in/storage/profile/ProfilePhoto_P25700182_253687.jpg","Download")</f>
        <v>0</v>
      </c>
      <c r="BQ240" s="3"/>
      <c r="BR240" s="3"/>
    </row>
    <row r="241" spans="1:70">
      <c r="A241" s="1" t="s">
        <v>70</v>
      </c>
      <c r="B241" s="1" t="s">
        <v>1269</v>
      </c>
      <c r="C241" s="1" t="s">
        <v>4900</v>
      </c>
      <c r="D241" s="1" t="s">
        <v>1280</v>
      </c>
      <c r="E241" s="1"/>
      <c r="F241" s="1" t="s">
        <v>4901</v>
      </c>
      <c r="G241" s="1" t="s">
        <v>4902</v>
      </c>
      <c r="H241" s="1" t="s">
        <v>4903</v>
      </c>
      <c r="I241" s="1" t="s">
        <v>4904</v>
      </c>
      <c r="J241" s="1">
        <v>9100203588</v>
      </c>
      <c r="K241" s="1" t="s">
        <v>79</v>
      </c>
      <c r="L241" s="1" t="s">
        <v>4905</v>
      </c>
      <c r="M241" s="1" t="s">
        <v>81</v>
      </c>
      <c r="N241" s="1" t="s">
        <v>3436</v>
      </c>
      <c r="O241" s="1"/>
      <c r="P241" s="1" t="s">
        <v>1323</v>
      </c>
      <c r="Q241" s="1" t="s">
        <v>4906</v>
      </c>
      <c r="R241" s="1" t="s">
        <v>4907</v>
      </c>
      <c r="S241" s="1">
        <v>9640353310</v>
      </c>
      <c r="T241" s="1" t="s">
        <v>154</v>
      </c>
      <c r="U241" s="1" t="s">
        <v>4908</v>
      </c>
      <c r="V241" s="1">
        <v>7337097087</v>
      </c>
      <c r="W241" s="1" t="s">
        <v>156</v>
      </c>
      <c r="X241" s="1" t="s">
        <v>4909</v>
      </c>
      <c r="Y241" s="1" t="s">
        <v>1283</v>
      </c>
      <c r="Z241" s="1" t="s">
        <v>609</v>
      </c>
      <c r="AA241" s="1" t="s">
        <v>4909</v>
      </c>
      <c r="AB241" s="1" t="s">
        <v>1283</v>
      </c>
      <c r="AC241" s="1" t="s">
        <v>609</v>
      </c>
      <c r="AD241" s="1">
        <v>8.74</v>
      </c>
      <c r="AE241" s="1" t="s">
        <v>93</v>
      </c>
      <c r="AF241" s="1" t="s">
        <v>4910</v>
      </c>
      <c r="AG241" s="1" t="s">
        <v>4911</v>
      </c>
      <c r="AH241" s="1" t="s">
        <v>162</v>
      </c>
      <c r="AI241" s="1" t="s">
        <v>195</v>
      </c>
      <c r="AJ241" s="1">
        <v>92</v>
      </c>
      <c r="AK241" s="1">
        <v>9.2</v>
      </c>
      <c r="AL241" s="1" t="s">
        <v>4912</v>
      </c>
      <c r="AM241" s="1" t="s">
        <v>613</v>
      </c>
      <c r="AN241" s="1" t="s">
        <v>165</v>
      </c>
      <c r="AO241" s="1" t="s">
        <v>409</v>
      </c>
      <c r="AP241" s="1">
        <v>96.7</v>
      </c>
      <c r="AQ241" s="1">
        <v>0</v>
      </c>
      <c r="AR241" s="1"/>
      <c r="AS241" s="1"/>
      <c r="AT241" s="1"/>
      <c r="AU241" s="1"/>
      <c r="AV241" s="1"/>
      <c r="AW241" s="1"/>
      <c r="AX241" s="1" t="s">
        <v>4913</v>
      </c>
      <c r="AY241" s="1" t="s">
        <v>4914</v>
      </c>
      <c r="AZ241" s="1" t="s">
        <v>201</v>
      </c>
      <c r="BA241" s="1" t="s">
        <v>682</v>
      </c>
      <c r="BB241" s="1">
        <v>78.6</v>
      </c>
      <c r="BC241" s="1">
        <v>8.36</v>
      </c>
      <c r="BD241" s="1"/>
      <c r="BE241" s="1"/>
      <c r="BF241" s="1"/>
      <c r="BG241" s="1"/>
      <c r="BH241" s="1"/>
      <c r="BI241" s="1"/>
      <c r="BJ241" s="1" t="s">
        <v>4915</v>
      </c>
      <c r="BK241" s="1" t="s">
        <v>4916</v>
      </c>
      <c r="BL241" s="1" t="s">
        <v>4917</v>
      </c>
      <c r="BM241" s="1" t="s">
        <v>4918</v>
      </c>
      <c r="BN241" s="1">
        <v>17</v>
      </c>
      <c r="BO241" s="1" t="s">
        <v>1499</v>
      </c>
      <c r="BP241" s="1" t="str">
        <f>HYPERLINK("https://nconnect.nicmar.ac.in/storage/profile/ProfilePhoto_P25700183_831792.jpg","Download")</f>
        <v>0</v>
      </c>
      <c r="BQ241" s="3"/>
      <c r="BR241" s="3"/>
    </row>
    <row r="242" spans="1:70">
      <c r="A242" s="1" t="s">
        <v>70</v>
      </c>
      <c r="B242" s="1" t="s">
        <v>1269</v>
      </c>
      <c r="C242" s="1" t="s">
        <v>4919</v>
      </c>
      <c r="D242" s="1" t="s">
        <v>4920</v>
      </c>
      <c r="E242" s="1" t="s">
        <v>4921</v>
      </c>
      <c r="F242" s="1" t="s">
        <v>4922</v>
      </c>
      <c r="G242" s="1" t="s">
        <v>4923</v>
      </c>
      <c r="H242" s="1" t="s">
        <v>4924</v>
      </c>
      <c r="I242" s="1" t="s">
        <v>4925</v>
      </c>
      <c r="J242" s="1">
        <v>9359994587</v>
      </c>
      <c r="K242" s="1" t="s">
        <v>79</v>
      </c>
      <c r="L242" s="1" t="s">
        <v>4926</v>
      </c>
      <c r="M242" s="1" t="s">
        <v>81</v>
      </c>
      <c r="N242" s="1" t="s">
        <v>2008</v>
      </c>
      <c r="O242" s="1"/>
      <c r="P242" s="1" t="s">
        <v>1766</v>
      </c>
      <c r="Q242" s="1" t="s">
        <v>4927</v>
      </c>
      <c r="R242" s="1" t="s">
        <v>4921</v>
      </c>
      <c r="S242" s="1">
        <v>9822654343</v>
      </c>
      <c r="T242" s="1" t="s">
        <v>1554</v>
      </c>
      <c r="U242" s="1" t="s">
        <v>4928</v>
      </c>
      <c r="V242" s="1">
        <v>9422395100</v>
      </c>
      <c r="W242" s="1" t="s">
        <v>2094</v>
      </c>
      <c r="X242" s="1" t="s">
        <v>4929</v>
      </c>
      <c r="Y242" s="1" t="s">
        <v>191</v>
      </c>
      <c r="Z242" s="1" t="s">
        <v>92</v>
      </c>
      <c r="AA242" s="1" t="s">
        <v>4929</v>
      </c>
      <c r="AB242" s="1" t="s">
        <v>191</v>
      </c>
      <c r="AC242" s="1" t="s">
        <v>92</v>
      </c>
      <c r="AD242" s="1">
        <v>8.44</v>
      </c>
      <c r="AE242" s="1" t="s">
        <v>93</v>
      </c>
      <c r="AF242" s="1" t="s">
        <v>4930</v>
      </c>
      <c r="AG242" s="1" t="s">
        <v>4931</v>
      </c>
      <c r="AH242" s="1" t="s">
        <v>162</v>
      </c>
      <c r="AI242" s="1" t="s">
        <v>281</v>
      </c>
      <c r="AJ242" s="1">
        <v>78.2</v>
      </c>
      <c r="AK242" s="1"/>
      <c r="AL242" s="1" t="s">
        <v>4932</v>
      </c>
      <c r="AM242" s="1" t="s">
        <v>4933</v>
      </c>
      <c r="AN242" s="1" t="s">
        <v>433</v>
      </c>
      <c r="AO242" s="1" t="s">
        <v>360</v>
      </c>
      <c r="AP242" s="1">
        <v>60.15</v>
      </c>
      <c r="AQ242" s="1"/>
      <c r="AR242" s="1"/>
      <c r="AS242" s="1"/>
      <c r="AT242" s="1"/>
      <c r="AU242" s="1"/>
      <c r="AV242" s="1"/>
      <c r="AW242" s="1"/>
      <c r="AX242" s="1" t="s">
        <v>4934</v>
      </c>
      <c r="AY242" s="1" t="s">
        <v>4935</v>
      </c>
      <c r="AZ242" s="1" t="s">
        <v>897</v>
      </c>
      <c r="BA242" s="1" t="s">
        <v>1714</v>
      </c>
      <c r="BB242" s="1">
        <v>70.7</v>
      </c>
      <c r="BC242" s="1">
        <v>7.82</v>
      </c>
      <c r="BD242" s="1"/>
      <c r="BE242" s="1"/>
      <c r="BF242" s="1"/>
      <c r="BG242" s="1"/>
      <c r="BH242" s="1"/>
      <c r="BI242" s="1"/>
      <c r="BJ242" s="1" t="s">
        <v>4936</v>
      </c>
      <c r="BK242" s="1"/>
      <c r="BL242" s="1"/>
      <c r="BM242" s="1" t="s">
        <v>4937</v>
      </c>
      <c r="BN242" s="1">
        <v>5</v>
      </c>
      <c r="BO242" s="1" t="s">
        <v>4938</v>
      </c>
      <c r="BP242" s="1" t="str">
        <f>HYPERLINK("https://nconnect.nicmar.ac.in/storage/profile/ProfilePhoto_P25700184_536872.jpg","Download")</f>
        <v>0</v>
      </c>
      <c r="BQ242" s="3"/>
      <c r="BR242" s="3"/>
    </row>
    <row r="243" spans="1:70">
      <c r="A243" s="1" t="s">
        <v>70</v>
      </c>
      <c r="B243" s="1" t="s">
        <v>1269</v>
      </c>
      <c r="C243" s="1" t="s">
        <v>4939</v>
      </c>
      <c r="D243" s="1" t="s">
        <v>4940</v>
      </c>
      <c r="E243" s="1"/>
      <c r="F243" s="1" t="s">
        <v>4941</v>
      </c>
      <c r="G243" s="1" t="s">
        <v>4942</v>
      </c>
      <c r="H243" s="1" t="s">
        <v>4943</v>
      </c>
      <c r="I243" s="1" t="s">
        <v>4944</v>
      </c>
      <c r="J243" s="1">
        <v>8660189311</v>
      </c>
      <c r="K243" s="1" t="s">
        <v>148</v>
      </c>
      <c r="L243" s="1" t="s">
        <v>4945</v>
      </c>
      <c r="M243" s="1" t="s">
        <v>81</v>
      </c>
      <c r="N243" s="1" t="s">
        <v>4946</v>
      </c>
      <c r="O243" s="1"/>
      <c r="P243" s="1" t="s">
        <v>1278</v>
      </c>
      <c r="Q243" s="1" t="s">
        <v>4947</v>
      </c>
      <c r="R243" s="1" t="s">
        <v>4948</v>
      </c>
      <c r="S243" s="1">
        <v>9620192474</v>
      </c>
      <c r="T243" s="1" t="s">
        <v>863</v>
      </c>
      <c r="U243" s="1" t="s">
        <v>4949</v>
      </c>
      <c r="V243" s="1">
        <v>9480050762</v>
      </c>
      <c r="W243" s="1" t="s">
        <v>651</v>
      </c>
      <c r="X243" s="1" t="s">
        <v>4950</v>
      </c>
      <c r="Y243" s="1" t="s">
        <v>1083</v>
      </c>
      <c r="Z243" s="1" t="s">
        <v>1084</v>
      </c>
      <c r="AA243" s="1" t="s">
        <v>4950</v>
      </c>
      <c r="AB243" s="1" t="s">
        <v>1083</v>
      </c>
      <c r="AC243" s="1" t="s">
        <v>1084</v>
      </c>
      <c r="AD243" s="1">
        <v>8.87</v>
      </c>
      <c r="AE243" s="1" t="s">
        <v>93</v>
      </c>
      <c r="AF243" s="1" t="s">
        <v>4951</v>
      </c>
      <c r="AG243" s="1" t="s">
        <v>2647</v>
      </c>
      <c r="AH243" s="1" t="s">
        <v>162</v>
      </c>
      <c r="AI243" s="1" t="s">
        <v>165</v>
      </c>
      <c r="AJ243" s="1">
        <v>91.2</v>
      </c>
      <c r="AK243" s="1">
        <v>9.6</v>
      </c>
      <c r="AL243" s="1" t="s">
        <v>4952</v>
      </c>
      <c r="AM243" s="1" t="s">
        <v>2647</v>
      </c>
      <c r="AN243" s="1" t="s">
        <v>165</v>
      </c>
      <c r="AO243" s="1" t="s">
        <v>1065</v>
      </c>
      <c r="AP243" s="1">
        <v>73.1</v>
      </c>
      <c r="AQ243" s="1"/>
      <c r="AR243" s="1"/>
      <c r="AS243" s="1"/>
      <c r="AT243" s="1"/>
      <c r="AU243" s="1"/>
      <c r="AV243" s="1"/>
      <c r="AW243" s="1"/>
      <c r="AX243" s="1" t="s">
        <v>4953</v>
      </c>
      <c r="AY243" s="1" t="s">
        <v>4954</v>
      </c>
      <c r="AZ243" s="1" t="s">
        <v>310</v>
      </c>
      <c r="BA243" s="1" t="s">
        <v>1938</v>
      </c>
      <c r="BB243" s="1">
        <v>74.4</v>
      </c>
      <c r="BC243" s="1">
        <v>8.19</v>
      </c>
      <c r="BD243" s="1"/>
      <c r="BE243" s="1"/>
      <c r="BF243" s="1"/>
      <c r="BG243" s="1"/>
      <c r="BH243" s="1"/>
      <c r="BI243" s="1"/>
      <c r="BJ243" s="1" t="s">
        <v>4955</v>
      </c>
      <c r="BK243" s="1" t="s">
        <v>4956</v>
      </c>
      <c r="BL243" s="1" t="s">
        <v>287</v>
      </c>
      <c r="BM243" s="1" t="s">
        <v>4957</v>
      </c>
      <c r="BN243" s="1">
        <v>24</v>
      </c>
      <c r="BO243" s="1"/>
      <c r="BP243" s="1" t="str">
        <f>HYPERLINK("https://nconnect.nicmar.ac.in/storage/profile/ProfilePhoto_P25700185_527946.jpg","Download")</f>
        <v>0</v>
      </c>
      <c r="BQ243" s="3"/>
      <c r="BR243" s="3"/>
    </row>
    <row r="244" spans="1:70">
      <c r="A244" s="1" t="s">
        <v>70</v>
      </c>
      <c r="B244" s="1" t="s">
        <v>1269</v>
      </c>
      <c r="C244" s="1" t="s">
        <v>4958</v>
      </c>
      <c r="D244" s="1" t="s">
        <v>533</v>
      </c>
      <c r="E244" s="1" t="s">
        <v>4959</v>
      </c>
      <c r="F244" s="1" t="s">
        <v>4960</v>
      </c>
      <c r="G244" s="1" t="s">
        <v>4961</v>
      </c>
      <c r="H244" s="1" t="s">
        <v>4962</v>
      </c>
      <c r="I244" s="1" t="s">
        <v>4963</v>
      </c>
      <c r="J244" s="1">
        <v>9657676965</v>
      </c>
      <c r="K244" s="1" t="s">
        <v>79</v>
      </c>
      <c r="L244" s="1" t="s">
        <v>4964</v>
      </c>
      <c r="M244" s="1" t="s">
        <v>81</v>
      </c>
      <c r="N244" s="1" t="s">
        <v>4965</v>
      </c>
      <c r="O244" s="1"/>
      <c r="P244" s="1" t="s">
        <v>1278</v>
      </c>
      <c r="Q244" s="1" t="s">
        <v>4966</v>
      </c>
      <c r="R244" s="1" t="s">
        <v>4967</v>
      </c>
      <c r="S244" s="1">
        <v>9881447676</v>
      </c>
      <c r="T244" s="1" t="s">
        <v>4968</v>
      </c>
      <c r="U244" s="1" t="s">
        <v>4969</v>
      </c>
      <c r="V244" s="1">
        <v>9075728686</v>
      </c>
      <c r="W244" s="1" t="s">
        <v>273</v>
      </c>
      <c r="X244" s="1" t="s">
        <v>4970</v>
      </c>
      <c r="Y244" s="1" t="s">
        <v>2786</v>
      </c>
      <c r="Z244" s="1" t="s">
        <v>92</v>
      </c>
      <c r="AA244" s="1" t="s">
        <v>4970</v>
      </c>
      <c r="AB244" s="1" t="s">
        <v>2786</v>
      </c>
      <c r="AC244" s="1" t="s">
        <v>92</v>
      </c>
      <c r="AD244" s="1">
        <v>8.05</v>
      </c>
      <c r="AE244" s="1" t="s">
        <v>93</v>
      </c>
      <c r="AF244" s="1" t="s">
        <v>4971</v>
      </c>
      <c r="AG244" s="1" t="s">
        <v>4972</v>
      </c>
      <c r="AH244" s="1" t="s">
        <v>657</v>
      </c>
      <c r="AI244" s="1" t="s">
        <v>165</v>
      </c>
      <c r="AJ244" s="1">
        <v>84.8</v>
      </c>
      <c r="AK244" s="1"/>
      <c r="AL244" s="1" t="s">
        <v>4973</v>
      </c>
      <c r="AM244" s="1" t="s">
        <v>4972</v>
      </c>
      <c r="AN244" s="1" t="s">
        <v>383</v>
      </c>
      <c r="AO244" s="1" t="s">
        <v>198</v>
      </c>
      <c r="AP244" s="1">
        <v>65.69</v>
      </c>
      <c r="AQ244" s="1"/>
      <c r="AR244" s="1"/>
      <c r="AS244" s="1"/>
      <c r="AT244" s="1"/>
      <c r="AU244" s="1"/>
      <c r="AV244" s="1"/>
      <c r="AW244" s="1"/>
      <c r="AX244" s="1" t="s">
        <v>4974</v>
      </c>
      <c r="AY244" s="1" t="s">
        <v>4975</v>
      </c>
      <c r="AZ244" s="1" t="s">
        <v>310</v>
      </c>
      <c r="BA244" s="1" t="s">
        <v>174</v>
      </c>
      <c r="BB244" s="1">
        <v>68.88</v>
      </c>
      <c r="BC244" s="1">
        <v>7.25</v>
      </c>
      <c r="BD244" s="1"/>
      <c r="BE244" s="1"/>
      <c r="BF244" s="1"/>
      <c r="BG244" s="1"/>
      <c r="BH244" s="1"/>
      <c r="BI244" s="1"/>
      <c r="BJ244" s="1" t="s">
        <v>4976</v>
      </c>
      <c r="BK244" s="1" t="s">
        <v>4977</v>
      </c>
      <c r="BL244" s="1" t="s">
        <v>1385</v>
      </c>
      <c r="BM244" s="1" t="s">
        <v>4978</v>
      </c>
      <c r="BN244" s="1">
        <v>2</v>
      </c>
      <c r="BO244" s="1"/>
      <c r="BP244" s="1" t="str">
        <f>HYPERLINK("https://nconnect.nicmar.ac.in/storage/profile/ProfilePhoto_P25700186_952671.jpg","Download")</f>
        <v>0</v>
      </c>
      <c r="BQ244" s="3"/>
      <c r="BR244" s="3"/>
    </row>
    <row r="245" spans="1:70">
      <c r="A245" s="1" t="s">
        <v>70</v>
      </c>
      <c r="B245" s="1" t="s">
        <v>1269</v>
      </c>
      <c r="C245" s="1" t="s">
        <v>4979</v>
      </c>
      <c r="D245" s="1" t="s">
        <v>4980</v>
      </c>
      <c r="E245" s="1" t="s">
        <v>4981</v>
      </c>
      <c r="F245" s="1" t="s">
        <v>2024</v>
      </c>
      <c r="G245" s="1" t="s">
        <v>4982</v>
      </c>
      <c r="H245" s="1" t="s">
        <v>4983</v>
      </c>
      <c r="I245" s="1" t="s">
        <v>4984</v>
      </c>
      <c r="J245" s="1">
        <v>9819070657</v>
      </c>
      <c r="K245" s="1" t="s">
        <v>79</v>
      </c>
      <c r="L245" s="1" t="s">
        <v>4985</v>
      </c>
      <c r="M245" s="1" t="s">
        <v>81</v>
      </c>
      <c r="N245" s="1" t="s">
        <v>2008</v>
      </c>
      <c r="O245" s="1"/>
      <c r="P245" s="1" t="s">
        <v>1323</v>
      </c>
      <c r="Q245" s="1" t="s">
        <v>4986</v>
      </c>
      <c r="R245" s="1" t="s">
        <v>4987</v>
      </c>
      <c r="S245" s="1">
        <v>9819997174</v>
      </c>
      <c r="T245" s="1" t="s">
        <v>4988</v>
      </c>
      <c r="U245" s="1" t="s">
        <v>4989</v>
      </c>
      <c r="V245" s="1">
        <v>9969335002</v>
      </c>
      <c r="W245" s="1" t="s">
        <v>4988</v>
      </c>
      <c r="X245" s="1" t="s">
        <v>4990</v>
      </c>
      <c r="Y245" s="1" t="s">
        <v>1623</v>
      </c>
      <c r="Z245" s="1" t="s">
        <v>92</v>
      </c>
      <c r="AA245" s="1" t="s">
        <v>4990</v>
      </c>
      <c r="AB245" s="1" t="s">
        <v>1623</v>
      </c>
      <c r="AC245" s="1" t="s">
        <v>92</v>
      </c>
      <c r="AD245" s="1">
        <v>8.66</v>
      </c>
      <c r="AE245" s="1" t="s">
        <v>93</v>
      </c>
      <c r="AF245" s="1" t="s">
        <v>4991</v>
      </c>
      <c r="AG245" s="1" t="s">
        <v>4992</v>
      </c>
      <c r="AH245" s="1" t="s">
        <v>4993</v>
      </c>
      <c r="AI245" s="1" t="s">
        <v>97</v>
      </c>
      <c r="AJ245" s="1">
        <v>71</v>
      </c>
      <c r="AK245" s="1"/>
      <c r="AL245" s="1" t="s">
        <v>4994</v>
      </c>
      <c r="AM245" s="1" t="s">
        <v>4995</v>
      </c>
      <c r="AN245" s="1" t="s">
        <v>4996</v>
      </c>
      <c r="AO245" s="1" t="s">
        <v>1332</v>
      </c>
      <c r="AP245" s="1">
        <v>68</v>
      </c>
      <c r="AQ245" s="1"/>
      <c r="AR245" s="1"/>
      <c r="AS245" s="1"/>
      <c r="AT245" s="1"/>
      <c r="AU245" s="1"/>
      <c r="AV245" s="1"/>
      <c r="AW245" s="1"/>
      <c r="AX245" s="1" t="s">
        <v>4997</v>
      </c>
      <c r="AY245" s="1" t="s">
        <v>4998</v>
      </c>
      <c r="AZ245" s="1" t="s">
        <v>225</v>
      </c>
      <c r="BA245" s="1" t="s">
        <v>506</v>
      </c>
      <c r="BB245" s="1">
        <v>81</v>
      </c>
      <c r="BC245" s="1">
        <v>8.85</v>
      </c>
      <c r="BD245" s="1" t="s">
        <v>4998</v>
      </c>
      <c r="BE245" s="1" t="s">
        <v>2403</v>
      </c>
      <c r="BF245" s="1" t="s">
        <v>436</v>
      </c>
      <c r="BG245" s="1" t="s">
        <v>1134</v>
      </c>
      <c r="BH245" s="1">
        <v>85.6</v>
      </c>
      <c r="BI245" s="1">
        <v>9.31</v>
      </c>
      <c r="BJ245" s="1" t="s">
        <v>364</v>
      </c>
      <c r="BK245" s="1" t="s">
        <v>4999</v>
      </c>
      <c r="BL245" s="1" t="s">
        <v>1561</v>
      </c>
      <c r="BM245" s="1" t="s">
        <v>5000</v>
      </c>
      <c r="BN245" s="1">
        <v>59</v>
      </c>
      <c r="BO245" s="1"/>
      <c r="BP245" s="1" t="str">
        <f>HYPERLINK("https://nconnect.nicmar.ac.in/storage/profile/ProfilePhoto_P25700187_358146.jpg","Download")</f>
        <v>0</v>
      </c>
      <c r="BQ245" s="3"/>
      <c r="BR245" s="3"/>
    </row>
    <row r="246" spans="1:70">
      <c r="A246" s="1" t="s">
        <v>70</v>
      </c>
      <c r="B246" s="1" t="s">
        <v>1269</v>
      </c>
      <c r="C246" s="1" t="s">
        <v>5001</v>
      </c>
      <c r="D246" s="1" t="s">
        <v>5002</v>
      </c>
      <c r="E246" s="1"/>
      <c r="F246" s="1" t="s">
        <v>1680</v>
      </c>
      <c r="G246" s="1" t="s">
        <v>5003</v>
      </c>
      <c r="H246" s="1" t="s">
        <v>5004</v>
      </c>
      <c r="I246" s="1" t="s">
        <v>5005</v>
      </c>
      <c r="J246" s="1">
        <v>7550151319</v>
      </c>
      <c r="K246" s="1" t="s">
        <v>79</v>
      </c>
      <c r="L246" s="1" t="s">
        <v>5006</v>
      </c>
      <c r="M246" s="1" t="s">
        <v>81</v>
      </c>
      <c r="N246" s="1" t="s">
        <v>5007</v>
      </c>
      <c r="O246" s="1"/>
      <c r="P246" s="1" t="s">
        <v>1766</v>
      </c>
      <c r="Q246" s="1" t="s">
        <v>5008</v>
      </c>
      <c r="R246" s="1" t="s">
        <v>5009</v>
      </c>
      <c r="S246" s="1">
        <v>9444411061</v>
      </c>
      <c r="T246" s="1" t="s">
        <v>496</v>
      </c>
      <c r="U246" s="1" t="s">
        <v>5010</v>
      </c>
      <c r="V246" s="1">
        <v>9952050377</v>
      </c>
      <c r="W246" s="1" t="s">
        <v>273</v>
      </c>
      <c r="X246" s="1" t="s">
        <v>5011</v>
      </c>
      <c r="Y246" s="1" t="s">
        <v>5012</v>
      </c>
      <c r="Z246" s="1" t="s">
        <v>1377</v>
      </c>
      <c r="AA246" s="1" t="s">
        <v>5011</v>
      </c>
      <c r="AB246" s="1" t="s">
        <v>5012</v>
      </c>
      <c r="AC246" s="1" t="s">
        <v>1377</v>
      </c>
      <c r="AD246" s="1">
        <v>9.23</v>
      </c>
      <c r="AE246" s="1" t="s">
        <v>93</v>
      </c>
      <c r="AF246" s="1" t="s">
        <v>5013</v>
      </c>
      <c r="AG246" s="1" t="s">
        <v>307</v>
      </c>
      <c r="AH246" s="1" t="s">
        <v>1307</v>
      </c>
      <c r="AI246" s="1" t="s">
        <v>308</v>
      </c>
      <c r="AJ246" s="1">
        <v>87.8</v>
      </c>
      <c r="AK246" s="1"/>
      <c r="AL246" s="1" t="s">
        <v>5013</v>
      </c>
      <c r="AM246" s="1" t="s">
        <v>307</v>
      </c>
      <c r="AN246" s="1" t="s">
        <v>1833</v>
      </c>
      <c r="AO246" s="1" t="s">
        <v>506</v>
      </c>
      <c r="AP246" s="1">
        <v>88.8</v>
      </c>
      <c r="AQ246" s="1"/>
      <c r="AR246" s="1"/>
      <c r="AS246" s="1"/>
      <c r="AT246" s="1"/>
      <c r="AU246" s="1"/>
      <c r="AV246" s="1"/>
      <c r="AW246" s="1"/>
      <c r="AX246" s="1" t="s">
        <v>1381</v>
      </c>
      <c r="AY246" s="1" t="s">
        <v>5014</v>
      </c>
      <c r="AZ246" s="1" t="s">
        <v>135</v>
      </c>
      <c r="BA246" s="1" t="s">
        <v>1714</v>
      </c>
      <c r="BB246" s="1">
        <v>86.9</v>
      </c>
      <c r="BC246" s="1">
        <v>8.69</v>
      </c>
      <c r="BD246" s="1"/>
      <c r="BE246" s="1"/>
      <c r="BF246" s="1"/>
      <c r="BG246" s="1"/>
      <c r="BH246" s="1"/>
      <c r="BI246" s="1"/>
      <c r="BJ246" s="1" t="s">
        <v>5015</v>
      </c>
      <c r="BK246" s="1"/>
      <c r="BL246" s="1"/>
      <c r="BM246" s="1" t="s">
        <v>5016</v>
      </c>
      <c r="BN246" s="1">
        <v>12</v>
      </c>
      <c r="BO246" s="1" t="s">
        <v>5017</v>
      </c>
      <c r="BP246" s="1" t="str">
        <f>HYPERLINK("https://nconnect.nicmar.ac.in/storage/profile/ProfilePhoto_P25700188_342579.jpg","Download")</f>
        <v>0</v>
      </c>
      <c r="BQ246" s="3"/>
      <c r="BR246" s="3"/>
    </row>
    <row r="247" spans="1:70">
      <c r="A247" s="1" t="s">
        <v>70</v>
      </c>
      <c r="B247" s="1" t="s">
        <v>1269</v>
      </c>
      <c r="C247" s="1" t="s">
        <v>5018</v>
      </c>
      <c r="D247" s="1" t="s">
        <v>5019</v>
      </c>
      <c r="E247" s="1" t="s">
        <v>5020</v>
      </c>
      <c r="F247" s="1" t="s">
        <v>5021</v>
      </c>
      <c r="G247" s="1" t="s">
        <v>5022</v>
      </c>
      <c r="H247" s="1" t="s">
        <v>5023</v>
      </c>
      <c r="I247" s="1" t="s">
        <v>5024</v>
      </c>
      <c r="J247" s="1">
        <v>9130984881</v>
      </c>
      <c r="K247" s="1" t="s">
        <v>79</v>
      </c>
      <c r="L247" s="1" t="s">
        <v>5025</v>
      </c>
      <c r="M247" s="1" t="s">
        <v>81</v>
      </c>
      <c r="N247" s="1" t="s">
        <v>469</v>
      </c>
      <c r="O247" s="1"/>
      <c r="P247" s="1" t="s">
        <v>1323</v>
      </c>
      <c r="Q247" s="1" t="s">
        <v>5026</v>
      </c>
      <c r="R247" s="1" t="s">
        <v>5020</v>
      </c>
      <c r="S247" s="1">
        <v>9096905159</v>
      </c>
      <c r="T247" s="1" t="s">
        <v>154</v>
      </c>
      <c r="U247" s="1" t="s">
        <v>5027</v>
      </c>
      <c r="V247" s="1">
        <v>9226880455</v>
      </c>
      <c r="W247" s="1" t="s">
        <v>156</v>
      </c>
      <c r="X247" s="1" t="s">
        <v>5028</v>
      </c>
      <c r="Y247" s="1" t="s">
        <v>523</v>
      </c>
      <c r="Z247" s="1" t="s">
        <v>92</v>
      </c>
      <c r="AA247" s="1" t="s">
        <v>5028</v>
      </c>
      <c r="AB247" s="1" t="s">
        <v>523</v>
      </c>
      <c r="AC247" s="1" t="s">
        <v>92</v>
      </c>
      <c r="AD247" s="1" t="s">
        <v>93</v>
      </c>
      <c r="AE247" s="1" t="s">
        <v>93</v>
      </c>
      <c r="AF247" s="1" t="s">
        <v>5029</v>
      </c>
      <c r="AG247" s="1" t="s">
        <v>5030</v>
      </c>
      <c r="AH247" s="1" t="s">
        <v>161</v>
      </c>
      <c r="AI247" s="1" t="s">
        <v>162</v>
      </c>
      <c r="AJ247" s="1">
        <v>79.8</v>
      </c>
      <c r="AK247" s="1"/>
      <c r="AL247" s="1" t="s">
        <v>5031</v>
      </c>
      <c r="AM247" s="1" t="s">
        <v>5030</v>
      </c>
      <c r="AN247" s="1" t="s">
        <v>165</v>
      </c>
      <c r="AO247" s="1" t="s">
        <v>166</v>
      </c>
      <c r="AP247" s="1">
        <v>68.46</v>
      </c>
      <c r="AQ247" s="1"/>
      <c r="AR247" s="1"/>
      <c r="AS247" s="1"/>
      <c r="AT247" s="1"/>
      <c r="AU247" s="1"/>
      <c r="AV247" s="1"/>
      <c r="AW247" s="1"/>
      <c r="AX247" s="1" t="s">
        <v>5032</v>
      </c>
      <c r="AY247" s="1" t="s">
        <v>5033</v>
      </c>
      <c r="AZ247" s="1" t="s">
        <v>169</v>
      </c>
      <c r="BA247" s="1" t="s">
        <v>2630</v>
      </c>
      <c r="BB247" s="1">
        <v>74.3</v>
      </c>
      <c r="BC247" s="1">
        <v>7.43</v>
      </c>
      <c r="BD247" s="1"/>
      <c r="BE247" s="1"/>
      <c r="BF247" s="1"/>
      <c r="BG247" s="1"/>
      <c r="BH247" s="1"/>
      <c r="BI247" s="1"/>
      <c r="BJ247" s="1" t="s">
        <v>255</v>
      </c>
      <c r="BK247" s="1"/>
      <c r="BL247" s="1"/>
      <c r="BM247" s="1"/>
      <c r="BN247" s="1"/>
      <c r="BO247" s="1"/>
      <c r="BP247" s="1" t="str">
        <f>HYPERLINK("https://nconnect.nicmar.ac.in/storage/profile/ProfilePhoto_P25700189_658327.jpg","Download")</f>
        <v>0</v>
      </c>
      <c r="BQ247" s="3"/>
      <c r="BR247" s="3"/>
    </row>
    <row r="248" spans="1:70">
      <c r="A248" s="1" t="s">
        <v>70</v>
      </c>
      <c r="B248" s="1" t="s">
        <v>1269</v>
      </c>
      <c r="C248" s="1" t="s">
        <v>5034</v>
      </c>
      <c r="D248" s="1" t="s">
        <v>5035</v>
      </c>
      <c r="E248" s="1" t="s">
        <v>1342</v>
      </c>
      <c r="F248" s="1" t="s">
        <v>835</v>
      </c>
      <c r="G248" s="1" t="s">
        <v>5036</v>
      </c>
      <c r="H248" s="1" t="s">
        <v>5037</v>
      </c>
      <c r="I248" s="1" t="s">
        <v>5038</v>
      </c>
      <c r="J248" s="1">
        <v>9079801566</v>
      </c>
      <c r="K248" s="1" t="s">
        <v>79</v>
      </c>
      <c r="L248" s="1" t="s">
        <v>5039</v>
      </c>
      <c r="M248" s="1" t="s">
        <v>81</v>
      </c>
      <c r="N248" s="1" t="s">
        <v>5040</v>
      </c>
      <c r="O248" s="1"/>
      <c r="P248" s="1" t="s">
        <v>1298</v>
      </c>
      <c r="Q248" s="1" t="s">
        <v>5041</v>
      </c>
      <c r="R248" s="1" t="s">
        <v>5042</v>
      </c>
      <c r="S248" s="1">
        <v>8005694959</v>
      </c>
      <c r="T248" s="1" t="s">
        <v>4188</v>
      </c>
      <c r="U248" s="1" t="s">
        <v>5043</v>
      </c>
      <c r="V248" s="1">
        <v>8824707689</v>
      </c>
      <c r="W248" s="1" t="s">
        <v>156</v>
      </c>
      <c r="X248" s="1" t="s">
        <v>5044</v>
      </c>
      <c r="Y248" s="1" t="s">
        <v>2945</v>
      </c>
      <c r="Z248" s="1" t="s">
        <v>867</v>
      </c>
      <c r="AA248" s="1" t="s">
        <v>5044</v>
      </c>
      <c r="AB248" s="1" t="s">
        <v>2945</v>
      </c>
      <c r="AC248" s="1" t="s">
        <v>867</v>
      </c>
      <c r="AD248" s="1">
        <v>9.11</v>
      </c>
      <c r="AE248" s="1" t="s">
        <v>93</v>
      </c>
      <c r="AF248" s="1" t="s">
        <v>5045</v>
      </c>
      <c r="AG248" s="1" t="s">
        <v>5046</v>
      </c>
      <c r="AH248" s="1" t="s">
        <v>477</v>
      </c>
      <c r="AI248" s="1" t="s">
        <v>161</v>
      </c>
      <c r="AJ248" s="1">
        <v>86.17</v>
      </c>
      <c r="AK248" s="1"/>
      <c r="AL248" s="1" t="s">
        <v>5047</v>
      </c>
      <c r="AM248" s="1" t="s">
        <v>5046</v>
      </c>
      <c r="AN248" s="1" t="s">
        <v>279</v>
      </c>
      <c r="AO248" s="1" t="s">
        <v>479</v>
      </c>
      <c r="AP248" s="1">
        <v>81.6</v>
      </c>
      <c r="AQ248" s="1"/>
      <c r="AR248" s="1"/>
      <c r="AS248" s="1"/>
      <c r="AT248" s="1"/>
      <c r="AU248" s="1"/>
      <c r="AV248" s="1"/>
      <c r="AW248" s="1"/>
      <c r="AX248" s="1" t="s">
        <v>5048</v>
      </c>
      <c r="AY248" s="1" t="s">
        <v>5049</v>
      </c>
      <c r="AZ248" s="1" t="s">
        <v>383</v>
      </c>
      <c r="BA248" s="1" t="s">
        <v>1131</v>
      </c>
      <c r="BB248" s="1">
        <v>85</v>
      </c>
      <c r="BC248" s="1">
        <v>8.15</v>
      </c>
      <c r="BD248" s="1"/>
      <c r="BE248" s="1"/>
      <c r="BF248" s="1"/>
      <c r="BG248" s="1"/>
      <c r="BH248" s="1"/>
      <c r="BI248" s="1"/>
      <c r="BJ248" s="1" t="s">
        <v>5050</v>
      </c>
      <c r="BK248" s="1" t="s">
        <v>5051</v>
      </c>
      <c r="BL248" s="1" t="s">
        <v>2652</v>
      </c>
      <c r="BM248" s="1" t="s">
        <v>5052</v>
      </c>
      <c r="BN248" s="1">
        <v>12</v>
      </c>
      <c r="BO248" s="1" t="s">
        <v>5053</v>
      </c>
      <c r="BP248" s="1" t="str">
        <f>HYPERLINK("https://nconnect.nicmar.ac.in/storage/profile/ProfilePhoto_P25700190_285367.jpg","Download")</f>
        <v>0</v>
      </c>
      <c r="BQ248" s="3"/>
      <c r="BR248" s="3"/>
    </row>
    <row r="249" spans="1:70">
      <c r="A249" s="1" t="s">
        <v>70</v>
      </c>
      <c r="B249" s="1" t="s">
        <v>1269</v>
      </c>
      <c r="C249" s="1" t="s">
        <v>5054</v>
      </c>
      <c r="D249" s="1" t="s">
        <v>2325</v>
      </c>
      <c r="E249" s="1" t="s">
        <v>5055</v>
      </c>
      <c r="F249" s="1" t="s">
        <v>3225</v>
      </c>
      <c r="G249" s="1" t="s">
        <v>5056</v>
      </c>
      <c r="H249" s="1" t="s">
        <v>5057</v>
      </c>
      <c r="I249" s="1" t="s">
        <v>5058</v>
      </c>
      <c r="J249" s="1">
        <v>9370050608</v>
      </c>
      <c r="K249" s="1" t="s">
        <v>79</v>
      </c>
      <c r="L249" s="1" t="s">
        <v>5059</v>
      </c>
      <c r="M249" s="1" t="s">
        <v>81</v>
      </c>
      <c r="N249" s="1" t="s">
        <v>1618</v>
      </c>
      <c r="O249" s="1"/>
      <c r="P249" s="1"/>
      <c r="Q249" s="1" t="s">
        <v>5060</v>
      </c>
      <c r="R249" s="1" t="s">
        <v>5061</v>
      </c>
      <c r="S249" s="1">
        <v>9923802386</v>
      </c>
      <c r="T249" s="1" t="s">
        <v>763</v>
      </c>
      <c r="U249" s="1" t="s">
        <v>5062</v>
      </c>
      <c r="V249" s="1">
        <v>8329103997</v>
      </c>
      <c r="W249" s="1" t="s">
        <v>156</v>
      </c>
      <c r="X249" s="1" t="s">
        <v>5063</v>
      </c>
      <c r="Y249" s="1" t="s">
        <v>5064</v>
      </c>
      <c r="Z249" s="1" t="s">
        <v>92</v>
      </c>
      <c r="AA249" s="1" t="s">
        <v>5063</v>
      </c>
      <c r="AB249" s="1" t="s">
        <v>5064</v>
      </c>
      <c r="AC249" s="1" t="s">
        <v>92</v>
      </c>
      <c r="AD249" s="1">
        <v>8.59</v>
      </c>
      <c r="AE249" s="1" t="s">
        <v>93</v>
      </c>
      <c r="AF249" s="1" t="s">
        <v>5065</v>
      </c>
      <c r="AG249" s="1" t="s">
        <v>476</v>
      </c>
      <c r="AH249" s="1" t="s">
        <v>165</v>
      </c>
      <c r="AI249" s="1" t="s">
        <v>101</v>
      </c>
      <c r="AJ249" s="1">
        <v>93</v>
      </c>
      <c r="AK249" s="1"/>
      <c r="AL249" s="1"/>
      <c r="AM249" s="1"/>
      <c r="AN249" s="1"/>
      <c r="AO249" s="1"/>
      <c r="AP249" s="1"/>
      <c r="AQ249" s="1"/>
      <c r="AR249" s="1" t="s">
        <v>434</v>
      </c>
      <c r="AS249" s="1" t="s">
        <v>5066</v>
      </c>
      <c r="AT249" s="1" t="s">
        <v>636</v>
      </c>
      <c r="AU249" s="1" t="s">
        <v>1712</v>
      </c>
      <c r="AV249" s="1">
        <v>95.16</v>
      </c>
      <c r="AW249" s="1"/>
      <c r="AX249" s="1" t="s">
        <v>1024</v>
      </c>
      <c r="AY249" s="1" t="s">
        <v>5067</v>
      </c>
      <c r="AZ249" s="1" t="s">
        <v>897</v>
      </c>
      <c r="BA249" s="1" t="s">
        <v>202</v>
      </c>
      <c r="BB249" s="1">
        <v>83.92</v>
      </c>
      <c r="BC249" s="1">
        <v>9.72</v>
      </c>
      <c r="BD249" s="1"/>
      <c r="BE249" s="1"/>
      <c r="BF249" s="1"/>
      <c r="BG249" s="1"/>
      <c r="BH249" s="1"/>
      <c r="BI249" s="1"/>
      <c r="BJ249" s="1" t="s">
        <v>5068</v>
      </c>
      <c r="BK249" s="1" t="s">
        <v>5069</v>
      </c>
      <c r="BL249" s="1" t="s">
        <v>1919</v>
      </c>
      <c r="BM249" s="1" t="s">
        <v>5070</v>
      </c>
      <c r="BN249" s="1">
        <v>11</v>
      </c>
      <c r="BO249" s="1"/>
      <c r="BP249" s="1" t="str">
        <f>HYPERLINK("https://nconnect.nicmar.ac.in/storage/profile/ProfilePhoto_P25700191_975138.jpg","Download")</f>
        <v>0</v>
      </c>
      <c r="BQ249" s="3"/>
      <c r="BR249" s="3"/>
    </row>
    <row r="250" spans="1:70">
      <c r="A250" s="1" t="s">
        <v>70</v>
      </c>
      <c r="B250" s="1" t="s">
        <v>1269</v>
      </c>
      <c r="C250" s="1" t="s">
        <v>5071</v>
      </c>
      <c r="D250" s="1" t="s">
        <v>3030</v>
      </c>
      <c r="E250" s="1" t="s">
        <v>5072</v>
      </c>
      <c r="F250" s="1" t="s">
        <v>5073</v>
      </c>
      <c r="G250" s="1" t="s">
        <v>5074</v>
      </c>
      <c r="H250" s="1" t="s">
        <v>5075</v>
      </c>
      <c r="I250" s="1" t="s">
        <v>5076</v>
      </c>
      <c r="J250" s="1">
        <v>7666818616</v>
      </c>
      <c r="K250" s="1" t="s">
        <v>79</v>
      </c>
      <c r="L250" s="1" t="s">
        <v>5077</v>
      </c>
      <c r="M250" s="1" t="s">
        <v>81</v>
      </c>
      <c r="N250" s="1" t="s">
        <v>5078</v>
      </c>
      <c r="O250" s="1"/>
      <c r="P250" s="1" t="s">
        <v>1323</v>
      </c>
      <c r="Q250" s="1" t="s">
        <v>5079</v>
      </c>
      <c r="R250" s="1" t="s">
        <v>5072</v>
      </c>
      <c r="S250" s="1">
        <v>9819123215</v>
      </c>
      <c r="T250" s="1" t="s">
        <v>5080</v>
      </c>
      <c r="U250" s="1" t="s">
        <v>5081</v>
      </c>
      <c r="V250" s="1">
        <v>9833409215</v>
      </c>
      <c r="W250" s="1" t="s">
        <v>273</v>
      </c>
      <c r="X250" s="1" t="s">
        <v>5082</v>
      </c>
      <c r="Y250" s="1" t="s">
        <v>1623</v>
      </c>
      <c r="Z250" s="1" t="s">
        <v>92</v>
      </c>
      <c r="AA250" s="1" t="s">
        <v>5082</v>
      </c>
      <c r="AB250" s="1" t="s">
        <v>1623</v>
      </c>
      <c r="AC250" s="1" t="s">
        <v>92</v>
      </c>
      <c r="AD250" s="1">
        <v>7.72</v>
      </c>
      <c r="AE250" s="1" t="s">
        <v>93</v>
      </c>
      <c r="AF250" s="1" t="s">
        <v>5083</v>
      </c>
      <c r="AG250" s="1" t="s">
        <v>5084</v>
      </c>
      <c r="AH250" s="1" t="s">
        <v>161</v>
      </c>
      <c r="AI250" s="1" t="s">
        <v>527</v>
      </c>
      <c r="AJ250" s="1">
        <v>86.67</v>
      </c>
      <c r="AK250" s="1"/>
      <c r="AL250" s="1" t="s">
        <v>5085</v>
      </c>
      <c r="AM250" s="1" t="s">
        <v>5086</v>
      </c>
      <c r="AN250" s="1" t="s">
        <v>527</v>
      </c>
      <c r="AO250" s="1" t="s">
        <v>457</v>
      </c>
      <c r="AP250" s="1">
        <v>74.92</v>
      </c>
      <c r="AQ250" s="1"/>
      <c r="AR250" s="1"/>
      <c r="AS250" s="1"/>
      <c r="AT250" s="1"/>
      <c r="AU250" s="1"/>
      <c r="AV250" s="1"/>
      <c r="AW250" s="1"/>
      <c r="AX250" s="1" t="s">
        <v>253</v>
      </c>
      <c r="AY250" s="1" t="s">
        <v>5087</v>
      </c>
      <c r="AZ250" s="1" t="s">
        <v>101</v>
      </c>
      <c r="BA250" s="1" t="s">
        <v>682</v>
      </c>
      <c r="BB250" s="1">
        <v>66.39</v>
      </c>
      <c r="BC250" s="1">
        <v>7.35</v>
      </c>
      <c r="BD250" s="1"/>
      <c r="BE250" s="1"/>
      <c r="BF250" s="1"/>
      <c r="BG250" s="1"/>
      <c r="BH250" s="1"/>
      <c r="BI250" s="1"/>
      <c r="BJ250" s="1" t="s">
        <v>364</v>
      </c>
      <c r="BK250" s="1" t="s">
        <v>5088</v>
      </c>
      <c r="BL250" s="1" t="s">
        <v>1385</v>
      </c>
      <c r="BM250" s="1"/>
      <c r="BN250" s="1"/>
      <c r="BO250" s="1"/>
      <c r="BP250" s="1" t="str">
        <f>HYPERLINK("https://nconnect.nicmar.ac.in/storage/profile/ProfilePhoto_P25700192_921356.jpg","Download")</f>
        <v>0</v>
      </c>
      <c r="BQ250" s="3"/>
      <c r="BR250" s="3"/>
    </row>
    <row r="251" spans="1:70">
      <c r="A251" s="1" t="s">
        <v>70</v>
      </c>
      <c r="B251" s="1" t="s">
        <v>1269</v>
      </c>
      <c r="C251" s="1" t="s">
        <v>5089</v>
      </c>
      <c r="D251" s="1" t="s">
        <v>5090</v>
      </c>
      <c r="E251" s="1" t="s">
        <v>5091</v>
      </c>
      <c r="F251" s="1" t="s">
        <v>5092</v>
      </c>
      <c r="G251" s="1" t="s">
        <v>5093</v>
      </c>
      <c r="H251" s="1" t="s">
        <v>5094</v>
      </c>
      <c r="I251" s="1" t="s">
        <v>5095</v>
      </c>
      <c r="J251" s="1">
        <v>9322756868</v>
      </c>
      <c r="K251" s="1" t="s">
        <v>79</v>
      </c>
      <c r="L251" s="1" t="s">
        <v>5096</v>
      </c>
      <c r="M251" s="1" t="s">
        <v>81</v>
      </c>
      <c r="N251" s="1" t="s">
        <v>3847</v>
      </c>
      <c r="O251" s="1"/>
      <c r="P251" s="1" t="s">
        <v>1278</v>
      </c>
      <c r="Q251" s="1" t="s">
        <v>5097</v>
      </c>
      <c r="R251" s="1" t="s">
        <v>5098</v>
      </c>
      <c r="S251" s="1">
        <v>9850824624</v>
      </c>
      <c r="T251" s="1" t="s">
        <v>910</v>
      </c>
      <c r="U251" s="1" t="s">
        <v>5099</v>
      </c>
      <c r="V251" s="1">
        <v>9049649000</v>
      </c>
      <c r="W251" s="1" t="s">
        <v>2094</v>
      </c>
      <c r="X251" s="1" t="s">
        <v>5100</v>
      </c>
      <c r="Y251" s="1" t="s">
        <v>191</v>
      </c>
      <c r="Z251" s="1" t="s">
        <v>92</v>
      </c>
      <c r="AA251" s="1" t="s">
        <v>5100</v>
      </c>
      <c r="AB251" s="1" t="s">
        <v>191</v>
      </c>
      <c r="AC251" s="1" t="s">
        <v>92</v>
      </c>
      <c r="AD251" s="1">
        <v>8.8</v>
      </c>
      <c r="AE251" s="1" t="s">
        <v>93</v>
      </c>
      <c r="AF251" s="1" t="s">
        <v>5101</v>
      </c>
      <c r="AG251" s="1" t="s">
        <v>307</v>
      </c>
      <c r="AH251" s="1" t="s">
        <v>101</v>
      </c>
      <c r="AI251" s="1" t="s">
        <v>308</v>
      </c>
      <c r="AJ251" s="1">
        <v>78.4</v>
      </c>
      <c r="AK251" s="1"/>
      <c r="AL251" s="1" t="s">
        <v>5102</v>
      </c>
      <c r="AM251" s="1" t="s">
        <v>5103</v>
      </c>
      <c r="AN251" s="1" t="s">
        <v>681</v>
      </c>
      <c r="AO251" s="1" t="s">
        <v>436</v>
      </c>
      <c r="AP251" s="1">
        <v>76.83</v>
      </c>
      <c r="AQ251" s="1"/>
      <c r="AR251" s="1"/>
      <c r="AS251" s="1"/>
      <c r="AT251" s="1"/>
      <c r="AU251" s="1"/>
      <c r="AV251" s="1"/>
      <c r="AW251" s="1"/>
      <c r="AX251" s="1" t="s">
        <v>5104</v>
      </c>
      <c r="AY251" s="1" t="s">
        <v>5105</v>
      </c>
      <c r="AZ251" s="1" t="s">
        <v>436</v>
      </c>
      <c r="BA251" s="1" t="s">
        <v>1408</v>
      </c>
      <c r="BB251" s="1">
        <v>87.6</v>
      </c>
      <c r="BC251" s="1">
        <v>8.76</v>
      </c>
      <c r="BD251" s="1"/>
      <c r="BE251" s="1"/>
      <c r="BF251" s="1"/>
      <c r="BG251" s="1"/>
      <c r="BH251" s="1"/>
      <c r="BI251" s="1"/>
      <c r="BJ251" s="1" t="s">
        <v>2145</v>
      </c>
      <c r="BK251" s="1"/>
      <c r="BL251" s="1"/>
      <c r="BM251" s="1" t="s">
        <v>5106</v>
      </c>
      <c r="BN251" s="1">
        <v>19</v>
      </c>
      <c r="BO251" s="1"/>
      <c r="BP251" s="1" t="str">
        <f>HYPERLINK("https://nconnect.nicmar.ac.in/storage/profile/ProfilePhoto_P25700193_714259.jpg","Download")</f>
        <v>0</v>
      </c>
      <c r="BQ251" s="3"/>
      <c r="BR251" s="3"/>
    </row>
    <row r="252" spans="1:70">
      <c r="A252" s="1" t="s">
        <v>70</v>
      </c>
      <c r="B252" s="1" t="s">
        <v>1269</v>
      </c>
      <c r="C252" s="1" t="s">
        <v>5107</v>
      </c>
      <c r="D252" s="1" t="s">
        <v>5108</v>
      </c>
      <c r="E252" s="1"/>
      <c r="F252" s="1" t="s">
        <v>5109</v>
      </c>
      <c r="G252" s="1" t="s">
        <v>5110</v>
      </c>
      <c r="H252" s="1" t="s">
        <v>5111</v>
      </c>
      <c r="I252" s="1" t="s">
        <v>5112</v>
      </c>
      <c r="J252" s="1">
        <v>8526305610</v>
      </c>
      <c r="K252" s="1" t="s">
        <v>79</v>
      </c>
      <c r="L252" s="1" t="s">
        <v>5113</v>
      </c>
      <c r="M252" s="1" t="s">
        <v>81</v>
      </c>
      <c r="N252" s="1" t="s">
        <v>5114</v>
      </c>
      <c r="O252" s="1"/>
      <c r="P252" s="1" t="s">
        <v>1298</v>
      </c>
      <c r="Q252" s="1" t="s">
        <v>5115</v>
      </c>
      <c r="R252" s="1" t="s">
        <v>5116</v>
      </c>
      <c r="S252" s="1">
        <v>9486258645</v>
      </c>
      <c r="T252" s="1" t="s">
        <v>5117</v>
      </c>
      <c r="U252" s="1" t="s">
        <v>5118</v>
      </c>
      <c r="V252" s="1">
        <v>9659393483</v>
      </c>
      <c r="W252" s="1" t="s">
        <v>89</v>
      </c>
      <c r="X252" s="1" t="s">
        <v>5119</v>
      </c>
      <c r="Y252" s="1" t="s">
        <v>5120</v>
      </c>
      <c r="Z252" s="1" t="s">
        <v>1377</v>
      </c>
      <c r="AA252" s="1" t="s">
        <v>5119</v>
      </c>
      <c r="AB252" s="1" t="s">
        <v>5120</v>
      </c>
      <c r="AC252" s="1" t="s">
        <v>1377</v>
      </c>
      <c r="AD252" s="1">
        <v>8.44</v>
      </c>
      <c r="AE252" s="1" t="s">
        <v>93</v>
      </c>
      <c r="AF252" s="1" t="s">
        <v>5121</v>
      </c>
      <c r="AG252" s="1" t="s">
        <v>5122</v>
      </c>
      <c r="AH252" s="1" t="s">
        <v>162</v>
      </c>
      <c r="AI252" s="1" t="s">
        <v>195</v>
      </c>
      <c r="AJ252" s="1">
        <v>97</v>
      </c>
      <c r="AK252" s="1"/>
      <c r="AL252" s="1" t="s">
        <v>5123</v>
      </c>
      <c r="AM252" s="1" t="s">
        <v>5124</v>
      </c>
      <c r="AN252" s="1" t="s">
        <v>101</v>
      </c>
      <c r="AO252" s="1" t="s">
        <v>409</v>
      </c>
      <c r="AP252" s="1">
        <v>79.4</v>
      </c>
      <c r="AQ252" s="1">
        <v>0</v>
      </c>
      <c r="AR252" s="1"/>
      <c r="AS252" s="1"/>
      <c r="AT252" s="1"/>
      <c r="AU252" s="1"/>
      <c r="AV252" s="1"/>
      <c r="AW252" s="1"/>
      <c r="AX252" s="1" t="s">
        <v>5125</v>
      </c>
      <c r="AY252" s="1" t="s">
        <v>5126</v>
      </c>
      <c r="AZ252" s="1" t="s">
        <v>201</v>
      </c>
      <c r="BA252" s="1" t="s">
        <v>590</v>
      </c>
      <c r="BB252" s="1">
        <v>84.8</v>
      </c>
      <c r="BC252" s="1"/>
      <c r="BD252" s="1"/>
      <c r="BE252" s="1"/>
      <c r="BF252" s="1"/>
      <c r="BG252" s="1"/>
      <c r="BH252" s="1"/>
      <c r="BI252" s="1"/>
      <c r="BJ252" s="1" t="s">
        <v>5127</v>
      </c>
      <c r="BK252" s="1" t="s">
        <v>5128</v>
      </c>
      <c r="BL252" s="1" t="s">
        <v>3103</v>
      </c>
      <c r="BM252" s="1" t="s">
        <v>5129</v>
      </c>
      <c r="BN252" s="1">
        <v>8</v>
      </c>
      <c r="BO252" s="1" t="s">
        <v>5130</v>
      </c>
      <c r="BP252" s="1" t="str">
        <f>HYPERLINK("https://nconnect.nicmar.ac.in/storage/profile/ProfilePhoto_P25700194_912563.jpg","Download")</f>
        <v>0</v>
      </c>
      <c r="BQ252" s="3"/>
      <c r="BR252" s="3"/>
    </row>
    <row r="253" spans="1:70">
      <c r="A253" s="1" t="s">
        <v>70</v>
      </c>
      <c r="B253" s="1" t="s">
        <v>1269</v>
      </c>
      <c r="C253" s="1" t="s">
        <v>5131</v>
      </c>
      <c r="D253" s="1" t="s">
        <v>1944</v>
      </c>
      <c r="E253" s="1" t="s">
        <v>5132</v>
      </c>
      <c r="F253" s="1" t="s">
        <v>5133</v>
      </c>
      <c r="G253" s="1" t="s">
        <v>5134</v>
      </c>
      <c r="H253" s="1" t="s">
        <v>5135</v>
      </c>
      <c r="I253" s="1" t="s">
        <v>5136</v>
      </c>
      <c r="J253" s="1">
        <v>8308454031</v>
      </c>
      <c r="K253" s="1" t="s">
        <v>79</v>
      </c>
      <c r="L253" s="1" t="s">
        <v>5137</v>
      </c>
      <c r="M253" s="1" t="s">
        <v>81</v>
      </c>
      <c r="N253" s="1" t="s">
        <v>1418</v>
      </c>
      <c r="O253" s="1"/>
      <c r="P253" s="1" t="s">
        <v>1323</v>
      </c>
      <c r="Q253" s="1" t="s">
        <v>5138</v>
      </c>
      <c r="R253" s="1" t="s">
        <v>5132</v>
      </c>
      <c r="S253" s="1">
        <v>9545884217</v>
      </c>
      <c r="T253" s="1" t="s">
        <v>154</v>
      </c>
      <c r="U253" s="1" t="s">
        <v>5139</v>
      </c>
      <c r="V253" s="1">
        <v>8308454031</v>
      </c>
      <c r="W253" s="1" t="s">
        <v>156</v>
      </c>
      <c r="X253" s="1" t="s">
        <v>5140</v>
      </c>
      <c r="Y253" s="1" t="s">
        <v>191</v>
      </c>
      <c r="Z253" s="1" t="s">
        <v>92</v>
      </c>
      <c r="AA253" s="1" t="s">
        <v>5141</v>
      </c>
      <c r="AB253" s="1" t="s">
        <v>405</v>
      </c>
      <c r="AC253" s="1" t="s">
        <v>92</v>
      </c>
      <c r="AD253" s="1">
        <v>9.05</v>
      </c>
      <c r="AE253" s="1" t="s">
        <v>93</v>
      </c>
      <c r="AF253" s="1" t="s">
        <v>5142</v>
      </c>
      <c r="AG253" s="1" t="s">
        <v>5143</v>
      </c>
      <c r="AH253" s="1" t="s">
        <v>1242</v>
      </c>
      <c r="AI253" s="1" t="s">
        <v>999</v>
      </c>
      <c r="AJ253" s="1">
        <v>96</v>
      </c>
      <c r="AK253" s="1"/>
      <c r="AL253" s="1"/>
      <c r="AM253" s="1"/>
      <c r="AN253" s="1"/>
      <c r="AO253" s="1"/>
      <c r="AP253" s="1"/>
      <c r="AQ253" s="1"/>
      <c r="AR253" s="1" t="s">
        <v>98</v>
      </c>
      <c r="AS253" s="1" t="s">
        <v>5144</v>
      </c>
      <c r="AT253" s="1" t="s">
        <v>252</v>
      </c>
      <c r="AU253" s="1" t="s">
        <v>165</v>
      </c>
      <c r="AV253" s="1">
        <v>91.19</v>
      </c>
      <c r="AW253" s="1"/>
      <c r="AX253" s="1" t="s">
        <v>1645</v>
      </c>
      <c r="AY253" s="1" t="s">
        <v>5145</v>
      </c>
      <c r="AZ253" s="1" t="s">
        <v>225</v>
      </c>
      <c r="BA253" s="1" t="s">
        <v>170</v>
      </c>
      <c r="BB253" s="1">
        <v>80.1</v>
      </c>
      <c r="BC253" s="1">
        <v>8.76</v>
      </c>
      <c r="BD253" s="1"/>
      <c r="BE253" s="1"/>
      <c r="BF253" s="1"/>
      <c r="BG253" s="1"/>
      <c r="BH253" s="1"/>
      <c r="BI253" s="1"/>
      <c r="BJ253" s="1" t="s">
        <v>5146</v>
      </c>
      <c r="BK253" s="1" t="s">
        <v>5147</v>
      </c>
      <c r="BL253" s="1" t="s">
        <v>736</v>
      </c>
      <c r="BM253" s="1" t="s">
        <v>5148</v>
      </c>
      <c r="BN253" s="1">
        <v>10</v>
      </c>
      <c r="BO253" s="1"/>
      <c r="BP253" s="1" t="str">
        <f>HYPERLINK("https://nconnect.nicmar.ac.in/storage/profile/ProfilePhoto_P25700195_426391.jpg","Download")</f>
        <v>0</v>
      </c>
      <c r="BQ253" s="3"/>
      <c r="BR253" s="3"/>
    </row>
    <row r="254" spans="1:70">
      <c r="A254" s="1" t="s">
        <v>70</v>
      </c>
      <c r="B254" s="1" t="s">
        <v>1269</v>
      </c>
      <c r="C254" s="1" t="s">
        <v>5149</v>
      </c>
      <c r="D254" s="1" t="s">
        <v>5150</v>
      </c>
      <c r="E254" s="1" t="s">
        <v>5072</v>
      </c>
      <c r="F254" s="1" t="s">
        <v>5151</v>
      </c>
      <c r="G254" s="1" t="s">
        <v>5152</v>
      </c>
      <c r="H254" s="1" t="s">
        <v>5153</v>
      </c>
      <c r="I254" s="1" t="s">
        <v>5154</v>
      </c>
      <c r="J254" s="1">
        <v>8010307133</v>
      </c>
      <c r="K254" s="1" t="s">
        <v>148</v>
      </c>
      <c r="L254" s="1" t="s">
        <v>1861</v>
      </c>
      <c r="M254" s="1" t="s">
        <v>81</v>
      </c>
      <c r="N254" s="1" t="s">
        <v>1418</v>
      </c>
      <c r="O254" s="1"/>
      <c r="P254" s="1" t="s">
        <v>1462</v>
      </c>
      <c r="Q254" s="1" t="s">
        <v>5155</v>
      </c>
      <c r="R254" s="1" t="s">
        <v>5156</v>
      </c>
      <c r="S254" s="1">
        <v>8888836437</v>
      </c>
      <c r="T254" s="1" t="s">
        <v>4097</v>
      </c>
      <c r="U254" s="1" t="s">
        <v>5157</v>
      </c>
      <c r="V254" s="1">
        <v>8378976437</v>
      </c>
      <c r="W254" s="1" t="s">
        <v>89</v>
      </c>
      <c r="X254" s="1" t="s">
        <v>5158</v>
      </c>
      <c r="Y254" s="1" t="s">
        <v>91</v>
      </c>
      <c r="Z254" s="1" t="s">
        <v>92</v>
      </c>
      <c r="AA254" s="1" t="s">
        <v>5158</v>
      </c>
      <c r="AB254" s="1" t="s">
        <v>91</v>
      </c>
      <c r="AC254" s="1" t="s">
        <v>92</v>
      </c>
      <c r="AD254" s="1">
        <v>7.44</v>
      </c>
      <c r="AE254" s="1" t="s">
        <v>93</v>
      </c>
      <c r="AF254" s="1" t="s">
        <v>5159</v>
      </c>
      <c r="AG254" s="1" t="s">
        <v>160</v>
      </c>
      <c r="AH254" s="1" t="s">
        <v>165</v>
      </c>
      <c r="AI254" s="1" t="s">
        <v>101</v>
      </c>
      <c r="AJ254" s="1">
        <v>78.2</v>
      </c>
      <c r="AK254" s="1"/>
      <c r="AL254" s="1" t="s">
        <v>5160</v>
      </c>
      <c r="AM254" s="1" t="s">
        <v>160</v>
      </c>
      <c r="AN254" s="1" t="s">
        <v>169</v>
      </c>
      <c r="AO254" s="1" t="s">
        <v>681</v>
      </c>
      <c r="AP254" s="1">
        <v>67.54</v>
      </c>
      <c r="AQ254" s="1"/>
      <c r="AR254" s="1"/>
      <c r="AS254" s="1"/>
      <c r="AT254" s="1"/>
      <c r="AU254" s="1"/>
      <c r="AV254" s="1"/>
      <c r="AW254" s="1"/>
      <c r="AX254" s="1" t="s">
        <v>361</v>
      </c>
      <c r="AY254" s="1" t="s">
        <v>5161</v>
      </c>
      <c r="AZ254" s="1" t="s">
        <v>699</v>
      </c>
      <c r="BA254" s="1" t="s">
        <v>1714</v>
      </c>
      <c r="BB254" s="1">
        <v>68.08</v>
      </c>
      <c r="BC254" s="1">
        <v>7.65</v>
      </c>
      <c r="BD254" s="1"/>
      <c r="BE254" s="1"/>
      <c r="BF254" s="1"/>
      <c r="BG254" s="1"/>
      <c r="BH254" s="1"/>
      <c r="BI254" s="1"/>
      <c r="BJ254" s="1" t="s">
        <v>5162</v>
      </c>
      <c r="BK254" s="1"/>
      <c r="BL254" s="1"/>
      <c r="BM254" s="1" t="s">
        <v>5163</v>
      </c>
      <c r="BN254" s="1">
        <v>33</v>
      </c>
      <c r="BO254" s="1"/>
      <c r="BP254" s="1" t="str">
        <f>HYPERLINK("https://nconnect.nicmar.ac.in/storage/profile/ProfilePhoto_P25700196_149528.jpg","Download")</f>
        <v>0</v>
      </c>
      <c r="BQ254" s="3"/>
      <c r="BR254" s="3"/>
    </row>
    <row r="255" spans="1:70">
      <c r="A255" s="1" t="s">
        <v>70</v>
      </c>
      <c r="B255" s="1" t="s">
        <v>1269</v>
      </c>
      <c r="C255" s="1" t="s">
        <v>5164</v>
      </c>
      <c r="D255" s="1" t="s">
        <v>392</v>
      </c>
      <c r="E255" s="1" t="s">
        <v>111</v>
      </c>
      <c r="F255" s="1" t="s">
        <v>5165</v>
      </c>
      <c r="G255" s="1" t="s">
        <v>5166</v>
      </c>
      <c r="H255" s="1" t="s">
        <v>5167</v>
      </c>
      <c r="I255" s="1" t="s">
        <v>5168</v>
      </c>
      <c r="J255" s="1">
        <v>9886216180</v>
      </c>
      <c r="K255" s="1" t="s">
        <v>79</v>
      </c>
      <c r="L255" s="1" t="s">
        <v>5169</v>
      </c>
      <c r="M255" s="1" t="s">
        <v>81</v>
      </c>
      <c r="N255" s="1" t="s">
        <v>5170</v>
      </c>
      <c r="O255" s="1"/>
      <c r="P255" s="1" t="s">
        <v>1278</v>
      </c>
      <c r="Q255" s="1" t="s">
        <v>5171</v>
      </c>
      <c r="R255" s="1" t="s">
        <v>5172</v>
      </c>
      <c r="S255" s="1">
        <v>9964599940</v>
      </c>
      <c r="T255" s="1" t="s">
        <v>5173</v>
      </c>
      <c r="U255" s="1" t="s">
        <v>5174</v>
      </c>
      <c r="V255" s="1">
        <v>9964599940</v>
      </c>
      <c r="W255" s="1" t="s">
        <v>3344</v>
      </c>
      <c r="X255" s="1" t="s">
        <v>5175</v>
      </c>
      <c r="Y255" s="1" t="s">
        <v>5176</v>
      </c>
      <c r="Z255" s="1" t="s">
        <v>1084</v>
      </c>
      <c r="AA255" s="1" t="s">
        <v>5175</v>
      </c>
      <c r="AB255" s="1" t="s">
        <v>5176</v>
      </c>
      <c r="AC255" s="1" t="s">
        <v>1084</v>
      </c>
      <c r="AD255" s="1">
        <v>7.32</v>
      </c>
      <c r="AE255" s="1" t="s">
        <v>93</v>
      </c>
      <c r="AF255" s="1" t="s">
        <v>5177</v>
      </c>
      <c r="AG255" s="1" t="s">
        <v>5178</v>
      </c>
      <c r="AH255" s="1" t="s">
        <v>166</v>
      </c>
      <c r="AI255" s="1" t="s">
        <v>308</v>
      </c>
      <c r="AJ255" s="1">
        <v>78.2</v>
      </c>
      <c r="AK255" s="1"/>
      <c r="AL255" s="1" t="s">
        <v>5179</v>
      </c>
      <c r="AM255" s="1" t="s">
        <v>5180</v>
      </c>
      <c r="AN255" s="1" t="s">
        <v>310</v>
      </c>
      <c r="AO255" s="1" t="s">
        <v>506</v>
      </c>
      <c r="AP255" s="1">
        <v>78.5</v>
      </c>
      <c r="AQ255" s="1"/>
      <c r="AR255" s="1"/>
      <c r="AS255" s="1"/>
      <c r="AT255" s="1"/>
      <c r="AU255" s="1"/>
      <c r="AV255" s="1"/>
      <c r="AW255" s="1"/>
      <c r="AX255" s="1" t="s">
        <v>2441</v>
      </c>
      <c r="AY255" s="1" t="s">
        <v>5181</v>
      </c>
      <c r="AZ255" s="1" t="s">
        <v>897</v>
      </c>
      <c r="BA255" s="1" t="s">
        <v>1714</v>
      </c>
      <c r="BB255" s="1">
        <v>68.1</v>
      </c>
      <c r="BC255" s="1">
        <v>7.56</v>
      </c>
      <c r="BD255" s="1"/>
      <c r="BE255" s="1"/>
      <c r="BF255" s="1"/>
      <c r="BG255" s="1"/>
      <c r="BH255" s="1"/>
      <c r="BI255" s="1"/>
      <c r="BJ255" s="1" t="s">
        <v>5182</v>
      </c>
      <c r="BK255" s="1"/>
      <c r="BL255" s="1"/>
      <c r="BM255" s="1" t="s">
        <v>5183</v>
      </c>
      <c r="BN255" s="1">
        <v>16</v>
      </c>
      <c r="BO255" s="1"/>
      <c r="BP255" s="1" t="str">
        <f>HYPERLINK("https://nconnect.nicmar.ac.in/storage/profile/ProfilePhoto_P25700197_524673.jpg","Download")</f>
        <v>0</v>
      </c>
      <c r="BQ255" s="3"/>
      <c r="BR255" s="3"/>
    </row>
    <row r="256" spans="1:70">
      <c r="A256" s="1" t="s">
        <v>70</v>
      </c>
      <c r="B256" s="1" t="s">
        <v>1269</v>
      </c>
      <c r="C256" s="1" t="s">
        <v>5184</v>
      </c>
      <c r="D256" s="1" t="s">
        <v>5185</v>
      </c>
      <c r="E256" s="1" t="s">
        <v>443</v>
      </c>
      <c r="F256" s="1" t="s">
        <v>1653</v>
      </c>
      <c r="G256" s="1" t="s">
        <v>5186</v>
      </c>
      <c r="H256" s="1" t="s">
        <v>5187</v>
      </c>
      <c r="I256" s="1" t="s">
        <v>5188</v>
      </c>
      <c r="J256" s="1">
        <v>9776461408</v>
      </c>
      <c r="K256" s="1" t="s">
        <v>79</v>
      </c>
      <c r="L256" s="1" t="s">
        <v>3882</v>
      </c>
      <c r="M256" s="1" t="s">
        <v>81</v>
      </c>
      <c r="N256" s="1" t="s">
        <v>5189</v>
      </c>
      <c r="O256" s="1"/>
      <c r="P256" s="1" t="s">
        <v>1278</v>
      </c>
      <c r="Q256" s="1" t="s">
        <v>5190</v>
      </c>
      <c r="R256" s="1" t="s">
        <v>5191</v>
      </c>
      <c r="S256" s="1">
        <v>9438108270</v>
      </c>
      <c r="T256" s="1" t="s">
        <v>520</v>
      </c>
      <c r="U256" s="1" t="s">
        <v>5192</v>
      </c>
      <c r="V256" s="1">
        <v>9861137041</v>
      </c>
      <c r="W256" s="1" t="s">
        <v>122</v>
      </c>
      <c r="X256" s="1" t="s">
        <v>5193</v>
      </c>
      <c r="Y256" s="1" t="s">
        <v>5194</v>
      </c>
      <c r="Z256" s="1" t="s">
        <v>1731</v>
      </c>
      <c r="AA256" s="1" t="s">
        <v>5193</v>
      </c>
      <c r="AB256" s="1" t="s">
        <v>5194</v>
      </c>
      <c r="AC256" s="1" t="s">
        <v>1731</v>
      </c>
      <c r="AD256" s="1">
        <v>7.85</v>
      </c>
      <c r="AE256" s="1" t="s">
        <v>93</v>
      </c>
      <c r="AF256" s="1" t="s">
        <v>4570</v>
      </c>
      <c r="AG256" s="1" t="s">
        <v>5195</v>
      </c>
      <c r="AH256" s="1" t="s">
        <v>5196</v>
      </c>
      <c r="AI256" s="1" t="s">
        <v>479</v>
      </c>
      <c r="AJ256" s="1">
        <v>78.8</v>
      </c>
      <c r="AK256" s="1"/>
      <c r="AL256" s="1"/>
      <c r="AM256" s="1"/>
      <c r="AN256" s="1"/>
      <c r="AO256" s="1"/>
      <c r="AP256" s="1"/>
      <c r="AQ256" s="1"/>
      <c r="AR256" s="1" t="s">
        <v>98</v>
      </c>
      <c r="AS256" s="1" t="s">
        <v>5197</v>
      </c>
      <c r="AT256" s="1" t="s">
        <v>225</v>
      </c>
      <c r="AU256" s="1" t="s">
        <v>170</v>
      </c>
      <c r="AV256" s="1">
        <v>79.84</v>
      </c>
      <c r="AW256" s="1"/>
      <c r="AX256" s="1" t="s">
        <v>5198</v>
      </c>
      <c r="AY256" s="1" t="s">
        <v>5199</v>
      </c>
      <c r="AZ256" s="1" t="s">
        <v>173</v>
      </c>
      <c r="BA256" s="1" t="s">
        <v>944</v>
      </c>
      <c r="BB256" s="1">
        <v>63.7</v>
      </c>
      <c r="BC256" s="1">
        <v>6.87</v>
      </c>
      <c r="BD256" s="1"/>
      <c r="BE256" s="1"/>
      <c r="BF256" s="1"/>
      <c r="BG256" s="1"/>
      <c r="BH256" s="1"/>
      <c r="BI256" s="1"/>
      <c r="BJ256" s="1" t="s">
        <v>5200</v>
      </c>
      <c r="BK256" s="1" t="s">
        <v>5201</v>
      </c>
      <c r="BL256" s="1" t="s">
        <v>287</v>
      </c>
      <c r="BM256" s="1" t="s">
        <v>5202</v>
      </c>
      <c r="BN256" s="1">
        <v>8</v>
      </c>
      <c r="BO256" s="1"/>
      <c r="BP256" s="1" t="str">
        <f>HYPERLINK("https://nconnect.nicmar.ac.in/storage/profile/ProfilePhoto_P25700198_974621.jpg","Download")</f>
        <v>0</v>
      </c>
      <c r="BQ256" s="3"/>
      <c r="BR256" s="3"/>
    </row>
    <row r="257" spans="1:70">
      <c r="A257" s="1" t="s">
        <v>70</v>
      </c>
      <c r="B257" s="1" t="s">
        <v>1269</v>
      </c>
      <c r="C257" s="1" t="s">
        <v>5203</v>
      </c>
      <c r="D257" s="1" t="s">
        <v>2325</v>
      </c>
      <c r="E257" s="1" t="s">
        <v>5204</v>
      </c>
      <c r="F257" s="1" t="s">
        <v>3225</v>
      </c>
      <c r="G257" s="1" t="s">
        <v>5205</v>
      </c>
      <c r="H257" s="1" t="s">
        <v>5206</v>
      </c>
      <c r="I257" s="1" t="s">
        <v>5207</v>
      </c>
      <c r="J257" s="1">
        <v>9307185858</v>
      </c>
      <c r="K257" s="1" t="s">
        <v>79</v>
      </c>
      <c r="L257" s="1" t="s">
        <v>5208</v>
      </c>
      <c r="M257" s="1" t="s">
        <v>81</v>
      </c>
      <c r="N257" s="1" t="s">
        <v>1418</v>
      </c>
      <c r="O257" s="1"/>
      <c r="P257" s="1" t="s">
        <v>1323</v>
      </c>
      <c r="Q257" s="1" t="s">
        <v>5209</v>
      </c>
      <c r="R257" s="1" t="s">
        <v>5204</v>
      </c>
      <c r="S257" s="1">
        <v>8698968383</v>
      </c>
      <c r="T257" s="1" t="s">
        <v>154</v>
      </c>
      <c r="U257" s="1" t="s">
        <v>5210</v>
      </c>
      <c r="V257" s="1">
        <v>9271985777</v>
      </c>
      <c r="W257" s="1" t="s">
        <v>156</v>
      </c>
      <c r="X257" s="1" t="s">
        <v>5211</v>
      </c>
      <c r="Y257" s="1" t="s">
        <v>766</v>
      </c>
      <c r="Z257" s="1" t="s">
        <v>92</v>
      </c>
      <c r="AA257" s="1" t="s">
        <v>5211</v>
      </c>
      <c r="AB257" s="1" t="s">
        <v>766</v>
      </c>
      <c r="AC257" s="1" t="s">
        <v>92</v>
      </c>
      <c r="AD257" s="1">
        <v>8.18</v>
      </c>
      <c r="AE257" s="1" t="s">
        <v>93</v>
      </c>
      <c r="AF257" s="1" t="s">
        <v>5212</v>
      </c>
      <c r="AG257" s="1" t="s">
        <v>1426</v>
      </c>
      <c r="AH257" s="1" t="s">
        <v>101</v>
      </c>
      <c r="AI257" s="1" t="s">
        <v>308</v>
      </c>
      <c r="AJ257" s="1">
        <v>78</v>
      </c>
      <c r="AK257" s="1"/>
      <c r="AL257" s="1" t="s">
        <v>5213</v>
      </c>
      <c r="AM257" s="1" t="s">
        <v>455</v>
      </c>
      <c r="AN257" s="1" t="s">
        <v>920</v>
      </c>
      <c r="AO257" s="1" t="s">
        <v>436</v>
      </c>
      <c r="AP257" s="1">
        <v>78.67</v>
      </c>
      <c r="AQ257" s="1"/>
      <c r="AR257" s="1"/>
      <c r="AS257" s="1"/>
      <c r="AT257" s="1"/>
      <c r="AU257" s="1"/>
      <c r="AV257" s="1"/>
      <c r="AW257" s="1"/>
      <c r="AX257" s="1" t="s">
        <v>1024</v>
      </c>
      <c r="AY257" s="1" t="s">
        <v>5214</v>
      </c>
      <c r="AZ257" s="1" t="s">
        <v>506</v>
      </c>
      <c r="BA257" s="1" t="s">
        <v>1714</v>
      </c>
      <c r="BB257" s="1">
        <v>70.01</v>
      </c>
      <c r="BC257" s="1">
        <v>7.84</v>
      </c>
      <c r="BD257" s="1"/>
      <c r="BE257" s="1"/>
      <c r="BF257" s="1"/>
      <c r="BG257" s="1"/>
      <c r="BH257" s="1"/>
      <c r="BI257" s="1"/>
      <c r="BJ257" s="1" t="s">
        <v>1383</v>
      </c>
      <c r="BK257" s="1"/>
      <c r="BL257" s="1"/>
      <c r="BM257" s="1" t="s">
        <v>5215</v>
      </c>
      <c r="BN257" s="1">
        <v>7</v>
      </c>
      <c r="BO257" s="1"/>
      <c r="BP257" s="1" t="str">
        <f>HYPERLINK("https://nconnect.nicmar.ac.in/storage/profile/ProfilePhoto_P25700200_862795.jpg","Download")</f>
        <v>0</v>
      </c>
      <c r="BQ257" s="3"/>
      <c r="BR257" s="3"/>
    </row>
    <row r="258" spans="1:70">
      <c r="A258" s="1" t="s">
        <v>70</v>
      </c>
      <c r="B258" s="1" t="s">
        <v>1269</v>
      </c>
      <c r="C258" s="1" t="s">
        <v>5216</v>
      </c>
      <c r="D258" s="1" t="s">
        <v>5217</v>
      </c>
      <c r="E258" s="1"/>
      <c r="F258" s="1" t="s">
        <v>5218</v>
      </c>
      <c r="G258" s="1" t="s">
        <v>5219</v>
      </c>
      <c r="H258" s="1" t="s">
        <v>5220</v>
      </c>
      <c r="I258" s="1" t="s">
        <v>5221</v>
      </c>
      <c r="J258" s="1">
        <v>9353411914</v>
      </c>
      <c r="K258" s="1" t="s">
        <v>79</v>
      </c>
      <c r="L258" s="1" t="s">
        <v>5222</v>
      </c>
      <c r="M258" s="1" t="s">
        <v>81</v>
      </c>
      <c r="N258" s="1" t="s">
        <v>5223</v>
      </c>
      <c r="O258" s="1"/>
      <c r="P258" s="1" t="s">
        <v>1323</v>
      </c>
      <c r="Q258" s="1" t="s">
        <v>5224</v>
      </c>
      <c r="R258" s="1" t="s">
        <v>5225</v>
      </c>
      <c r="S258" s="1">
        <v>8151830711</v>
      </c>
      <c r="T258" s="1" t="s">
        <v>120</v>
      </c>
      <c r="U258" s="1" t="s">
        <v>5226</v>
      </c>
      <c r="V258" s="1">
        <v>8618808660</v>
      </c>
      <c r="W258" s="1" t="s">
        <v>120</v>
      </c>
      <c r="X258" s="1" t="s">
        <v>5227</v>
      </c>
      <c r="Y258" s="1" t="s">
        <v>1083</v>
      </c>
      <c r="Z258" s="1" t="s">
        <v>1084</v>
      </c>
      <c r="AA258" s="1" t="s">
        <v>5227</v>
      </c>
      <c r="AB258" s="1" t="s">
        <v>1083</v>
      </c>
      <c r="AC258" s="1" t="s">
        <v>1084</v>
      </c>
      <c r="AD258" s="1">
        <v>7.85</v>
      </c>
      <c r="AE258" s="1" t="s">
        <v>93</v>
      </c>
      <c r="AF258" s="1" t="s">
        <v>5228</v>
      </c>
      <c r="AG258" s="1" t="s">
        <v>5229</v>
      </c>
      <c r="AH258" s="1" t="s">
        <v>2221</v>
      </c>
      <c r="AI258" s="1" t="s">
        <v>409</v>
      </c>
      <c r="AJ258" s="1">
        <v>80.8</v>
      </c>
      <c r="AK258" s="1">
        <v>0</v>
      </c>
      <c r="AL258" s="1" t="s">
        <v>5230</v>
      </c>
      <c r="AM258" s="1" t="s">
        <v>5231</v>
      </c>
      <c r="AN258" s="1" t="s">
        <v>1065</v>
      </c>
      <c r="AO258" s="1" t="s">
        <v>506</v>
      </c>
      <c r="AP258" s="1">
        <v>81.4</v>
      </c>
      <c r="AQ258" s="1">
        <v>0</v>
      </c>
      <c r="AR258" s="1"/>
      <c r="AS258" s="1"/>
      <c r="AT258" s="1"/>
      <c r="AU258" s="1"/>
      <c r="AV258" s="1"/>
      <c r="AW258" s="1"/>
      <c r="AX258" s="1" t="s">
        <v>1359</v>
      </c>
      <c r="AY258" s="1" t="s">
        <v>5232</v>
      </c>
      <c r="AZ258" s="1" t="s">
        <v>436</v>
      </c>
      <c r="BA258" s="1" t="s">
        <v>1408</v>
      </c>
      <c r="BB258" s="1">
        <v>75.7</v>
      </c>
      <c r="BC258" s="1">
        <v>7.57</v>
      </c>
      <c r="BD258" s="1"/>
      <c r="BE258" s="1"/>
      <c r="BF258" s="1"/>
      <c r="BG258" s="1"/>
      <c r="BH258" s="1"/>
      <c r="BI258" s="1"/>
      <c r="BJ258" s="1" t="s">
        <v>255</v>
      </c>
      <c r="BK258" s="1"/>
      <c r="BL258" s="1"/>
      <c r="BM258" s="1" t="s">
        <v>5233</v>
      </c>
      <c r="BN258" s="1">
        <v>3</v>
      </c>
      <c r="BO258" s="1"/>
      <c r="BP258" s="1" t="str">
        <f>HYPERLINK("https://nconnect.nicmar.ac.in/storage/profile/ProfilePhoto_P25700201_524138.jpg","Download")</f>
        <v>0</v>
      </c>
      <c r="BQ258" s="3"/>
      <c r="BR258" s="3"/>
    </row>
    <row r="259" spans="1:70">
      <c r="A259" s="1" t="s">
        <v>70</v>
      </c>
      <c r="B259" s="1" t="s">
        <v>1269</v>
      </c>
      <c r="C259" s="1" t="s">
        <v>5234</v>
      </c>
      <c r="D259" s="1" t="s">
        <v>5235</v>
      </c>
      <c r="E259" s="1" t="s">
        <v>2190</v>
      </c>
      <c r="F259" s="1" t="s">
        <v>345</v>
      </c>
      <c r="G259" s="1" t="s">
        <v>5236</v>
      </c>
      <c r="H259" s="1" t="s">
        <v>5237</v>
      </c>
      <c r="I259" s="1" t="s">
        <v>5238</v>
      </c>
      <c r="J259" s="1">
        <v>9606016692</v>
      </c>
      <c r="K259" s="1" t="s">
        <v>79</v>
      </c>
      <c r="L259" s="1" t="s">
        <v>5239</v>
      </c>
      <c r="M259" s="1" t="s">
        <v>81</v>
      </c>
      <c r="N259" s="1" t="s">
        <v>5240</v>
      </c>
      <c r="O259" s="1"/>
      <c r="P259" s="1" t="s">
        <v>1766</v>
      </c>
      <c r="Q259" s="1" t="s">
        <v>5241</v>
      </c>
      <c r="R259" s="1" t="s">
        <v>5242</v>
      </c>
      <c r="S259" s="1">
        <v>9449109576</v>
      </c>
      <c r="T259" s="1" t="s">
        <v>5243</v>
      </c>
      <c r="U259" s="1" t="s">
        <v>5244</v>
      </c>
      <c r="V259" s="1">
        <v>9035882994</v>
      </c>
      <c r="W259" s="1" t="s">
        <v>273</v>
      </c>
      <c r="X259" s="1" t="s">
        <v>5245</v>
      </c>
      <c r="Y259" s="1" t="s">
        <v>1083</v>
      </c>
      <c r="Z259" s="1" t="s">
        <v>1084</v>
      </c>
      <c r="AA259" s="1" t="s">
        <v>5245</v>
      </c>
      <c r="AB259" s="1" t="s">
        <v>1083</v>
      </c>
      <c r="AC259" s="1" t="s">
        <v>1084</v>
      </c>
      <c r="AD259" s="1">
        <v>8.62</v>
      </c>
      <c r="AE259" s="1" t="s">
        <v>93</v>
      </c>
      <c r="AF259" s="1" t="s">
        <v>5246</v>
      </c>
      <c r="AG259" s="1" t="s">
        <v>5247</v>
      </c>
      <c r="AH259" s="1" t="s">
        <v>165</v>
      </c>
      <c r="AI259" s="1" t="s">
        <v>166</v>
      </c>
      <c r="AJ259" s="1">
        <v>69.8</v>
      </c>
      <c r="AK259" s="1">
        <v>0</v>
      </c>
      <c r="AL259" s="1" t="s">
        <v>5248</v>
      </c>
      <c r="AM259" s="1" t="s">
        <v>5249</v>
      </c>
      <c r="AN259" s="1" t="s">
        <v>433</v>
      </c>
      <c r="AO259" s="1" t="s">
        <v>173</v>
      </c>
      <c r="AP259" s="1">
        <v>87.16</v>
      </c>
      <c r="AQ259" s="1"/>
      <c r="AR259" s="1"/>
      <c r="AS259" s="1"/>
      <c r="AT259" s="1"/>
      <c r="AU259" s="1"/>
      <c r="AV259" s="1"/>
      <c r="AW259" s="1"/>
      <c r="AX259" s="1" t="s">
        <v>5250</v>
      </c>
      <c r="AY259" s="1" t="s">
        <v>1359</v>
      </c>
      <c r="AZ259" s="1" t="s">
        <v>173</v>
      </c>
      <c r="BA259" s="1" t="s">
        <v>1938</v>
      </c>
      <c r="BB259" s="1">
        <v>87.1</v>
      </c>
      <c r="BC259" s="1">
        <v>8.71</v>
      </c>
      <c r="BD259" s="1"/>
      <c r="BE259" s="1"/>
      <c r="BF259" s="1"/>
      <c r="BG259" s="1"/>
      <c r="BH259" s="1"/>
      <c r="BI259" s="1"/>
      <c r="BJ259" s="1" t="s">
        <v>5251</v>
      </c>
      <c r="BK259" s="1" t="s">
        <v>5252</v>
      </c>
      <c r="BL259" s="1" t="s">
        <v>2910</v>
      </c>
      <c r="BM259" s="1" t="s">
        <v>5253</v>
      </c>
      <c r="BN259" s="1">
        <v>26</v>
      </c>
      <c r="BO259" s="1"/>
      <c r="BP259" s="1" t="str">
        <f>HYPERLINK("https://nconnect.nicmar.ac.in/storage/profile/ProfilePhoto_P25700202_916537.jpg","Download")</f>
        <v>0</v>
      </c>
      <c r="BQ259" s="3"/>
      <c r="BR259" s="3"/>
    </row>
    <row r="260" spans="1:70">
      <c r="A260" s="1" t="s">
        <v>70</v>
      </c>
      <c r="B260" s="1" t="s">
        <v>1269</v>
      </c>
      <c r="C260" s="1" t="s">
        <v>5254</v>
      </c>
      <c r="D260" s="1" t="s">
        <v>5255</v>
      </c>
      <c r="E260" s="1" t="s">
        <v>5256</v>
      </c>
      <c r="F260" s="1" t="s">
        <v>5257</v>
      </c>
      <c r="G260" s="1" t="s">
        <v>5258</v>
      </c>
      <c r="H260" s="1" t="s">
        <v>5259</v>
      </c>
      <c r="I260" s="1" t="s">
        <v>5260</v>
      </c>
      <c r="J260" s="1">
        <v>8788046868</v>
      </c>
      <c r="K260" s="1" t="s">
        <v>79</v>
      </c>
      <c r="L260" s="1" t="s">
        <v>5261</v>
      </c>
      <c r="M260" s="1" t="s">
        <v>81</v>
      </c>
      <c r="N260" s="1" t="s">
        <v>1418</v>
      </c>
      <c r="O260" s="1"/>
      <c r="P260" s="1" t="s">
        <v>1298</v>
      </c>
      <c r="Q260" s="1" t="s">
        <v>5262</v>
      </c>
      <c r="R260" s="1" t="s">
        <v>5263</v>
      </c>
      <c r="S260" s="1">
        <v>9657808791</v>
      </c>
      <c r="T260" s="1" t="s">
        <v>87</v>
      </c>
      <c r="U260" s="1" t="s">
        <v>5264</v>
      </c>
      <c r="V260" s="1">
        <v>9518747372</v>
      </c>
      <c r="W260" s="1" t="s">
        <v>5265</v>
      </c>
      <c r="X260" s="1" t="s">
        <v>5266</v>
      </c>
      <c r="Y260" s="1" t="s">
        <v>1886</v>
      </c>
      <c r="Z260" s="1" t="s">
        <v>92</v>
      </c>
      <c r="AA260" s="1" t="s">
        <v>5266</v>
      </c>
      <c r="AB260" s="1" t="s">
        <v>1886</v>
      </c>
      <c r="AC260" s="1" t="s">
        <v>92</v>
      </c>
      <c r="AD260" s="1">
        <v>8.46</v>
      </c>
      <c r="AE260" s="1" t="s">
        <v>93</v>
      </c>
      <c r="AF260" s="1" t="s">
        <v>5267</v>
      </c>
      <c r="AG260" s="1" t="s">
        <v>3154</v>
      </c>
      <c r="AH260" s="1" t="s">
        <v>162</v>
      </c>
      <c r="AI260" s="1" t="s">
        <v>165</v>
      </c>
      <c r="AJ260" s="1">
        <v>78.4</v>
      </c>
      <c r="AK260" s="1"/>
      <c r="AL260" s="1"/>
      <c r="AM260" s="1"/>
      <c r="AN260" s="1"/>
      <c r="AO260" s="1"/>
      <c r="AP260" s="1"/>
      <c r="AQ260" s="1"/>
      <c r="AR260" s="1" t="s">
        <v>98</v>
      </c>
      <c r="AS260" s="1" t="s">
        <v>5268</v>
      </c>
      <c r="AT260" s="1" t="s">
        <v>225</v>
      </c>
      <c r="AU260" s="1" t="s">
        <v>170</v>
      </c>
      <c r="AV260" s="1">
        <v>93.53</v>
      </c>
      <c r="AW260" s="1"/>
      <c r="AX260" s="1" t="s">
        <v>5269</v>
      </c>
      <c r="AY260" s="1" t="s">
        <v>5270</v>
      </c>
      <c r="AZ260" s="1" t="s">
        <v>170</v>
      </c>
      <c r="BA260" s="1" t="s">
        <v>174</v>
      </c>
      <c r="BB260" s="1">
        <v>86</v>
      </c>
      <c r="BC260" s="1">
        <v>9.1</v>
      </c>
      <c r="BD260" s="1"/>
      <c r="BE260" s="1"/>
      <c r="BF260" s="1"/>
      <c r="BG260" s="1"/>
      <c r="BH260" s="1"/>
      <c r="BI260" s="1"/>
      <c r="BJ260" s="1" t="s">
        <v>5271</v>
      </c>
      <c r="BK260" s="1" t="s">
        <v>5272</v>
      </c>
      <c r="BL260" s="1" t="s">
        <v>2019</v>
      </c>
      <c r="BM260" s="1"/>
      <c r="BN260" s="1"/>
      <c r="BO260" s="1" t="s">
        <v>5273</v>
      </c>
      <c r="BP260" s="1" t="str">
        <f>HYPERLINK("https://nconnect.nicmar.ac.in/storage/profile/ProfilePhoto_P25700203_758261.jpg","Download")</f>
        <v>0</v>
      </c>
      <c r="BQ260" s="3"/>
      <c r="BR260" s="3"/>
    </row>
    <row r="261" spans="1:70">
      <c r="A261" s="1" t="s">
        <v>70</v>
      </c>
      <c r="B261" s="1" t="s">
        <v>1269</v>
      </c>
      <c r="C261" s="1" t="s">
        <v>5274</v>
      </c>
      <c r="D261" s="1" t="s">
        <v>5275</v>
      </c>
      <c r="E261" s="1"/>
      <c r="F261" s="1" t="s">
        <v>5276</v>
      </c>
      <c r="G261" s="1" t="s">
        <v>5277</v>
      </c>
      <c r="H261" s="1" t="s">
        <v>5278</v>
      </c>
      <c r="I261" s="1" t="s">
        <v>5279</v>
      </c>
      <c r="J261" s="1">
        <v>7023444350</v>
      </c>
      <c r="K261" s="1" t="s">
        <v>79</v>
      </c>
      <c r="L261" s="1" t="s">
        <v>5280</v>
      </c>
      <c r="M261" s="1" t="s">
        <v>81</v>
      </c>
      <c r="N261" s="1" t="s">
        <v>350</v>
      </c>
      <c r="O261" s="1"/>
      <c r="P261" s="1" t="s">
        <v>1298</v>
      </c>
      <c r="Q261" s="1" t="s">
        <v>5281</v>
      </c>
      <c r="R261" s="1" t="s">
        <v>5282</v>
      </c>
      <c r="S261" s="1">
        <v>9413364350</v>
      </c>
      <c r="T261" s="1" t="s">
        <v>910</v>
      </c>
      <c r="U261" s="1" t="s">
        <v>5283</v>
      </c>
      <c r="V261" s="1">
        <v>7877437721</v>
      </c>
      <c r="W261" s="1" t="s">
        <v>156</v>
      </c>
      <c r="X261" s="1" t="s">
        <v>5284</v>
      </c>
      <c r="Y261" s="1" t="s">
        <v>5285</v>
      </c>
      <c r="Z261" s="1" t="s">
        <v>867</v>
      </c>
      <c r="AA261" s="1" t="s">
        <v>5284</v>
      </c>
      <c r="AB261" s="1" t="s">
        <v>5285</v>
      </c>
      <c r="AC261" s="1" t="s">
        <v>867</v>
      </c>
      <c r="AD261" s="1" t="s">
        <v>93</v>
      </c>
      <c r="AE261" s="1" t="s">
        <v>93</v>
      </c>
      <c r="AF261" s="1" t="s">
        <v>5286</v>
      </c>
      <c r="AG261" s="1" t="s">
        <v>5287</v>
      </c>
      <c r="AH261" s="1" t="s">
        <v>678</v>
      </c>
      <c r="AI261" s="1" t="s">
        <v>166</v>
      </c>
      <c r="AJ261" s="1">
        <v>77</v>
      </c>
      <c r="AK261" s="1"/>
      <c r="AL261" s="1" t="s">
        <v>5288</v>
      </c>
      <c r="AM261" s="1" t="s">
        <v>5289</v>
      </c>
      <c r="AN261" s="1" t="s">
        <v>433</v>
      </c>
      <c r="AO261" s="1" t="s">
        <v>173</v>
      </c>
      <c r="AP261" s="1">
        <v>69.3</v>
      </c>
      <c r="AQ261" s="1"/>
      <c r="AR261" s="1"/>
      <c r="AS261" s="1"/>
      <c r="AT261" s="1"/>
      <c r="AU261" s="1"/>
      <c r="AV261" s="1"/>
      <c r="AW261" s="1"/>
      <c r="AX261" s="1" t="s">
        <v>5290</v>
      </c>
      <c r="AY261" s="1" t="s">
        <v>5291</v>
      </c>
      <c r="AZ261" s="1" t="s">
        <v>173</v>
      </c>
      <c r="BA261" s="1" t="s">
        <v>413</v>
      </c>
      <c r="BB261" s="1">
        <v>62.9</v>
      </c>
      <c r="BC261" s="1">
        <v>6.29</v>
      </c>
      <c r="BD261" s="1"/>
      <c r="BE261" s="1"/>
      <c r="BF261" s="1"/>
      <c r="BG261" s="1"/>
      <c r="BH261" s="1"/>
      <c r="BI261" s="1"/>
      <c r="BJ261" s="1" t="s">
        <v>1383</v>
      </c>
      <c r="BK261" s="1"/>
      <c r="BL261" s="1"/>
      <c r="BM261" s="1" t="s">
        <v>5292</v>
      </c>
      <c r="BN261" s="1">
        <v>43</v>
      </c>
      <c r="BO261" s="1"/>
      <c r="BP261" s="1" t="str">
        <f>HYPERLINK("https://nconnect.nicmar.ac.in/storage/profile/ProfilePhoto_P25700204_948512.jpg","Download")</f>
        <v>0</v>
      </c>
      <c r="BQ261" s="3"/>
      <c r="BR261" s="3"/>
    </row>
    <row r="262" spans="1:70">
      <c r="A262" s="1" t="s">
        <v>70</v>
      </c>
      <c r="B262" s="1" t="s">
        <v>1269</v>
      </c>
      <c r="C262" s="1" t="s">
        <v>5293</v>
      </c>
      <c r="D262" s="1" t="s">
        <v>4665</v>
      </c>
      <c r="E262" s="1" t="s">
        <v>5294</v>
      </c>
      <c r="F262" s="1" t="s">
        <v>5295</v>
      </c>
      <c r="G262" s="1" t="s">
        <v>5296</v>
      </c>
      <c r="H262" s="1" t="s">
        <v>5297</v>
      </c>
      <c r="I262" s="1" t="s">
        <v>5298</v>
      </c>
      <c r="J262" s="1">
        <v>7248985170</v>
      </c>
      <c r="K262" s="1" t="s">
        <v>79</v>
      </c>
      <c r="L262" s="1" t="s">
        <v>4985</v>
      </c>
      <c r="M262" s="1" t="s">
        <v>81</v>
      </c>
      <c r="N262" s="1" t="s">
        <v>860</v>
      </c>
      <c r="O262" s="1"/>
      <c r="P262" s="1" t="s">
        <v>1323</v>
      </c>
      <c r="Q262" s="1" t="s">
        <v>5299</v>
      </c>
      <c r="R262" s="1" t="s">
        <v>5294</v>
      </c>
      <c r="S262" s="1">
        <v>9767386868</v>
      </c>
      <c r="T262" s="1" t="s">
        <v>496</v>
      </c>
      <c r="U262" s="1" t="s">
        <v>5300</v>
      </c>
      <c r="V262" s="1">
        <v>7385212306</v>
      </c>
      <c r="W262" s="1" t="s">
        <v>122</v>
      </c>
      <c r="X262" s="1" t="s">
        <v>5301</v>
      </c>
      <c r="Y262" s="1" t="s">
        <v>2786</v>
      </c>
      <c r="Z262" s="1" t="s">
        <v>92</v>
      </c>
      <c r="AA262" s="1" t="s">
        <v>5301</v>
      </c>
      <c r="AB262" s="1" t="s">
        <v>2786</v>
      </c>
      <c r="AC262" s="1" t="s">
        <v>92</v>
      </c>
      <c r="AD262" s="1">
        <v>8.6</v>
      </c>
      <c r="AE262" s="1" t="s">
        <v>93</v>
      </c>
      <c r="AF262" s="1" t="s">
        <v>5302</v>
      </c>
      <c r="AG262" s="1" t="s">
        <v>3476</v>
      </c>
      <c r="AH262" s="1" t="s">
        <v>96</v>
      </c>
      <c r="AI262" s="1" t="s">
        <v>161</v>
      </c>
      <c r="AJ262" s="1">
        <v>80.8</v>
      </c>
      <c r="AK262" s="1"/>
      <c r="AL262" s="1"/>
      <c r="AM262" s="1"/>
      <c r="AN262" s="1"/>
      <c r="AO262" s="1"/>
      <c r="AP262" s="1"/>
      <c r="AQ262" s="1"/>
      <c r="AR262" s="1" t="s">
        <v>98</v>
      </c>
      <c r="AS262" s="1" t="s">
        <v>5303</v>
      </c>
      <c r="AT262" s="1" t="s">
        <v>161</v>
      </c>
      <c r="AU262" s="1" t="s">
        <v>166</v>
      </c>
      <c r="AV262" s="1">
        <v>72.3</v>
      </c>
      <c r="AW262" s="1"/>
      <c r="AX262" s="1" t="s">
        <v>5304</v>
      </c>
      <c r="AY262" s="1" t="s">
        <v>5305</v>
      </c>
      <c r="AZ262" s="1" t="s">
        <v>636</v>
      </c>
      <c r="BA262" s="1" t="s">
        <v>1131</v>
      </c>
      <c r="BB262" s="1">
        <v>75.25</v>
      </c>
      <c r="BC262" s="1">
        <v>8.92</v>
      </c>
      <c r="BD262" s="1"/>
      <c r="BE262" s="1"/>
      <c r="BF262" s="1"/>
      <c r="BG262" s="1"/>
      <c r="BH262" s="1"/>
      <c r="BI262" s="1"/>
      <c r="BJ262" s="1" t="s">
        <v>5306</v>
      </c>
      <c r="BK262" s="1" t="s">
        <v>5307</v>
      </c>
      <c r="BL262" s="1" t="s">
        <v>5308</v>
      </c>
      <c r="BM262" s="1"/>
      <c r="BN262" s="1"/>
      <c r="BO262" s="1" t="s">
        <v>5309</v>
      </c>
      <c r="BP262" s="1" t="str">
        <f>HYPERLINK("https://nconnect.nicmar.ac.in/storage/profile/ProfilePhoto_P25700205_853246.jpg","Download")</f>
        <v>0</v>
      </c>
      <c r="BQ262" s="3"/>
      <c r="BR262" s="3"/>
    </row>
    <row r="263" spans="1:70">
      <c r="A263" s="1" t="s">
        <v>70</v>
      </c>
      <c r="B263" s="1" t="s">
        <v>1269</v>
      </c>
      <c r="C263" s="1" t="s">
        <v>5310</v>
      </c>
      <c r="D263" s="1" t="s">
        <v>343</v>
      </c>
      <c r="E263" s="1"/>
      <c r="F263" s="1" t="s">
        <v>596</v>
      </c>
      <c r="G263" s="1" t="s">
        <v>5311</v>
      </c>
      <c r="H263" s="1" t="s">
        <v>5312</v>
      </c>
      <c r="I263" s="1" t="s">
        <v>5313</v>
      </c>
      <c r="J263" s="1">
        <v>7017234043</v>
      </c>
      <c r="K263" s="1" t="s">
        <v>79</v>
      </c>
      <c r="L263" s="1" t="s">
        <v>5314</v>
      </c>
      <c r="M263" s="1" t="s">
        <v>81</v>
      </c>
      <c r="N263" s="1" t="s">
        <v>5040</v>
      </c>
      <c r="O263" s="1"/>
      <c r="P263" s="1" t="s">
        <v>1323</v>
      </c>
      <c r="Q263" s="1" t="s">
        <v>5315</v>
      </c>
      <c r="R263" s="1" t="s">
        <v>5316</v>
      </c>
      <c r="S263" s="1">
        <v>9472028059</v>
      </c>
      <c r="T263" s="1" t="s">
        <v>5317</v>
      </c>
      <c r="U263" s="1" t="s">
        <v>5318</v>
      </c>
      <c r="V263" s="1">
        <v>9304728352</v>
      </c>
      <c r="W263" s="1" t="s">
        <v>156</v>
      </c>
      <c r="X263" s="1" t="s">
        <v>5319</v>
      </c>
      <c r="Y263" s="1" t="s">
        <v>845</v>
      </c>
      <c r="Z263" s="1" t="s">
        <v>846</v>
      </c>
      <c r="AA263" s="1" t="s">
        <v>5319</v>
      </c>
      <c r="AB263" s="1" t="s">
        <v>845</v>
      </c>
      <c r="AC263" s="1" t="s">
        <v>846</v>
      </c>
      <c r="AD263" s="1">
        <v>8.93</v>
      </c>
      <c r="AE263" s="1" t="s">
        <v>93</v>
      </c>
      <c r="AF263" s="1" t="s">
        <v>5320</v>
      </c>
      <c r="AG263" s="1" t="s">
        <v>5321</v>
      </c>
      <c r="AH263" s="1" t="s">
        <v>657</v>
      </c>
      <c r="AI263" s="1" t="s">
        <v>658</v>
      </c>
      <c r="AJ263" s="1">
        <v>91.2</v>
      </c>
      <c r="AK263" s="1">
        <v>9.6</v>
      </c>
      <c r="AL263" s="1" t="s">
        <v>5322</v>
      </c>
      <c r="AM263" s="1" t="s">
        <v>5323</v>
      </c>
      <c r="AN263" s="1" t="s">
        <v>96</v>
      </c>
      <c r="AO263" s="1" t="s">
        <v>131</v>
      </c>
      <c r="AP263" s="1">
        <v>71.4</v>
      </c>
      <c r="AQ263" s="1">
        <v>0</v>
      </c>
      <c r="AR263" s="1"/>
      <c r="AS263" s="1"/>
      <c r="AT263" s="1"/>
      <c r="AU263" s="1"/>
      <c r="AV263" s="1"/>
      <c r="AW263" s="1"/>
      <c r="AX263" s="1" t="s">
        <v>5324</v>
      </c>
      <c r="AY263" s="1" t="s">
        <v>5325</v>
      </c>
      <c r="AZ263" s="1" t="s">
        <v>337</v>
      </c>
      <c r="BA263" s="1" t="s">
        <v>308</v>
      </c>
      <c r="BB263" s="1">
        <v>77</v>
      </c>
      <c r="BC263" s="1">
        <v>7.7</v>
      </c>
      <c r="BD263" s="1" t="s">
        <v>5326</v>
      </c>
      <c r="BE263" s="1" t="s">
        <v>2403</v>
      </c>
      <c r="BF263" s="1" t="s">
        <v>1051</v>
      </c>
      <c r="BG263" s="1" t="s">
        <v>5327</v>
      </c>
      <c r="BH263" s="1">
        <v>70.6</v>
      </c>
      <c r="BI263" s="1">
        <v>7.56</v>
      </c>
      <c r="BJ263" s="1" t="s">
        <v>5328</v>
      </c>
      <c r="BK263" s="1" t="s">
        <v>5329</v>
      </c>
      <c r="BL263" s="1" t="s">
        <v>4085</v>
      </c>
      <c r="BM263" s="1" t="s">
        <v>5330</v>
      </c>
      <c r="BN263" s="1">
        <v>29</v>
      </c>
      <c r="BO263" s="1"/>
      <c r="BP263" s="1" t="str">
        <f>HYPERLINK("https://nconnect.nicmar.ac.in/storage/profile/ProfilePhoto_P25700206_719562.jpg","Download")</f>
        <v>0</v>
      </c>
      <c r="BQ263" s="3"/>
      <c r="BR263" s="3"/>
    </row>
    <row r="264" spans="1:70">
      <c r="A264" s="1" t="s">
        <v>70</v>
      </c>
      <c r="B264" s="1" t="s">
        <v>1269</v>
      </c>
      <c r="C264" s="1" t="s">
        <v>5331</v>
      </c>
      <c r="D264" s="1" t="s">
        <v>5332</v>
      </c>
      <c r="E264" s="1"/>
      <c r="F264" s="1" t="s">
        <v>3575</v>
      </c>
      <c r="G264" s="1" t="s">
        <v>5333</v>
      </c>
      <c r="H264" s="1" t="s">
        <v>5334</v>
      </c>
      <c r="I264" s="1" t="s">
        <v>5335</v>
      </c>
      <c r="J264" s="1">
        <v>7618750839</v>
      </c>
      <c r="K264" s="1" t="s">
        <v>148</v>
      </c>
      <c r="L264" s="1" t="s">
        <v>5336</v>
      </c>
      <c r="M264" s="1" t="s">
        <v>81</v>
      </c>
      <c r="N264" s="1" t="s">
        <v>5337</v>
      </c>
      <c r="O264" s="1"/>
      <c r="P264" s="1" t="s">
        <v>1298</v>
      </c>
      <c r="Q264" s="1" t="s">
        <v>5338</v>
      </c>
      <c r="R264" s="1" t="s">
        <v>5339</v>
      </c>
      <c r="S264" s="1">
        <v>9972864548</v>
      </c>
      <c r="T264" s="1" t="s">
        <v>5340</v>
      </c>
      <c r="U264" s="1" t="s">
        <v>5341</v>
      </c>
      <c r="V264" s="1">
        <v>8618172219</v>
      </c>
      <c r="W264" s="1" t="s">
        <v>273</v>
      </c>
      <c r="X264" s="1" t="s">
        <v>5342</v>
      </c>
      <c r="Y264" s="1" t="s">
        <v>5343</v>
      </c>
      <c r="Z264" s="1" t="s">
        <v>1084</v>
      </c>
      <c r="AA264" s="1" t="s">
        <v>5342</v>
      </c>
      <c r="AB264" s="1" t="s">
        <v>5343</v>
      </c>
      <c r="AC264" s="1" t="s">
        <v>1084</v>
      </c>
      <c r="AD264" s="1">
        <v>7.31</v>
      </c>
      <c r="AE264" s="1" t="s">
        <v>93</v>
      </c>
      <c r="AF264" s="1" t="s">
        <v>5344</v>
      </c>
      <c r="AG264" s="1" t="s">
        <v>5345</v>
      </c>
      <c r="AH264" s="1" t="s">
        <v>1240</v>
      </c>
      <c r="AI264" s="1" t="s">
        <v>166</v>
      </c>
      <c r="AJ264" s="1">
        <v>65</v>
      </c>
      <c r="AK264" s="1">
        <v>6.84</v>
      </c>
      <c r="AL264" s="1" t="s">
        <v>5346</v>
      </c>
      <c r="AM264" s="1" t="s">
        <v>5347</v>
      </c>
      <c r="AN264" s="1" t="s">
        <v>310</v>
      </c>
      <c r="AO264" s="1" t="s">
        <v>173</v>
      </c>
      <c r="AP264" s="1">
        <v>71.5</v>
      </c>
      <c r="AQ264" s="1">
        <v>7.53</v>
      </c>
      <c r="AR264" s="1"/>
      <c r="AS264" s="1"/>
      <c r="AT264" s="1"/>
      <c r="AU264" s="1"/>
      <c r="AV264" s="1"/>
      <c r="AW264" s="1"/>
      <c r="AX264" s="1" t="s">
        <v>5348</v>
      </c>
      <c r="AY264" s="1" t="s">
        <v>5349</v>
      </c>
      <c r="AZ264" s="1" t="s">
        <v>228</v>
      </c>
      <c r="BA264" s="1" t="s">
        <v>202</v>
      </c>
      <c r="BB264" s="1">
        <v>71</v>
      </c>
      <c r="BC264" s="1">
        <v>7.01</v>
      </c>
      <c r="BD264" s="1"/>
      <c r="BE264" s="1"/>
      <c r="BF264" s="1"/>
      <c r="BG264" s="1"/>
      <c r="BH264" s="1"/>
      <c r="BI264" s="1"/>
      <c r="BJ264" s="1" t="s">
        <v>5350</v>
      </c>
      <c r="BK264" s="1"/>
      <c r="BL264" s="1"/>
      <c r="BM264" s="1" t="s">
        <v>5351</v>
      </c>
      <c r="BN264" s="1">
        <v>8</v>
      </c>
      <c r="BO264" s="1"/>
      <c r="BP264" s="1" t="str">
        <f>HYPERLINK("https://nconnect.nicmar.ac.in/storage/profile/ProfilePhoto_P25700207_975832.jpg","Download")</f>
        <v>0</v>
      </c>
      <c r="BQ264" s="3"/>
      <c r="BR264" s="3"/>
    </row>
    <row r="265" spans="1:70">
      <c r="A265" s="1" t="s">
        <v>70</v>
      </c>
      <c r="B265" s="1" t="s">
        <v>1269</v>
      </c>
      <c r="C265" s="1" t="s">
        <v>5352</v>
      </c>
      <c r="D265" s="1" t="s">
        <v>5353</v>
      </c>
      <c r="E265" s="1" t="s">
        <v>5354</v>
      </c>
      <c r="F265" s="1" t="s">
        <v>596</v>
      </c>
      <c r="G265" s="1" t="s">
        <v>5355</v>
      </c>
      <c r="H265" s="1" t="s">
        <v>5356</v>
      </c>
      <c r="I265" s="1" t="s">
        <v>5357</v>
      </c>
      <c r="J265" s="1">
        <v>7019853366</v>
      </c>
      <c r="K265" s="1" t="s">
        <v>79</v>
      </c>
      <c r="L265" s="1" t="s">
        <v>4631</v>
      </c>
      <c r="M265" s="1" t="s">
        <v>81</v>
      </c>
      <c r="N265" s="1" t="s">
        <v>5358</v>
      </c>
      <c r="O265" s="1"/>
      <c r="P265" s="1" t="s">
        <v>1323</v>
      </c>
      <c r="Q265" s="1" t="s">
        <v>5359</v>
      </c>
      <c r="R265" s="1" t="s">
        <v>5360</v>
      </c>
      <c r="S265" s="1">
        <v>9448056783</v>
      </c>
      <c r="T265" s="1" t="s">
        <v>87</v>
      </c>
      <c r="U265" s="1" t="s">
        <v>5361</v>
      </c>
      <c r="V265" s="1">
        <v>9449043899</v>
      </c>
      <c r="W265" s="1" t="s">
        <v>674</v>
      </c>
      <c r="X265" s="1" t="s">
        <v>5362</v>
      </c>
      <c r="Y265" s="1" t="s">
        <v>5363</v>
      </c>
      <c r="Z265" s="1" t="s">
        <v>1084</v>
      </c>
      <c r="AA265" s="1" t="s">
        <v>5362</v>
      </c>
      <c r="AB265" s="1" t="s">
        <v>5363</v>
      </c>
      <c r="AC265" s="1" t="s">
        <v>1084</v>
      </c>
      <c r="AD265" s="1">
        <v>8.36</v>
      </c>
      <c r="AE265" s="1" t="s">
        <v>93</v>
      </c>
      <c r="AF265" s="1" t="s">
        <v>5364</v>
      </c>
      <c r="AG265" s="1" t="s">
        <v>5365</v>
      </c>
      <c r="AH265" s="1" t="s">
        <v>165</v>
      </c>
      <c r="AI265" s="1" t="s">
        <v>166</v>
      </c>
      <c r="AJ265" s="1">
        <v>78.2</v>
      </c>
      <c r="AK265" s="1"/>
      <c r="AL265" s="1" t="s">
        <v>5366</v>
      </c>
      <c r="AM265" s="1" t="s">
        <v>5367</v>
      </c>
      <c r="AN265" s="1" t="s">
        <v>101</v>
      </c>
      <c r="AO265" s="1" t="s">
        <v>699</v>
      </c>
      <c r="AP265" s="1">
        <v>82.33</v>
      </c>
      <c r="AQ265" s="1"/>
      <c r="AR265" s="1"/>
      <c r="AS265" s="1"/>
      <c r="AT265" s="1"/>
      <c r="AU265" s="1"/>
      <c r="AV265" s="1"/>
      <c r="AW265" s="1"/>
      <c r="AX265" s="1" t="s">
        <v>5368</v>
      </c>
      <c r="AY265" s="1" t="s">
        <v>5369</v>
      </c>
      <c r="AZ265" s="1" t="s">
        <v>699</v>
      </c>
      <c r="BA265" s="1" t="s">
        <v>202</v>
      </c>
      <c r="BB265" s="1">
        <v>54.6</v>
      </c>
      <c r="BC265" s="1">
        <v>6.21</v>
      </c>
      <c r="BD265" s="1"/>
      <c r="BE265" s="1"/>
      <c r="BF265" s="1"/>
      <c r="BG265" s="1"/>
      <c r="BH265" s="1"/>
      <c r="BI265" s="1"/>
      <c r="BJ265" s="1" t="s">
        <v>5370</v>
      </c>
      <c r="BK265" s="1"/>
      <c r="BL265" s="1"/>
      <c r="BM265" s="1" t="s">
        <v>5371</v>
      </c>
      <c r="BN265" s="1">
        <v>60</v>
      </c>
      <c r="BO265" s="1"/>
      <c r="BP265" s="1" t="str">
        <f>HYPERLINK("https://nconnect.nicmar.ac.in/storage/profile/ProfilePhoto_P25700208_794836.jpg","Download")</f>
        <v>0</v>
      </c>
      <c r="BQ265" s="3"/>
      <c r="BR265" s="3"/>
    </row>
    <row r="266" spans="1:70">
      <c r="A266" s="1" t="s">
        <v>70</v>
      </c>
      <c r="B266" s="1" t="s">
        <v>1269</v>
      </c>
      <c r="C266" s="1" t="s">
        <v>5372</v>
      </c>
      <c r="D266" s="1" t="s">
        <v>5373</v>
      </c>
      <c r="E266" s="1" t="s">
        <v>5374</v>
      </c>
      <c r="F266" s="1" t="s">
        <v>5375</v>
      </c>
      <c r="G266" s="1" t="s">
        <v>5376</v>
      </c>
      <c r="H266" s="1" t="s">
        <v>5377</v>
      </c>
      <c r="I266" s="1" t="s">
        <v>5378</v>
      </c>
      <c r="J266" s="1">
        <v>9372185523</v>
      </c>
      <c r="K266" s="1" t="s">
        <v>79</v>
      </c>
      <c r="L266" s="1" t="s">
        <v>5379</v>
      </c>
      <c r="M266" s="1" t="s">
        <v>81</v>
      </c>
      <c r="N266" s="1" t="s">
        <v>3304</v>
      </c>
      <c r="O266" s="1"/>
      <c r="P266" s="1" t="s">
        <v>1278</v>
      </c>
      <c r="Q266" s="1" t="s">
        <v>5380</v>
      </c>
      <c r="R266" s="1" t="s">
        <v>5381</v>
      </c>
      <c r="S266" s="1">
        <v>9004473416</v>
      </c>
      <c r="T266" s="1" t="s">
        <v>5382</v>
      </c>
      <c r="U266" s="1" t="s">
        <v>5383</v>
      </c>
      <c r="V266" s="1">
        <v>9372032013</v>
      </c>
      <c r="W266" s="1" t="s">
        <v>156</v>
      </c>
      <c r="X266" s="1" t="s">
        <v>5384</v>
      </c>
      <c r="Y266" s="1" t="s">
        <v>5064</v>
      </c>
      <c r="Z266" s="1" t="s">
        <v>92</v>
      </c>
      <c r="AA266" s="1" t="s">
        <v>5384</v>
      </c>
      <c r="AB266" s="1" t="s">
        <v>5064</v>
      </c>
      <c r="AC266" s="1" t="s">
        <v>92</v>
      </c>
      <c r="AD266" s="1">
        <v>8.16</v>
      </c>
      <c r="AE266" s="1" t="s">
        <v>93</v>
      </c>
      <c r="AF266" s="1" t="s">
        <v>3402</v>
      </c>
      <c r="AG266" s="1" t="s">
        <v>5385</v>
      </c>
      <c r="AH266" s="1" t="s">
        <v>161</v>
      </c>
      <c r="AI266" s="1" t="s">
        <v>456</v>
      </c>
      <c r="AJ266" s="1">
        <v>84</v>
      </c>
      <c r="AK266" s="1"/>
      <c r="AL266" s="1"/>
      <c r="AM266" s="1"/>
      <c r="AN266" s="1"/>
      <c r="AO266" s="1"/>
      <c r="AP266" s="1"/>
      <c r="AQ266" s="1"/>
      <c r="AR266" s="1" t="s">
        <v>5386</v>
      </c>
      <c r="AS266" s="1" t="s">
        <v>5387</v>
      </c>
      <c r="AT266" s="1" t="s">
        <v>733</v>
      </c>
      <c r="AU266" s="1" t="s">
        <v>308</v>
      </c>
      <c r="AV266" s="1">
        <v>72.71</v>
      </c>
      <c r="AW266" s="1"/>
      <c r="AX266" s="1" t="s">
        <v>1024</v>
      </c>
      <c r="AY266" s="1" t="s">
        <v>5388</v>
      </c>
      <c r="AZ266" s="1" t="s">
        <v>201</v>
      </c>
      <c r="BA266" s="1" t="s">
        <v>682</v>
      </c>
      <c r="BB266" s="1">
        <v>70</v>
      </c>
      <c r="BC266" s="1">
        <v>7.84</v>
      </c>
      <c r="BD266" s="1"/>
      <c r="BE266" s="1"/>
      <c r="BF266" s="1"/>
      <c r="BG266" s="1"/>
      <c r="BH266" s="1"/>
      <c r="BI266" s="1"/>
      <c r="BJ266" s="1" t="s">
        <v>1383</v>
      </c>
      <c r="BK266" s="1" t="s">
        <v>5389</v>
      </c>
      <c r="BL266" s="1" t="s">
        <v>4917</v>
      </c>
      <c r="BM266" s="1" t="s">
        <v>5390</v>
      </c>
      <c r="BN266" s="1">
        <v>9</v>
      </c>
      <c r="BO266" s="1"/>
      <c r="BP266" s="1" t="str">
        <f>HYPERLINK("https://nconnect.nicmar.ac.in/storage/profile/ProfilePhoto_P25700209_172634.jpg","Download")</f>
        <v>0</v>
      </c>
      <c r="BQ266" s="3"/>
      <c r="BR266" s="3"/>
    </row>
    <row r="267" spans="1:70">
      <c r="A267" s="1" t="s">
        <v>70</v>
      </c>
      <c r="B267" s="1" t="s">
        <v>1269</v>
      </c>
      <c r="C267" s="1" t="s">
        <v>5391</v>
      </c>
      <c r="D267" s="1" t="s">
        <v>5392</v>
      </c>
      <c r="E267" s="1" t="s">
        <v>5393</v>
      </c>
      <c r="F267" s="1" t="s">
        <v>5394</v>
      </c>
      <c r="G267" s="1" t="s">
        <v>5395</v>
      </c>
      <c r="H267" s="1" t="s">
        <v>5396</v>
      </c>
      <c r="I267" s="1" t="s">
        <v>5397</v>
      </c>
      <c r="J267" s="1">
        <v>7666209600</v>
      </c>
      <c r="K267" s="1" t="s">
        <v>79</v>
      </c>
      <c r="L267" s="1" t="s">
        <v>5398</v>
      </c>
      <c r="M267" s="1" t="s">
        <v>81</v>
      </c>
      <c r="N267" s="1" t="s">
        <v>1144</v>
      </c>
      <c r="O267" s="1"/>
      <c r="P267" s="1" t="s">
        <v>1766</v>
      </c>
      <c r="Q267" s="1" t="s">
        <v>5399</v>
      </c>
      <c r="R267" s="1" t="s">
        <v>5393</v>
      </c>
      <c r="S267" s="1">
        <v>9890180702</v>
      </c>
      <c r="T267" s="1" t="s">
        <v>5400</v>
      </c>
      <c r="U267" s="1" t="s">
        <v>5401</v>
      </c>
      <c r="V267" s="1">
        <v>9970131300</v>
      </c>
      <c r="W267" s="1" t="s">
        <v>273</v>
      </c>
      <c r="X267" s="1" t="s">
        <v>5402</v>
      </c>
      <c r="Y267" s="1" t="s">
        <v>2786</v>
      </c>
      <c r="Z267" s="1" t="s">
        <v>92</v>
      </c>
      <c r="AA267" s="1" t="s">
        <v>5402</v>
      </c>
      <c r="AB267" s="1" t="s">
        <v>2786</v>
      </c>
      <c r="AC267" s="1" t="s">
        <v>92</v>
      </c>
      <c r="AD267" s="1">
        <v>7.77</v>
      </c>
      <c r="AE267" s="1" t="s">
        <v>93</v>
      </c>
      <c r="AF267" s="1" t="s">
        <v>5403</v>
      </c>
      <c r="AG267" s="1" t="s">
        <v>5404</v>
      </c>
      <c r="AH267" s="1" t="s">
        <v>101</v>
      </c>
      <c r="AI267" s="1" t="s">
        <v>409</v>
      </c>
      <c r="AJ267" s="1">
        <v>75.6</v>
      </c>
      <c r="AK267" s="1"/>
      <c r="AL267" s="1" t="s">
        <v>5405</v>
      </c>
      <c r="AM267" s="1" t="s">
        <v>5404</v>
      </c>
      <c r="AN267" s="1" t="s">
        <v>699</v>
      </c>
      <c r="AO267" s="1" t="s">
        <v>1131</v>
      </c>
      <c r="AP267" s="1">
        <v>71.67</v>
      </c>
      <c r="AQ267" s="1"/>
      <c r="AR267" s="1"/>
      <c r="AS267" s="1"/>
      <c r="AT267" s="1"/>
      <c r="AU267" s="1"/>
      <c r="AV267" s="1"/>
      <c r="AW267" s="1"/>
      <c r="AX267" s="1" t="s">
        <v>5406</v>
      </c>
      <c r="AY267" s="1" t="s">
        <v>5407</v>
      </c>
      <c r="AZ267" s="1" t="s">
        <v>897</v>
      </c>
      <c r="BA267" s="1" t="s">
        <v>1714</v>
      </c>
      <c r="BB267" s="1">
        <v>70.8</v>
      </c>
      <c r="BC267" s="1">
        <v>7.58</v>
      </c>
      <c r="BD267" s="1"/>
      <c r="BE267" s="1"/>
      <c r="BF267" s="1"/>
      <c r="BG267" s="1"/>
      <c r="BH267" s="1"/>
      <c r="BI267" s="1"/>
      <c r="BJ267" s="1" t="s">
        <v>1383</v>
      </c>
      <c r="BK267" s="1"/>
      <c r="BL267" s="1"/>
      <c r="BM267" s="1" t="s">
        <v>5408</v>
      </c>
      <c r="BN267" s="1">
        <v>21</v>
      </c>
      <c r="BO267" s="1"/>
      <c r="BP267" s="1" t="str">
        <f>HYPERLINK("https://nconnect.nicmar.ac.in/storage/profile/ProfilePhoto_P25700210_974213.jpg","Download")</f>
        <v>0</v>
      </c>
      <c r="BQ267" s="3"/>
      <c r="BR267" s="3"/>
    </row>
    <row r="268" spans="1:70">
      <c r="A268" s="1" t="s">
        <v>70</v>
      </c>
      <c r="B268" s="1" t="s">
        <v>1269</v>
      </c>
      <c r="C268" s="1" t="s">
        <v>5409</v>
      </c>
      <c r="D268" s="1" t="s">
        <v>5410</v>
      </c>
      <c r="E268" s="1" t="s">
        <v>5411</v>
      </c>
      <c r="F268" s="1" t="s">
        <v>4807</v>
      </c>
      <c r="G268" s="1" t="s">
        <v>5412</v>
      </c>
      <c r="H268" s="1" t="s">
        <v>5413</v>
      </c>
      <c r="I268" s="1" t="s">
        <v>5414</v>
      </c>
      <c r="J268" s="1">
        <v>9985961499</v>
      </c>
      <c r="K268" s="1" t="s">
        <v>79</v>
      </c>
      <c r="L268" s="1" t="s">
        <v>5415</v>
      </c>
      <c r="M268" s="1" t="s">
        <v>81</v>
      </c>
      <c r="N268" s="1" t="s">
        <v>5416</v>
      </c>
      <c r="O268" s="1"/>
      <c r="P268" s="1" t="s">
        <v>1323</v>
      </c>
      <c r="Q268" s="1" t="s">
        <v>5417</v>
      </c>
      <c r="R268" s="1" t="s">
        <v>5418</v>
      </c>
      <c r="S268" s="1">
        <v>9581649999</v>
      </c>
      <c r="T268" s="1" t="s">
        <v>4566</v>
      </c>
      <c r="U268" s="1" t="s">
        <v>5419</v>
      </c>
      <c r="V268" s="1">
        <v>9490761499</v>
      </c>
      <c r="W268" s="1" t="s">
        <v>5420</v>
      </c>
      <c r="X268" s="1" t="s">
        <v>5421</v>
      </c>
      <c r="Y268" s="1" t="s">
        <v>1304</v>
      </c>
      <c r="Z268" s="1" t="s">
        <v>276</v>
      </c>
      <c r="AA268" s="1" t="s">
        <v>5421</v>
      </c>
      <c r="AB268" s="1" t="s">
        <v>1304</v>
      </c>
      <c r="AC268" s="1" t="s">
        <v>276</v>
      </c>
      <c r="AD268" s="1">
        <v>8.32</v>
      </c>
      <c r="AE268" s="1" t="s">
        <v>93</v>
      </c>
      <c r="AF268" s="1" t="s">
        <v>5422</v>
      </c>
      <c r="AG268" s="1" t="s">
        <v>5423</v>
      </c>
      <c r="AH268" s="1" t="s">
        <v>101</v>
      </c>
      <c r="AI268" s="1" t="s">
        <v>1065</v>
      </c>
      <c r="AJ268" s="1">
        <v>95</v>
      </c>
      <c r="AK268" s="1">
        <v>9.5</v>
      </c>
      <c r="AL268" s="1" t="s">
        <v>5424</v>
      </c>
      <c r="AM268" s="1" t="s">
        <v>5423</v>
      </c>
      <c r="AN268" s="1" t="s">
        <v>433</v>
      </c>
      <c r="AO268" s="1" t="s">
        <v>1712</v>
      </c>
      <c r="AP268" s="1">
        <v>94.8</v>
      </c>
      <c r="AQ268" s="1"/>
      <c r="AR268" s="1"/>
      <c r="AS268" s="1"/>
      <c r="AT268" s="1"/>
      <c r="AU268" s="1"/>
      <c r="AV268" s="1"/>
      <c r="AW268" s="1"/>
      <c r="AX268" s="1" t="s">
        <v>5425</v>
      </c>
      <c r="AY268" s="1" t="s">
        <v>5426</v>
      </c>
      <c r="AZ268" s="1" t="s">
        <v>897</v>
      </c>
      <c r="BA268" s="1" t="s">
        <v>1408</v>
      </c>
      <c r="BB268" s="1">
        <v>74.4</v>
      </c>
      <c r="BC268" s="1">
        <v>7.44</v>
      </c>
      <c r="BD268" s="1"/>
      <c r="BE268" s="1"/>
      <c r="BF268" s="1"/>
      <c r="BG268" s="1"/>
      <c r="BH268" s="1"/>
      <c r="BI268" s="1"/>
      <c r="BJ268" s="1" t="s">
        <v>5427</v>
      </c>
      <c r="BK268" s="1"/>
      <c r="BL268" s="1"/>
      <c r="BM268" s="1" t="s">
        <v>5428</v>
      </c>
      <c r="BN268" s="1">
        <v>4</v>
      </c>
      <c r="BO268" s="1"/>
      <c r="BP268" s="1" t="str">
        <f>HYPERLINK("https://nconnect.nicmar.ac.in/storage/profile/ProfilePhoto_P25700211_374165.jpg","Download")</f>
        <v>0</v>
      </c>
      <c r="BQ268" s="3"/>
      <c r="BR268" s="3"/>
    </row>
    <row r="269" spans="1:70">
      <c r="A269" s="1" t="s">
        <v>70</v>
      </c>
      <c r="B269" s="1" t="s">
        <v>1269</v>
      </c>
      <c r="C269" s="1" t="s">
        <v>5429</v>
      </c>
      <c r="D269" s="1" t="s">
        <v>5430</v>
      </c>
      <c r="E269" s="1"/>
      <c r="F269" s="1" t="s">
        <v>5431</v>
      </c>
      <c r="G269" s="1" t="s">
        <v>5432</v>
      </c>
      <c r="H269" s="1" t="s">
        <v>5433</v>
      </c>
      <c r="I269" s="1" t="s">
        <v>5434</v>
      </c>
      <c r="J269" s="1">
        <v>7365981078</v>
      </c>
      <c r="K269" s="1" t="s">
        <v>79</v>
      </c>
      <c r="L269" s="1" t="s">
        <v>5435</v>
      </c>
      <c r="M269" s="1" t="s">
        <v>81</v>
      </c>
      <c r="N269" s="1" t="s">
        <v>5436</v>
      </c>
      <c r="O269" s="1"/>
      <c r="P269" s="1" t="s">
        <v>1298</v>
      </c>
      <c r="Q269" s="1" t="s">
        <v>5437</v>
      </c>
      <c r="R269" s="1" t="s">
        <v>5438</v>
      </c>
      <c r="S269" s="1">
        <v>9475095594</v>
      </c>
      <c r="T269" s="1" t="s">
        <v>5439</v>
      </c>
      <c r="U269" s="1" t="s">
        <v>5440</v>
      </c>
      <c r="V269" s="1">
        <v>9474163930</v>
      </c>
      <c r="W269" s="1" t="s">
        <v>716</v>
      </c>
      <c r="X269" s="1" t="s">
        <v>5441</v>
      </c>
      <c r="Y269" s="1" t="s">
        <v>5442</v>
      </c>
      <c r="Z269" s="1" t="s">
        <v>783</v>
      </c>
      <c r="AA269" s="1" t="s">
        <v>5441</v>
      </c>
      <c r="AB269" s="1" t="s">
        <v>5442</v>
      </c>
      <c r="AC269" s="1" t="s">
        <v>783</v>
      </c>
      <c r="AD269" s="1">
        <v>8.52</v>
      </c>
      <c r="AE269" s="1" t="s">
        <v>93</v>
      </c>
      <c r="AF269" s="1" t="s">
        <v>5443</v>
      </c>
      <c r="AG269" s="1" t="s">
        <v>5444</v>
      </c>
      <c r="AH269" s="1" t="s">
        <v>786</v>
      </c>
      <c r="AI269" s="1" t="s">
        <v>1332</v>
      </c>
      <c r="AJ269" s="1">
        <v>90.71</v>
      </c>
      <c r="AK269" s="1"/>
      <c r="AL269" s="1" t="s">
        <v>5443</v>
      </c>
      <c r="AM269" s="1" t="s">
        <v>4081</v>
      </c>
      <c r="AN269" s="1" t="s">
        <v>281</v>
      </c>
      <c r="AO269" s="1" t="s">
        <v>308</v>
      </c>
      <c r="AP269" s="1">
        <v>73.8</v>
      </c>
      <c r="AQ269" s="1"/>
      <c r="AR269" s="1"/>
      <c r="AS269" s="1"/>
      <c r="AT269" s="1"/>
      <c r="AU269" s="1"/>
      <c r="AV269" s="1"/>
      <c r="AW269" s="1"/>
      <c r="AX269" s="1" t="s">
        <v>2078</v>
      </c>
      <c r="AY269" s="1" t="s">
        <v>5445</v>
      </c>
      <c r="AZ269" s="1" t="s">
        <v>310</v>
      </c>
      <c r="BA269" s="1" t="s">
        <v>174</v>
      </c>
      <c r="BB269" s="1">
        <v>80.9</v>
      </c>
      <c r="BC269" s="1">
        <v>8.84</v>
      </c>
      <c r="BD269" s="1"/>
      <c r="BE269" s="1"/>
      <c r="BF269" s="1"/>
      <c r="BG269" s="1"/>
      <c r="BH269" s="1"/>
      <c r="BI269" s="1"/>
      <c r="BJ269" s="1" t="s">
        <v>5446</v>
      </c>
      <c r="BK269" s="1" t="s">
        <v>5447</v>
      </c>
      <c r="BL269" s="1" t="s">
        <v>2303</v>
      </c>
      <c r="BM269" s="1" t="s">
        <v>5448</v>
      </c>
      <c r="BN269" s="1">
        <v>13</v>
      </c>
      <c r="BO269" s="1" t="s">
        <v>5449</v>
      </c>
      <c r="BP269" s="1" t="str">
        <f>HYPERLINK("https://nconnect.nicmar.ac.in/storage/profile/ProfilePhoto_P25700212_349562.jpg","Download")</f>
        <v>0</v>
      </c>
      <c r="BQ269" s="3"/>
      <c r="BR269" s="3"/>
    </row>
    <row r="270" spans="1:70">
      <c r="A270" s="1" t="s">
        <v>70</v>
      </c>
      <c r="B270" s="1" t="s">
        <v>1269</v>
      </c>
      <c r="C270" s="1" t="s">
        <v>5450</v>
      </c>
      <c r="D270" s="1" t="s">
        <v>5451</v>
      </c>
      <c r="E270" s="1" t="s">
        <v>5452</v>
      </c>
      <c r="F270" s="1" t="s">
        <v>5453</v>
      </c>
      <c r="G270" s="1" t="s">
        <v>5454</v>
      </c>
      <c r="H270" s="1" t="s">
        <v>5455</v>
      </c>
      <c r="I270" s="1" t="s">
        <v>5456</v>
      </c>
      <c r="J270" s="1">
        <v>9325432369</v>
      </c>
      <c r="K270" s="1" t="s">
        <v>79</v>
      </c>
      <c r="L270" s="1" t="s">
        <v>5457</v>
      </c>
      <c r="M270" s="1" t="s">
        <v>81</v>
      </c>
      <c r="N270" s="1" t="s">
        <v>5458</v>
      </c>
      <c r="O270" s="1"/>
      <c r="P270" s="1" t="s">
        <v>1298</v>
      </c>
      <c r="Q270" s="1" t="s">
        <v>5459</v>
      </c>
      <c r="R270" s="1" t="s">
        <v>5460</v>
      </c>
      <c r="S270" s="1">
        <v>9823134286</v>
      </c>
      <c r="T270" s="1" t="s">
        <v>842</v>
      </c>
      <c r="U270" s="1" t="s">
        <v>5461</v>
      </c>
      <c r="V270" s="1">
        <v>9764117117</v>
      </c>
      <c r="W270" s="1" t="s">
        <v>156</v>
      </c>
      <c r="X270" s="1" t="s">
        <v>5462</v>
      </c>
      <c r="Y270" s="1" t="s">
        <v>191</v>
      </c>
      <c r="Z270" s="1" t="s">
        <v>92</v>
      </c>
      <c r="AA270" s="1" t="s">
        <v>5462</v>
      </c>
      <c r="AB270" s="1" t="s">
        <v>191</v>
      </c>
      <c r="AC270" s="1" t="s">
        <v>92</v>
      </c>
      <c r="AD270" s="1">
        <v>8.82</v>
      </c>
      <c r="AE270" s="1" t="s">
        <v>93</v>
      </c>
      <c r="AF270" s="1" t="s">
        <v>5463</v>
      </c>
      <c r="AG270" s="1" t="s">
        <v>5464</v>
      </c>
      <c r="AH270" s="1" t="s">
        <v>1307</v>
      </c>
      <c r="AI270" s="1" t="s">
        <v>308</v>
      </c>
      <c r="AJ270" s="1">
        <v>76.8</v>
      </c>
      <c r="AK270" s="1"/>
      <c r="AL270" s="1" t="s">
        <v>5465</v>
      </c>
      <c r="AM270" s="1" t="s">
        <v>160</v>
      </c>
      <c r="AN270" s="1" t="s">
        <v>681</v>
      </c>
      <c r="AO270" s="1" t="s">
        <v>436</v>
      </c>
      <c r="AP270" s="1">
        <v>82</v>
      </c>
      <c r="AQ270" s="1"/>
      <c r="AR270" s="1"/>
      <c r="AS270" s="1"/>
      <c r="AT270" s="1"/>
      <c r="AU270" s="1"/>
      <c r="AV270" s="1"/>
      <c r="AW270" s="1"/>
      <c r="AX270" s="1" t="s">
        <v>361</v>
      </c>
      <c r="AY270" s="1" t="s">
        <v>5466</v>
      </c>
      <c r="AZ270" s="1" t="s">
        <v>5467</v>
      </c>
      <c r="BA270" s="1" t="s">
        <v>1714</v>
      </c>
      <c r="BB270" s="1">
        <v>77.42</v>
      </c>
      <c r="BC270" s="1">
        <v>8.15</v>
      </c>
      <c r="BD270" s="1"/>
      <c r="BE270" s="1"/>
      <c r="BF270" s="1"/>
      <c r="BG270" s="1"/>
      <c r="BH270" s="1"/>
      <c r="BI270" s="1"/>
      <c r="BJ270" s="1" t="s">
        <v>1715</v>
      </c>
      <c r="BK270" s="1"/>
      <c r="BL270" s="1"/>
      <c r="BM270" s="1" t="s">
        <v>5468</v>
      </c>
      <c r="BN270" s="1">
        <v>4</v>
      </c>
      <c r="BO270" s="1"/>
      <c r="BP270" s="1" t="str">
        <f>HYPERLINK("https://nconnect.nicmar.ac.in/storage/profile/ProfilePhoto_P25700213_341679.jpg","Download")</f>
        <v>0</v>
      </c>
      <c r="BQ270" s="3"/>
      <c r="BR270" s="3"/>
    </row>
    <row r="271" spans="1:70">
      <c r="A271" s="1" t="s">
        <v>70</v>
      </c>
      <c r="B271" s="1" t="s">
        <v>1269</v>
      </c>
      <c r="C271" s="1" t="s">
        <v>5469</v>
      </c>
      <c r="D271" s="1" t="s">
        <v>5470</v>
      </c>
      <c r="E271" s="1" t="s">
        <v>5471</v>
      </c>
      <c r="F271" s="1" t="s">
        <v>5472</v>
      </c>
      <c r="G271" s="1" t="s">
        <v>5473</v>
      </c>
      <c r="H271" s="1" t="s">
        <v>5474</v>
      </c>
      <c r="I271" s="1" t="s">
        <v>5475</v>
      </c>
      <c r="J271" s="1">
        <v>7558763753</v>
      </c>
      <c r="K271" s="1" t="s">
        <v>79</v>
      </c>
      <c r="L271" s="1" t="s">
        <v>5476</v>
      </c>
      <c r="M271" s="1" t="s">
        <v>81</v>
      </c>
      <c r="N271" s="1" t="s">
        <v>1765</v>
      </c>
      <c r="O271" s="1"/>
      <c r="P271" s="1" t="s">
        <v>1278</v>
      </c>
      <c r="Q271" s="1" t="s">
        <v>5477</v>
      </c>
      <c r="R271" s="1" t="s">
        <v>5478</v>
      </c>
      <c r="S271" s="1">
        <v>9881388685</v>
      </c>
      <c r="T271" s="1" t="s">
        <v>5479</v>
      </c>
      <c r="U271" s="1" t="s">
        <v>5480</v>
      </c>
      <c r="V271" s="1">
        <v>8421519178</v>
      </c>
      <c r="W271" s="1" t="s">
        <v>156</v>
      </c>
      <c r="X271" s="1" t="s">
        <v>5481</v>
      </c>
      <c r="Y271" s="1" t="s">
        <v>158</v>
      </c>
      <c r="Z271" s="1" t="s">
        <v>92</v>
      </c>
      <c r="AA271" s="1" t="s">
        <v>5481</v>
      </c>
      <c r="AB271" s="1" t="s">
        <v>158</v>
      </c>
      <c r="AC271" s="1" t="s">
        <v>92</v>
      </c>
      <c r="AD271" s="1">
        <v>7.98</v>
      </c>
      <c r="AE271" s="1" t="s">
        <v>93</v>
      </c>
      <c r="AF271" s="1" t="s">
        <v>5482</v>
      </c>
      <c r="AG271" s="1" t="s">
        <v>160</v>
      </c>
      <c r="AH271" s="1" t="s">
        <v>195</v>
      </c>
      <c r="AI271" s="1" t="s">
        <v>281</v>
      </c>
      <c r="AJ271" s="1">
        <v>83.6</v>
      </c>
      <c r="AK271" s="1"/>
      <c r="AL271" s="1" t="s">
        <v>5483</v>
      </c>
      <c r="AM271" s="1" t="s">
        <v>160</v>
      </c>
      <c r="AN271" s="1" t="s">
        <v>359</v>
      </c>
      <c r="AO271" s="1" t="s">
        <v>5484</v>
      </c>
      <c r="AP271" s="1">
        <v>62.92</v>
      </c>
      <c r="AQ271" s="1"/>
      <c r="AR271" s="1"/>
      <c r="AS271" s="1"/>
      <c r="AT271" s="1"/>
      <c r="AU271" s="1"/>
      <c r="AV271" s="1"/>
      <c r="AW271" s="1"/>
      <c r="AX271" s="1" t="s">
        <v>5304</v>
      </c>
      <c r="AY271" s="1" t="s">
        <v>5485</v>
      </c>
      <c r="AZ271" s="1" t="s">
        <v>504</v>
      </c>
      <c r="BA271" s="1" t="s">
        <v>507</v>
      </c>
      <c r="BB271" s="1">
        <v>69.7</v>
      </c>
      <c r="BC271" s="1"/>
      <c r="BD271" s="1"/>
      <c r="BE271" s="1"/>
      <c r="BF271" s="1"/>
      <c r="BG271" s="1"/>
      <c r="BH271" s="1"/>
      <c r="BI271" s="1"/>
      <c r="BJ271" s="1" t="s">
        <v>5486</v>
      </c>
      <c r="BK271" s="1" t="s">
        <v>5487</v>
      </c>
      <c r="BL271" s="1" t="s">
        <v>287</v>
      </c>
      <c r="BM271" s="1" t="s">
        <v>5488</v>
      </c>
      <c r="BN271" s="1">
        <v>63</v>
      </c>
      <c r="BO271" s="1" t="s">
        <v>5489</v>
      </c>
      <c r="BP271" s="1" t="str">
        <f>HYPERLINK("https://nconnect.nicmar.ac.in/storage/profile/ProfilePhoto_P25700214_983516.jpg","Download")</f>
        <v>0</v>
      </c>
      <c r="BQ271" s="3"/>
      <c r="BR271" s="3"/>
    </row>
    <row r="272" spans="1:70">
      <c r="A272" s="1" t="s">
        <v>70</v>
      </c>
      <c r="B272" s="1" t="s">
        <v>1269</v>
      </c>
      <c r="C272" s="1" t="s">
        <v>5490</v>
      </c>
      <c r="D272" s="1" t="s">
        <v>5491</v>
      </c>
      <c r="E272" s="1"/>
      <c r="F272" s="1" t="s">
        <v>5492</v>
      </c>
      <c r="G272" s="1" t="s">
        <v>5493</v>
      </c>
      <c r="H272" s="1" t="s">
        <v>5494</v>
      </c>
      <c r="I272" s="1" t="s">
        <v>5495</v>
      </c>
      <c r="J272" s="1">
        <v>7044064498</v>
      </c>
      <c r="K272" s="1" t="s">
        <v>79</v>
      </c>
      <c r="L272" s="1" t="s">
        <v>5496</v>
      </c>
      <c r="M272" s="1" t="s">
        <v>81</v>
      </c>
      <c r="N272" s="1" t="s">
        <v>5497</v>
      </c>
      <c r="O272" s="1"/>
      <c r="P272" s="1" t="s">
        <v>1298</v>
      </c>
      <c r="Q272" s="1" t="s">
        <v>5498</v>
      </c>
      <c r="R272" s="1" t="s">
        <v>5499</v>
      </c>
      <c r="S272" s="1">
        <v>9830237334</v>
      </c>
      <c r="T272" s="1" t="s">
        <v>842</v>
      </c>
      <c r="U272" s="1" t="s">
        <v>5500</v>
      </c>
      <c r="V272" s="1">
        <v>7439245783</v>
      </c>
      <c r="W272" s="1" t="s">
        <v>156</v>
      </c>
      <c r="X272" s="1" t="s">
        <v>5501</v>
      </c>
      <c r="Y272" s="1" t="s">
        <v>4078</v>
      </c>
      <c r="Z272" s="1" t="s">
        <v>783</v>
      </c>
      <c r="AA272" s="1" t="s">
        <v>5501</v>
      </c>
      <c r="AB272" s="1" t="s">
        <v>4078</v>
      </c>
      <c r="AC272" s="1" t="s">
        <v>783</v>
      </c>
      <c r="AD272" s="1">
        <v>7.98</v>
      </c>
      <c r="AE272" s="1" t="s">
        <v>93</v>
      </c>
      <c r="AF272" s="1" t="s">
        <v>5502</v>
      </c>
      <c r="AG272" s="1" t="s">
        <v>5503</v>
      </c>
      <c r="AH272" s="1" t="s">
        <v>503</v>
      </c>
      <c r="AI272" s="1" t="s">
        <v>527</v>
      </c>
      <c r="AJ272" s="1">
        <v>92.4</v>
      </c>
      <c r="AK272" s="1"/>
      <c r="AL272" s="1" t="s">
        <v>5502</v>
      </c>
      <c r="AM272" s="1" t="s">
        <v>5503</v>
      </c>
      <c r="AN272" s="1" t="s">
        <v>279</v>
      </c>
      <c r="AO272" s="1" t="s">
        <v>166</v>
      </c>
      <c r="AP272" s="1">
        <v>82.75</v>
      </c>
      <c r="AQ272" s="1"/>
      <c r="AR272" s="1"/>
      <c r="AS272" s="1"/>
      <c r="AT272" s="1"/>
      <c r="AU272" s="1"/>
      <c r="AV272" s="1"/>
      <c r="AW272" s="1"/>
      <c r="AX272" s="1" t="s">
        <v>5504</v>
      </c>
      <c r="AY272" s="1" t="s">
        <v>5504</v>
      </c>
      <c r="AZ272" s="1" t="s">
        <v>636</v>
      </c>
      <c r="BA272" s="1" t="s">
        <v>682</v>
      </c>
      <c r="BB272" s="1">
        <v>80.8</v>
      </c>
      <c r="BC272" s="1"/>
      <c r="BD272" s="1"/>
      <c r="BE272" s="1"/>
      <c r="BF272" s="1"/>
      <c r="BG272" s="1"/>
      <c r="BH272" s="1"/>
      <c r="BI272" s="1"/>
      <c r="BJ272" s="1" t="s">
        <v>5505</v>
      </c>
      <c r="BK272" s="1" t="s">
        <v>5506</v>
      </c>
      <c r="BL272" s="1" t="s">
        <v>1289</v>
      </c>
      <c r="BM272" s="1" t="s">
        <v>5507</v>
      </c>
      <c r="BN272" s="1">
        <v>19</v>
      </c>
      <c r="BO272" s="1" t="s">
        <v>5508</v>
      </c>
      <c r="BP272" s="1" t="str">
        <f>HYPERLINK("https://nconnect.nicmar.ac.in/storage/profile/ProfilePhoto_P25700215_176495.jpg","Download")</f>
        <v>0</v>
      </c>
      <c r="BQ272" s="3"/>
      <c r="BR272" s="3"/>
    </row>
    <row r="273" spans="1:70">
      <c r="A273" s="1" t="s">
        <v>70</v>
      </c>
      <c r="B273" s="1" t="s">
        <v>1269</v>
      </c>
      <c r="C273" s="1" t="s">
        <v>5509</v>
      </c>
      <c r="D273" s="1" t="s">
        <v>5510</v>
      </c>
      <c r="E273" s="1"/>
      <c r="F273" s="1" t="s">
        <v>5511</v>
      </c>
      <c r="G273" s="1" t="s">
        <v>5512</v>
      </c>
      <c r="H273" s="1" t="s">
        <v>5513</v>
      </c>
      <c r="I273" s="1" t="s">
        <v>5514</v>
      </c>
      <c r="J273" s="1">
        <v>7249269448</v>
      </c>
      <c r="K273" s="1" t="s">
        <v>148</v>
      </c>
      <c r="L273" s="1" t="s">
        <v>5515</v>
      </c>
      <c r="M273" s="1" t="s">
        <v>81</v>
      </c>
      <c r="N273" s="1" t="s">
        <v>5516</v>
      </c>
      <c r="O273" s="1"/>
      <c r="P273" s="1" t="s">
        <v>1278</v>
      </c>
      <c r="Q273" s="1" t="s">
        <v>5517</v>
      </c>
      <c r="R273" s="1" t="s">
        <v>5518</v>
      </c>
      <c r="S273" s="1">
        <v>9922586983</v>
      </c>
      <c r="T273" s="1" t="s">
        <v>4566</v>
      </c>
      <c r="U273" s="1" t="s">
        <v>5519</v>
      </c>
      <c r="V273" s="1">
        <v>9422331475</v>
      </c>
      <c r="W273" s="1" t="s">
        <v>472</v>
      </c>
      <c r="X273" s="1" t="s">
        <v>5520</v>
      </c>
      <c r="Y273" s="1" t="s">
        <v>405</v>
      </c>
      <c r="Z273" s="1" t="s">
        <v>92</v>
      </c>
      <c r="AA273" s="1" t="s">
        <v>5520</v>
      </c>
      <c r="AB273" s="1" t="s">
        <v>405</v>
      </c>
      <c r="AC273" s="1" t="s">
        <v>92</v>
      </c>
      <c r="AD273" s="1" t="s">
        <v>93</v>
      </c>
      <c r="AE273" s="1" t="s">
        <v>93</v>
      </c>
      <c r="AF273" s="1" t="s">
        <v>5521</v>
      </c>
      <c r="AG273" s="1" t="s">
        <v>160</v>
      </c>
      <c r="AH273" s="1" t="s">
        <v>101</v>
      </c>
      <c r="AI273" s="1" t="s">
        <v>433</v>
      </c>
      <c r="AJ273" s="1">
        <v>77</v>
      </c>
      <c r="AK273" s="1"/>
      <c r="AL273" s="1"/>
      <c r="AM273" s="1"/>
      <c r="AN273" s="1"/>
      <c r="AO273" s="1"/>
      <c r="AP273" s="1"/>
      <c r="AQ273" s="1"/>
      <c r="AR273" s="1" t="s">
        <v>98</v>
      </c>
      <c r="AS273" s="1" t="s">
        <v>5522</v>
      </c>
      <c r="AT273" s="1" t="s">
        <v>310</v>
      </c>
      <c r="AU273" s="1" t="s">
        <v>105</v>
      </c>
      <c r="AV273" s="1">
        <v>81.7</v>
      </c>
      <c r="AW273" s="1"/>
      <c r="AX273" s="1" t="s">
        <v>5523</v>
      </c>
      <c r="AY273" s="1" t="s">
        <v>5524</v>
      </c>
      <c r="AZ273" s="1" t="s">
        <v>2690</v>
      </c>
      <c r="BA273" s="1" t="s">
        <v>1714</v>
      </c>
      <c r="BB273" s="1">
        <v>73.2</v>
      </c>
      <c r="BC273" s="1">
        <v>8.07</v>
      </c>
      <c r="BD273" s="1"/>
      <c r="BE273" s="1"/>
      <c r="BF273" s="1"/>
      <c r="BG273" s="1"/>
      <c r="BH273" s="1"/>
      <c r="BI273" s="1"/>
      <c r="BJ273" s="1" t="s">
        <v>5525</v>
      </c>
      <c r="BK273" s="1"/>
      <c r="BL273" s="1"/>
      <c r="BM273" s="1" t="s">
        <v>5526</v>
      </c>
      <c r="BN273" s="1">
        <v>25</v>
      </c>
      <c r="BO273" s="1"/>
      <c r="BP273" s="1" t="str">
        <f>HYPERLINK("https://nconnect.nicmar.ac.in/storage/profile/ProfilePhoto_P25700216_187954.jpg","Download")</f>
        <v>0</v>
      </c>
      <c r="BQ273" s="3"/>
      <c r="BR273" s="3"/>
    </row>
    <row r="274" spans="1:70">
      <c r="A274" s="1" t="s">
        <v>70</v>
      </c>
      <c r="B274" s="1" t="s">
        <v>1269</v>
      </c>
      <c r="C274" s="1" t="s">
        <v>5527</v>
      </c>
      <c r="D274" s="1" t="s">
        <v>5528</v>
      </c>
      <c r="E274" s="1"/>
      <c r="F274" s="1" t="s">
        <v>2655</v>
      </c>
      <c r="G274" s="1" t="s">
        <v>5529</v>
      </c>
      <c r="H274" s="1" t="s">
        <v>5530</v>
      </c>
      <c r="I274" s="1" t="s">
        <v>5531</v>
      </c>
      <c r="J274" s="1">
        <v>9886180610</v>
      </c>
      <c r="K274" s="1" t="s">
        <v>148</v>
      </c>
      <c r="L274" s="1" t="s">
        <v>5532</v>
      </c>
      <c r="M274" s="1" t="s">
        <v>81</v>
      </c>
      <c r="N274" s="1" t="s">
        <v>2046</v>
      </c>
      <c r="O274" s="1"/>
      <c r="P274" s="1" t="s">
        <v>1278</v>
      </c>
      <c r="Q274" s="1" t="s">
        <v>5533</v>
      </c>
      <c r="R274" s="1" t="s">
        <v>5534</v>
      </c>
      <c r="S274" s="1">
        <v>9986112113</v>
      </c>
      <c r="T274" s="1" t="s">
        <v>496</v>
      </c>
      <c r="U274" s="1" t="s">
        <v>5535</v>
      </c>
      <c r="V274" s="1">
        <v>9986040772</v>
      </c>
      <c r="W274" s="1" t="s">
        <v>1351</v>
      </c>
      <c r="X274" s="1" t="s">
        <v>5536</v>
      </c>
      <c r="Y274" s="1" t="s">
        <v>1083</v>
      </c>
      <c r="Z274" s="1" t="s">
        <v>1084</v>
      </c>
      <c r="AA274" s="1" t="s">
        <v>5536</v>
      </c>
      <c r="AB274" s="1" t="s">
        <v>1083</v>
      </c>
      <c r="AC274" s="1" t="s">
        <v>1084</v>
      </c>
      <c r="AD274" s="1">
        <v>9.13</v>
      </c>
      <c r="AE274" s="1" t="s">
        <v>93</v>
      </c>
      <c r="AF274" s="1" t="s">
        <v>5537</v>
      </c>
      <c r="AG274" s="1" t="s">
        <v>5538</v>
      </c>
      <c r="AH274" s="1" t="s">
        <v>2418</v>
      </c>
      <c r="AI274" s="1" t="s">
        <v>165</v>
      </c>
      <c r="AJ274" s="1">
        <v>87.4</v>
      </c>
      <c r="AK274" s="1">
        <v>9.2</v>
      </c>
      <c r="AL274" s="1" t="s">
        <v>5539</v>
      </c>
      <c r="AM274" s="1" t="s">
        <v>4511</v>
      </c>
      <c r="AN274" s="1" t="s">
        <v>165</v>
      </c>
      <c r="AO274" s="1" t="s">
        <v>1065</v>
      </c>
      <c r="AP274" s="1">
        <v>80.33</v>
      </c>
      <c r="AQ274" s="1">
        <v>0</v>
      </c>
      <c r="AR274" s="1"/>
      <c r="AS274" s="1"/>
      <c r="AT274" s="1"/>
      <c r="AU274" s="1"/>
      <c r="AV274" s="1"/>
      <c r="AW274" s="1"/>
      <c r="AX274" s="1" t="s">
        <v>1088</v>
      </c>
      <c r="AY274" s="1" t="s">
        <v>5540</v>
      </c>
      <c r="AZ274" s="1" t="s">
        <v>201</v>
      </c>
      <c r="BA274" s="1" t="s">
        <v>229</v>
      </c>
      <c r="BB274" s="1">
        <v>84.2</v>
      </c>
      <c r="BC274" s="1">
        <v>9.17</v>
      </c>
      <c r="BD274" s="1"/>
      <c r="BE274" s="1"/>
      <c r="BF274" s="1"/>
      <c r="BG274" s="1"/>
      <c r="BH274" s="1"/>
      <c r="BI274" s="1"/>
      <c r="BJ274" s="1" t="s">
        <v>5541</v>
      </c>
      <c r="BK274" s="1" t="s">
        <v>5542</v>
      </c>
      <c r="BL274" s="1" t="s">
        <v>4917</v>
      </c>
      <c r="BM274" s="1" t="s">
        <v>5543</v>
      </c>
      <c r="BN274" s="1">
        <v>12</v>
      </c>
      <c r="BO274" s="1"/>
      <c r="BP274" s="1" t="str">
        <f>HYPERLINK("https://nconnect.nicmar.ac.in/storage/profile/ProfilePhoto_P25700217_691537.jpg","Download")</f>
        <v>0</v>
      </c>
      <c r="BQ274" s="3"/>
      <c r="BR274" s="3"/>
    </row>
    <row r="275" spans="1:70">
      <c r="A275" s="1" t="s">
        <v>70</v>
      </c>
      <c r="B275" s="1" t="s">
        <v>1269</v>
      </c>
      <c r="C275" s="1" t="s">
        <v>5544</v>
      </c>
      <c r="D275" s="1" t="s">
        <v>5055</v>
      </c>
      <c r="E275" s="1" t="s">
        <v>5545</v>
      </c>
      <c r="F275" s="1" t="s">
        <v>2190</v>
      </c>
      <c r="G275" s="1" t="s">
        <v>5546</v>
      </c>
      <c r="H275" s="1" t="s">
        <v>5547</v>
      </c>
      <c r="I275" s="1" t="s">
        <v>5548</v>
      </c>
      <c r="J275" s="1">
        <v>9449388363</v>
      </c>
      <c r="K275" s="1" t="s">
        <v>79</v>
      </c>
      <c r="L275" s="1" t="s">
        <v>5549</v>
      </c>
      <c r="M275" s="1" t="s">
        <v>81</v>
      </c>
      <c r="N275" s="1" t="s">
        <v>5170</v>
      </c>
      <c r="O275" s="1"/>
      <c r="P275" s="1" t="s">
        <v>1278</v>
      </c>
      <c r="Q275" s="1" t="s">
        <v>5550</v>
      </c>
      <c r="R275" s="1" t="s">
        <v>5551</v>
      </c>
      <c r="S275" s="1">
        <v>9448039294</v>
      </c>
      <c r="T275" s="1" t="s">
        <v>87</v>
      </c>
      <c r="U275" s="1" t="s">
        <v>5552</v>
      </c>
      <c r="V275" s="1">
        <v>9449371589</v>
      </c>
      <c r="W275" s="1" t="s">
        <v>273</v>
      </c>
      <c r="X275" s="1" t="s">
        <v>5553</v>
      </c>
      <c r="Y275" s="1" t="s">
        <v>4838</v>
      </c>
      <c r="Z275" s="1" t="s">
        <v>1084</v>
      </c>
      <c r="AA275" s="1" t="s">
        <v>5553</v>
      </c>
      <c r="AB275" s="1" t="s">
        <v>4838</v>
      </c>
      <c r="AC275" s="1" t="s">
        <v>1084</v>
      </c>
      <c r="AD275" s="1">
        <v>7.98</v>
      </c>
      <c r="AE275" s="1" t="s">
        <v>93</v>
      </c>
      <c r="AF275" s="1" t="s">
        <v>5554</v>
      </c>
      <c r="AG275" s="1" t="s">
        <v>5555</v>
      </c>
      <c r="AH275" s="1" t="s">
        <v>479</v>
      </c>
      <c r="AI275" s="1" t="s">
        <v>166</v>
      </c>
      <c r="AJ275" s="1">
        <v>60.2</v>
      </c>
      <c r="AK275" s="1"/>
      <c r="AL275" s="1" t="s">
        <v>5556</v>
      </c>
      <c r="AM275" s="1" t="s">
        <v>5557</v>
      </c>
      <c r="AN275" s="1" t="s">
        <v>310</v>
      </c>
      <c r="AO275" s="1" t="s">
        <v>173</v>
      </c>
      <c r="AP275" s="1">
        <v>82.5</v>
      </c>
      <c r="AQ275" s="1"/>
      <c r="AR275" s="1"/>
      <c r="AS275" s="1"/>
      <c r="AT275" s="1"/>
      <c r="AU275" s="1"/>
      <c r="AV275" s="1"/>
      <c r="AW275" s="1"/>
      <c r="AX275" s="1" t="s">
        <v>5558</v>
      </c>
      <c r="AY275" s="1" t="s">
        <v>5559</v>
      </c>
      <c r="AZ275" s="1" t="s">
        <v>2461</v>
      </c>
      <c r="BA275" s="1" t="s">
        <v>1938</v>
      </c>
      <c r="BB275" s="1">
        <v>61.9</v>
      </c>
      <c r="BC275" s="1">
        <v>6.93</v>
      </c>
      <c r="BD275" s="1"/>
      <c r="BE275" s="1"/>
      <c r="BF275" s="1"/>
      <c r="BG275" s="1"/>
      <c r="BH275" s="1"/>
      <c r="BI275" s="1"/>
      <c r="BJ275" s="1" t="s">
        <v>364</v>
      </c>
      <c r="BK275" s="1" t="s">
        <v>5560</v>
      </c>
      <c r="BL275" s="1" t="s">
        <v>1289</v>
      </c>
      <c r="BM275" s="1" t="s">
        <v>5561</v>
      </c>
      <c r="BN275" s="1">
        <v>4</v>
      </c>
      <c r="BO275" s="1"/>
      <c r="BP275" s="1" t="str">
        <f>HYPERLINK("https://nconnect.nicmar.ac.in/storage/profile/ProfilePhoto_P25700218_745321.jpg","Download")</f>
        <v>0</v>
      </c>
      <c r="BQ275" s="3"/>
      <c r="BR275" s="3"/>
    </row>
    <row r="276" spans="1:70">
      <c r="A276" s="1" t="s">
        <v>70</v>
      </c>
      <c r="B276" s="1" t="s">
        <v>1269</v>
      </c>
      <c r="C276" s="1" t="s">
        <v>5562</v>
      </c>
      <c r="D276" s="1" t="s">
        <v>5563</v>
      </c>
      <c r="E276" s="1" t="s">
        <v>2287</v>
      </c>
      <c r="F276" s="1" t="s">
        <v>292</v>
      </c>
      <c r="G276" s="1" t="s">
        <v>5564</v>
      </c>
      <c r="H276" s="1" t="s">
        <v>5565</v>
      </c>
      <c r="I276" s="1" t="s">
        <v>5566</v>
      </c>
      <c r="J276" s="1">
        <v>8104723092</v>
      </c>
      <c r="K276" s="1" t="s">
        <v>79</v>
      </c>
      <c r="L276" s="1" t="s">
        <v>5567</v>
      </c>
      <c r="M276" s="1" t="s">
        <v>81</v>
      </c>
      <c r="N276" s="1" t="s">
        <v>2293</v>
      </c>
      <c r="O276" s="1"/>
      <c r="P276" s="1" t="s">
        <v>1323</v>
      </c>
      <c r="Q276" s="1" t="s">
        <v>5568</v>
      </c>
      <c r="R276" s="1" t="s">
        <v>5569</v>
      </c>
      <c r="S276" s="1">
        <v>9930730964</v>
      </c>
      <c r="T276" s="1" t="s">
        <v>120</v>
      </c>
      <c r="U276" s="1" t="s">
        <v>5570</v>
      </c>
      <c r="V276" s="1">
        <v>9769768556</v>
      </c>
      <c r="W276" s="1" t="s">
        <v>89</v>
      </c>
      <c r="X276" s="1" t="s">
        <v>5571</v>
      </c>
      <c r="Y276" s="1" t="s">
        <v>995</v>
      </c>
      <c r="Z276" s="1" t="s">
        <v>92</v>
      </c>
      <c r="AA276" s="1" t="s">
        <v>5572</v>
      </c>
      <c r="AB276" s="1" t="s">
        <v>1623</v>
      </c>
      <c r="AC276" s="1" t="s">
        <v>92</v>
      </c>
      <c r="AD276" s="1">
        <v>8.52</v>
      </c>
      <c r="AE276" s="1" t="s">
        <v>93</v>
      </c>
      <c r="AF276" s="1" t="s">
        <v>5573</v>
      </c>
      <c r="AG276" s="1" t="s">
        <v>160</v>
      </c>
      <c r="AH276" s="1" t="s">
        <v>101</v>
      </c>
      <c r="AI276" s="1" t="s">
        <v>409</v>
      </c>
      <c r="AJ276" s="1">
        <v>63.2</v>
      </c>
      <c r="AK276" s="1"/>
      <c r="AL276" s="1"/>
      <c r="AM276" s="1"/>
      <c r="AN276" s="1"/>
      <c r="AO276" s="1"/>
      <c r="AP276" s="1"/>
      <c r="AQ276" s="1"/>
      <c r="AR276" s="1" t="s">
        <v>434</v>
      </c>
      <c r="AS276" s="1" t="s">
        <v>5574</v>
      </c>
      <c r="AT276" s="1" t="s">
        <v>310</v>
      </c>
      <c r="AU276" s="1" t="s">
        <v>105</v>
      </c>
      <c r="AV276" s="1">
        <v>83.3</v>
      </c>
      <c r="AW276" s="1"/>
      <c r="AX276" s="1" t="s">
        <v>253</v>
      </c>
      <c r="AY276" s="1" t="s">
        <v>4440</v>
      </c>
      <c r="AZ276" s="1" t="s">
        <v>2690</v>
      </c>
      <c r="BA276" s="1" t="s">
        <v>1584</v>
      </c>
      <c r="BB276" s="1">
        <v>68</v>
      </c>
      <c r="BC276" s="1">
        <v>7.51</v>
      </c>
      <c r="BD276" s="1"/>
      <c r="BE276" s="1"/>
      <c r="BF276" s="1"/>
      <c r="BG276" s="1"/>
      <c r="BH276" s="1"/>
      <c r="BI276" s="1"/>
      <c r="BJ276" s="1" t="s">
        <v>364</v>
      </c>
      <c r="BK276" s="1"/>
      <c r="BL276" s="1"/>
      <c r="BM276" s="1" t="s">
        <v>5575</v>
      </c>
      <c r="BN276" s="1">
        <v>25</v>
      </c>
      <c r="BO276" s="1"/>
      <c r="BP276" s="1" t="str">
        <f>HYPERLINK("https://nconnect.nicmar.ac.in/storage/profile/ProfilePhoto_P25700219_247813.jpg","Download")</f>
        <v>0</v>
      </c>
      <c r="BQ276" s="3"/>
      <c r="BR276" s="3"/>
    </row>
    <row r="277" spans="1:70">
      <c r="A277" s="1" t="s">
        <v>70</v>
      </c>
      <c r="B277" s="1" t="s">
        <v>1269</v>
      </c>
      <c r="C277" s="1" t="s">
        <v>5576</v>
      </c>
      <c r="D277" s="1" t="s">
        <v>5577</v>
      </c>
      <c r="E277" s="1"/>
      <c r="F277" s="1" t="s">
        <v>5578</v>
      </c>
      <c r="G277" s="1" t="s">
        <v>5579</v>
      </c>
      <c r="H277" s="1" t="s">
        <v>5580</v>
      </c>
      <c r="I277" s="1" t="s">
        <v>5581</v>
      </c>
      <c r="J277" s="1">
        <v>9581678604</v>
      </c>
      <c r="K277" s="1" t="s">
        <v>79</v>
      </c>
      <c r="L277" s="1" t="s">
        <v>5582</v>
      </c>
      <c r="M277" s="1" t="s">
        <v>81</v>
      </c>
      <c r="N277" s="1" t="s">
        <v>5583</v>
      </c>
      <c r="O277" s="1"/>
      <c r="P277" s="1" t="s">
        <v>1323</v>
      </c>
      <c r="Q277" s="1" t="s">
        <v>5584</v>
      </c>
      <c r="R277" s="1" t="s">
        <v>5585</v>
      </c>
      <c r="S277" s="1">
        <v>9885118637</v>
      </c>
      <c r="T277" s="1" t="s">
        <v>5586</v>
      </c>
      <c r="U277" s="1" t="s">
        <v>5587</v>
      </c>
      <c r="V277" s="1">
        <v>7013775932</v>
      </c>
      <c r="W277" s="1" t="s">
        <v>156</v>
      </c>
      <c r="X277" s="1" t="s">
        <v>5588</v>
      </c>
      <c r="Y277" s="1" t="s">
        <v>1513</v>
      </c>
      <c r="Z277" s="1" t="s">
        <v>276</v>
      </c>
      <c r="AA277" s="1" t="s">
        <v>5588</v>
      </c>
      <c r="AB277" s="1" t="s">
        <v>1513</v>
      </c>
      <c r="AC277" s="1" t="s">
        <v>276</v>
      </c>
      <c r="AD277" s="1">
        <v>7.93</v>
      </c>
      <c r="AE277" s="1" t="s">
        <v>93</v>
      </c>
      <c r="AF277" s="1" t="s">
        <v>5589</v>
      </c>
      <c r="AG277" s="1" t="s">
        <v>5590</v>
      </c>
      <c r="AH277" s="1" t="s">
        <v>101</v>
      </c>
      <c r="AI277" s="1" t="s">
        <v>308</v>
      </c>
      <c r="AJ277" s="1">
        <v>95</v>
      </c>
      <c r="AK277" s="1">
        <v>9.5</v>
      </c>
      <c r="AL277" s="1" t="s">
        <v>612</v>
      </c>
      <c r="AM277" s="1" t="s">
        <v>5591</v>
      </c>
      <c r="AN277" s="1" t="s">
        <v>433</v>
      </c>
      <c r="AO277" s="1" t="s">
        <v>506</v>
      </c>
      <c r="AP277" s="1">
        <v>78.4</v>
      </c>
      <c r="AQ277" s="1">
        <v>7.84</v>
      </c>
      <c r="AR277" s="1"/>
      <c r="AS277" s="1"/>
      <c r="AT277" s="1"/>
      <c r="AU277" s="1"/>
      <c r="AV277" s="1"/>
      <c r="AW277" s="1"/>
      <c r="AX277" s="1" t="s">
        <v>1359</v>
      </c>
      <c r="AY277" s="1" t="s">
        <v>5592</v>
      </c>
      <c r="AZ277" s="1" t="s">
        <v>1051</v>
      </c>
      <c r="BA277" s="1" t="s">
        <v>1584</v>
      </c>
      <c r="BB277" s="1">
        <v>78.2</v>
      </c>
      <c r="BC277" s="1">
        <v>7.82</v>
      </c>
      <c r="BD277" s="1"/>
      <c r="BE277" s="1"/>
      <c r="BF277" s="1"/>
      <c r="BG277" s="1"/>
      <c r="BH277" s="1"/>
      <c r="BI277" s="1"/>
      <c r="BJ277" s="1" t="s">
        <v>364</v>
      </c>
      <c r="BK277" s="1"/>
      <c r="BL277" s="1"/>
      <c r="BM277" s="1" t="s">
        <v>5593</v>
      </c>
      <c r="BN277" s="1">
        <v>4</v>
      </c>
      <c r="BO277" s="1"/>
      <c r="BP277" s="1" t="str">
        <f>HYPERLINK("https://nconnect.nicmar.ac.in/storage/profile/ProfilePhoto_P25700220_175482.jpg","Download")</f>
        <v>0</v>
      </c>
      <c r="BQ277" s="3"/>
      <c r="BR277" s="3"/>
    </row>
    <row r="278" spans="1:70">
      <c r="A278" s="1" t="s">
        <v>70</v>
      </c>
      <c r="B278" s="1" t="s">
        <v>1269</v>
      </c>
      <c r="C278" s="1" t="s">
        <v>5594</v>
      </c>
      <c r="D278" s="1" t="s">
        <v>5595</v>
      </c>
      <c r="E278" s="1"/>
      <c r="F278" s="1" t="s">
        <v>1226</v>
      </c>
      <c r="G278" s="1" t="s">
        <v>5596</v>
      </c>
      <c r="H278" s="1" t="s">
        <v>5597</v>
      </c>
      <c r="I278" s="1" t="s">
        <v>5598</v>
      </c>
      <c r="J278" s="1">
        <v>7838679369</v>
      </c>
      <c r="K278" s="1" t="s">
        <v>79</v>
      </c>
      <c r="L278" s="1" t="s">
        <v>5599</v>
      </c>
      <c r="M278" s="1" t="s">
        <v>81</v>
      </c>
      <c r="N278" s="1" t="s">
        <v>493</v>
      </c>
      <c r="O278" s="1"/>
      <c r="P278" s="1" t="s">
        <v>1278</v>
      </c>
      <c r="Q278" s="1" t="s">
        <v>5600</v>
      </c>
      <c r="R278" s="1" t="s">
        <v>5601</v>
      </c>
      <c r="S278" s="1">
        <v>9717364227</v>
      </c>
      <c r="T278" s="1" t="s">
        <v>120</v>
      </c>
      <c r="U278" s="1" t="s">
        <v>5602</v>
      </c>
      <c r="V278" s="1">
        <v>9873513198</v>
      </c>
      <c r="W278" s="1" t="s">
        <v>651</v>
      </c>
      <c r="X278" s="1" t="s">
        <v>5603</v>
      </c>
      <c r="Y278" s="1" t="s">
        <v>1956</v>
      </c>
      <c r="Z278" s="1" t="s">
        <v>1355</v>
      </c>
      <c r="AA278" s="1" t="s">
        <v>5603</v>
      </c>
      <c r="AB278" s="1" t="s">
        <v>1956</v>
      </c>
      <c r="AC278" s="1" t="s">
        <v>1355</v>
      </c>
      <c r="AD278" s="1">
        <v>8.92</v>
      </c>
      <c r="AE278" s="1" t="s">
        <v>93</v>
      </c>
      <c r="AF278" s="1" t="s">
        <v>501</v>
      </c>
      <c r="AG278" s="1" t="s">
        <v>5604</v>
      </c>
      <c r="AH278" s="1" t="s">
        <v>279</v>
      </c>
      <c r="AI278" s="1" t="s">
        <v>165</v>
      </c>
      <c r="AJ278" s="1">
        <v>95</v>
      </c>
      <c r="AK278" s="1">
        <v>10</v>
      </c>
      <c r="AL278" s="1" t="s">
        <v>501</v>
      </c>
      <c r="AM278" s="1" t="s">
        <v>5604</v>
      </c>
      <c r="AN278" s="1" t="s">
        <v>1307</v>
      </c>
      <c r="AO278" s="1" t="s">
        <v>308</v>
      </c>
      <c r="AP278" s="1">
        <v>86.66</v>
      </c>
      <c r="AQ278" s="1"/>
      <c r="AR278" s="1"/>
      <c r="AS278" s="1"/>
      <c r="AT278" s="1"/>
      <c r="AU278" s="1"/>
      <c r="AV278" s="1"/>
      <c r="AW278" s="1"/>
      <c r="AX278" s="1" t="s">
        <v>5605</v>
      </c>
      <c r="AY278" s="1" t="s">
        <v>5606</v>
      </c>
      <c r="AZ278" s="1" t="s">
        <v>310</v>
      </c>
      <c r="BA278" s="1" t="s">
        <v>386</v>
      </c>
      <c r="BB278" s="1">
        <v>88.1</v>
      </c>
      <c r="BC278" s="1"/>
      <c r="BD278" s="1"/>
      <c r="BE278" s="1"/>
      <c r="BF278" s="1"/>
      <c r="BG278" s="1"/>
      <c r="BH278" s="1"/>
      <c r="BI278" s="1"/>
      <c r="BJ278" s="1" t="s">
        <v>2831</v>
      </c>
      <c r="BK278" s="1"/>
      <c r="BL278" s="1"/>
      <c r="BM278" s="1" t="s">
        <v>5607</v>
      </c>
      <c r="BN278" s="1">
        <v>41</v>
      </c>
      <c r="BO278" s="1" t="s">
        <v>5608</v>
      </c>
      <c r="BP278" s="1" t="str">
        <f>HYPERLINK("https://nconnect.nicmar.ac.in/storage/profile/ProfilePhoto_P25700222_137948.jpg","Download")</f>
        <v>0</v>
      </c>
      <c r="BQ278" s="3"/>
      <c r="BR278" s="3"/>
    </row>
    <row r="279" spans="1:70">
      <c r="A279" s="1" t="s">
        <v>70</v>
      </c>
      <c r="B279" s="1" t="s">
        <v>1269</v>
      </c>
      <c r="C279" s="1" t="s">
        <v>5609</v>
      </c>
      <c r="D279" s="1" t="s">
        <v>643</v>
      </c>
      <c r="E279" s="1" t="s">
        <v>5452</v>
      </c>
      <c r="F279" s="1" t="s">
        <v>5610</v>
      </c>
      <c r="G279" s="1" t="s">
        <v>5611</v>
      </c>
      <c r="H279" s="1" t="s">
        <v>5612</v>
      </c>
      <c r="I279" s="1" t="s">
        <v>5613</v>
      </c>
      <c r="J279" s="1">
        <v>8669887387</v>
      </c>
      <c r="K279" s="1" t="s">
        <v>79</v>
      </c>
      <c r="L279" s="1" t="s">
        <v>5614</v>
      </c>
      <c r="M279" s="1" t="s">
        <v>81</v>
      </c>
      <c r="N279" s="1" t="s">
        <v>4149</v>
      </c>
      <c r="O279" s="1"/>
      <c r="P279" s="1" t="s">
        <v>1278</v>
      </c>
      <c r="Q279" s="1" t="s">
        <v>5615</v>
      </c>
      <c r="R279" s="1" t="s">
        <v>5616</v>
      </c>
      <c r="S279" s="1">
        <v>8669887387</v>
      </c>
      <c r="T279" s="1" t="s">
        <v>5617</v>
      </c>
      <c r="U279" s="1" t="s">
        <v>5618</v>
      </c>
      <c r="V279" s="1">
        <v>7558383260</v>
      </c>
      <c r="W279" s="1" t="s">
        <v>156</v>
      </c>
      <c r="X279" s="1" t="s">
        <v>5619</v>
      </c>
      <c r="Y279" s="1" t="s">
        <v>523</v>
      </c>
      <c r="Z279" s="1" t="s">
        <v>92</v>
      </c>
      <c r="AA279" s="1" t="s">
        <v>5619</v>
      </c>
      <c r="AB279" s="1" t="s">
        <v>523</v>
      </c>
      <c r="AC279" s="1" t="s">
        <v>92</v>
      </c>
      <c r="AD279" s="1">
        <v>8.17</v>
      </c>
      <c r="AE279" s="1" t="s">
        <v>93</v>
      </c>
      <c r="AF279" s="1" t="s">
        <v>5620</v>
      </c>
      <c r="AG279" s="1" t="s">
        <v>160</v>
      </c>
      <c r="AH279" s="1" t="s">
        <v>96</v>
      </c>
      <c r="AI279" s="1" t="s">
        <v>97</v>
      </c>
      <c r="AJ279" s="1">
        <v>88.8</v>
      </c>
      <c r="AK279" s="1"/>
      <c r="AL279" s="1" t="s">
        <v>5621</v>
      </c>
      <c r="AM279" s="1" t="s">
        <v>160</v>
      </c>
      <c r="AN279" s="1" t="s">
        <v>162</v>
      </c>
      <c r="AO279" s="1" t="s">
        <v>1332</v>
      </c>
      <c r="AP279" s="1">
        <v>61.54</v>
      </c>
      <c r="AQ279" s="1"/>
      <c r="AR279" s="1"/>
      <c r="AS279" s="1"/>
      <c r="AT279" s="1"/>
      <c r="AU279" s="1"/>
      <c r="AV279" s="1"/>
      <c r="AW279" s="1"/>
      <c r="AX279" s="1" t="s">
        <v>361</v>
      </c>
      <c r="AY279" s="1" t="s">
        <v>5622</v>
      </c>
      <c r="AZ279" s="1" t="s">
        <v>165</v>
      </c>
      <c r="BA279" s="1" t="s">
        <v>174</v>
      </c>
      <c r="BB279" s="1">
        <v>71.21</v>
      </c>
      <c r="BC279" s="1">
        <v>7.8</v>
      </c>
      <c r="BD279" s="1"/>
      <c r="BE279" s="1"/>
      <c r="BF279" s="1"/>
      <c r="BG279" s="1"/>
      <c r="BH279" s="1"/>
      <c r="BI279" s="1"/>
      <c r="BJ279" s="1" t="s">
        <v>5623</v>
      </c>
      <c r="BK279" s="1" t="s">
        <v>5624</v>
      </c>
      <c r="BL279" s="1" t="s">
        <v>5625</v>
      </c>
      <c r="BM279" s="1" t="s">
        <v>5626</v>
      </c>
      <c r="BN279" s="1">
        <v>24</v>
      </c>
      <c r="BO279" s="1"/>
      <c r="BP279" s="1" t="str">
        <f>HYPERLINK("https://nconnect.nicmar.ac.in/storage/profile/ProfilePhoto_P25700223_327691.jpg","Download")</f>
        <v>0</v>
      </c>
      <c r="BQ279" s="3"/>
      <c r="BR279" s="3"/>
    </row>
    <row r="280" spans="1:70">
      <c r="A280" s="1" t="s">
        <v>70</v>
      </c>
      <c r="B280" s="1" t="s">
        <v>1269</v>
      </c>
      <c r="C280" s="1" t="s">
        <v>5627</v>
      </c>
      <c r="D280" s="1" t="s">
        <v>2692</v>
      </c>
      <c r="E280" s="1" t="s">
        <v>5628</v>
      </c>
      <c r="F280" s="1" t="s">
        <v>5629</v>
      </c>
      <c r="G280" s="1" t="s">
        <v>5630</v>
      </c>
      <c r="H280" s="1" t="s">
        <v>5631</v>
      </c>
      <c r="I280" s="1" t="s">
        <v>5632</v>
      </c>
      <c r="J280" s="1">
        <v>7020212917</v>
      </c>
      <c r="K280" s="1" t="s">
        <v>79</v>
      </c>
      <c r="L280" s="1" t="s">
        <v>5633</v>
      </c>
      <c r="M280" s="1" t="s">
        <v>81</v>
      </c>
      <c r="N280" s="1" t="s">
        <v>5634</v>
      </c>
      <c r="O280" s="1"/>
      <c r="P280" s="1" t="s">
        <v>1323</v>
      </c>
      <c r="Q280" s="1" t="s">
        <v>5635</v>
      </c>
      <c r="R280" s="1" t="s">
        <v>5636</v>
      </c>
      <c r="S280" s="1">
        <v>9860551989</v>
      </c>
      <c r="T280" s="1" t="s">
        <v>5637</v>
      </c>
      <c r="U280" s="1" t="s">
        <v>5638</v>
      </c>
      <c r="V280" s="1">
        <v>9860551989</v>
      </c>
      <c r="W280" s="1" t="s">
        <v>5639</v>
      </c>
      <c r="X280" s="1" t="s">
        <v>5640</v>
      </c>
      <c r="Y280" s="1" t="s">
        <v>191</v>
      </c>
      <c r="Z280" s="1" t="s">
        <v>92</v>
      </c>
      <c r="AA280" s="1" t="s">
        <v>5641</v>
      </c>
      <c r="AB280" s="1" t="s">
        <v>91</v>
      </c>
      <c r="AC280" s="1" t="s">
        <v>92</v>
      </c>
      <c r="AD280" s="1">
        <v>7.52</v>
      </c>
      <c r="AE280" s="1" t="s">
        <v>93</v>
      </c>
      <c r="AF280" s="1" t="s">
        <v>5642</v>
      </c>
      <c r="AG280" s="1" t="s">
        <v>160</v>
      </c>
      <c r="AH280" s="1" t="s">
        <v>97</v>
      </c>
      <c r="AI280" s="1" t="s">
        <v>456</v>
      </c>
      <c r="AJ280" s="1">
        <v>68.8</v>
      </c>
      <c r="AK280" s="1">
        <v>0</v>
      </c>
      <c r="AL280" s="1" t="s">
        <v>5643</v>
      </c>
      <c r="AM280" s="1" t="s">
        <v>3531</v>
      </c>
      <c r="AN280" s="1" t="s">
        <v>1332</v>
      </c>
      <c r="AO280" s="1" t="s">
        <v>457</v>
      </c>
      <c r="AP280" s="1">
        <v>80.46</v>
      </c>
      <c r="AQ280" s="1">
        <v>0</v>
      </c>
      <c r="AR280" s="1"/>
      <c r="AS280" s="1"/>
      <c r="AT280" s="1"/>
      <c r="AU280" s="1"/>
      <c r="AV280" s="1"/>
      <c r="AW280" s="1"/>
      <c r="AX280" s="1" t="s">
        <v>5644</v>
      </c>
      <c r="AY280" s="1" t="s">
        <v>5645</v>
      </c>
      <c r="AZ280" s="1" t="s">
        <v>101</v>
      </c>
      <c r="BA280" s="1" t="s">
        <v>105</v>
      </c>
      <c r="BB280" s="1">
        <v>80.8</v>
      </c>
      <c r="BC280" s="1">
        <v>8.58</v>
      </c>
      <c r="BD280" s="1"/>
      <c r="BE280" s="1"/>
      <c r="BF280" s="1"/>
      <c r="BG280" s="1"/>
      <c r="BH280" s="1"/>
      <c r="BI280" s="1"/>
      <c r="BJ280" s="1" t="s">
        <v>1383</v>
      </c>
      <c r="BK280" s="1"/>
      <c r="BL280" s="1"/>
      <c r="BM280" s="1" t="s">
        <v>5646</v>
      </c>
      <c r="BN280" s="1">
        <v>68</v>
      </c>
      <c r="BO280" s="1"/>
      <c r="BP280" s="1" t="str">
        <f>HYPERLINK("https://nconnect.nicmar.ac.in/storage/profile/ProfilePhoto_P25700224_261739.jpg","Download")</f>
        <v>0</v>
      </c>
      <c r="BQ280" s="3"/>
      <c r="BR280" s="3"/>
    </row>
    <row r="281" spans="1:70">
      <c r="A281" s="1" t="s">
        <v>70</v>
      </c>
      <c r="B281" s="1" t="s">
        <v>1269</v>
      </c>
      <c r="C281" s="1" t="s">
        <v>5647</v>
      </c>
      <c r="D281" s="1" t="s">
        <v>5648</v>
      </c>
      <c r="E281" s="1"/>
      <c r="F281" s="1" t="s">
        <v>2793</v>
      </c>
      <c r="G281" s="1" t="s">
        <v>5649</v>
      </c>
      <c r="H281" s="1" t="s">
        <v>5650</v>
      </c>
      <c r="I281" s="1" t="s">
        <v>5651</v>
      </c>
      <c r="J281" s="1">
        <v>7025870364</v>
      </c>
      <c r="K281" s="1" t="s">
        <v>148</v>
      </c>
      <c r="L281" s="1" t="s">
        <v>5652</v>
      </c>
      <c r="M281" s="1" t="s">
        <v>81</v>
      </c>
      <c r="N281" s="1" t="s">
        <v>5653</v>
      </c>
      <c r="O281" s="1"/>
      <c r="P281" s="1" t="s">
        <v>1323</v>
      </c>
      <c r="Q281" s="1" t="s">
        <v>5654</v>
      </c>
      <c r="R281" s="1" t="s">
        <v>5655</v>
      </c>
      <c r="S281" s="1">
        <v>9744453264</v>
      </c>
      <c r="T281" s="1" t="s">
        <v>5656</v>
      </c>
      <c r="U281" s="1" t="s">
        <v>5657</v>
      </c>
      <c r="V281" s="1">
        <v>9562979284</v>
      </c>
      <c r="W281" s="1" t="s">
        <v>273</v>
      </c>
      <c r="X281" s="1" t="s">
        <v>5658</v>
      </c>
      <c r="Y281" s="1" t="s">
        <v>5659</v>
      </c>
      <c r="Z281" s="1" t="s">
        <v>125</v>
      </c>
      <c r="AA281" s="1" t="s">
        <v>5658</v>
      </c>
      <c r="AB281" s="1" t="s">
        <v>5659</v>
      </c>
      <c r="AC281" s="1" t="s">
        <v>125</v>
      </c>
      <c r="AD281" s="1">
        <v>9.02</v>
      </c>
      <c r="AE281" s="1" t="s">
        <v>93</v>
      </c>
      <c r="AF281" s="1" t="s">
        <v>5660</v>
      </c>
      <c r="AG281" s="1" t="s">
        <v>5661</v>
      </c>
      <c r="AH281" s="1" t="s">
        <v>479</v>
      </c>
      <c r="AI281" s="1" t="s">
        <v>166</v>
      </c>
      <c r="AJ281" s="1">
        <v>90</v>
      </c>
      <c r="AK281" s="1">
        <v>0</v>
      </c>
      <c r="AL281" s="1" t="s">
        <v>5660</v>
      </c>
      <c r="AM281" s="1" t="s">
        <v>5661</v>
      </c>
      <c r="AN281" s="1" t="s">
        <v>308</v>
      </c>
      <c r="AO281" s="1" t="s">
        <v>173</v>
      </c>
      <c r="AP281" s="1">
        <v>93.92</v>
      </c>
      <c r="AQ281" s="1">
        <v>0</v>
      </c>
      <c r="AR281" s="1"/>
      <c r="AS281" s="1"/>
      <c r="AT281" s="1"/>
      <c r="AU281" s="1"/>
      <c r="AV281" s="1"/>
      <c r="AW281" s="1"/>
      <c r="AX281" s="1" t="s">
        <v>132</v>
      </c>
      <c r="AY281" s="1" t="s">
        <v>5662</v>
      </c>
      <c r="AZ281" s="1" t="s">
        <v>2461</v>
      </c>
      <c r="BA281" s="1" t="s">
        <v>202</v>
      </c>
      <c r="BB281" s="1">
        <v>90.8</v>
      </c>
      <c r="BC281" s="1">
        <v>9.08</v>
      </c>
      <c r="BD281" s="1"/>
      <c r="BE281" s="1"/>
      <c r="BF281" s="1"/>
      <c r="BG281" s="1"/>
      <c r="BH281" s="1"/>
      <c r="BI281" s="1"/>
      <c r="BJ281" s="1" t="s">
        <v>5663</v>
      </c>
      <c r="BK281" s="1" t="s">
        <v>5664</v>
      </c>
      <c r="BL281" s="1" t="s">
        <v>1919</v>
      </c>
      <c r="BM281" s="1" t="s">
        <v>5665</v>
      </c>
      <c r="BN281" s="1">
        <v>12</v>
      </c>
      <c r="BO281" s="1" t="s">
        <v>5666</v>
      </c>
      <c r="BP281" s="1" t="str">
        <f>HYPERLINK("https://nconnect.nicmar.ac.in/storage/profile/ProfilePhoto_P25700225_983512.jpg","Download")</f>
        <v>0</v>
      </c>
      <c r="BQ281" s="3"/>
      <c r="BR281" s="3"/>
    </row>
    <row r="282" spans="1:70">
      <c r="A282" s="1" t="s">
        <v>70</v>
      </c>
      <c r="B282" s="1" t="s">
        <v>1269</v>
      </c>
      <c r="C282" s="1" t="s">
        <v>5667</v>
      </c>
      <c r="D282" s="1" t="s">
        <v>834</v>
      </c>
      <c r="E282" s="1" t="s">
        <v>5668</v>
      </c>
      <c r="F282" s="1" t="s">
        <v>2150</v>
      </c>
      <c r="G282" s="1" t="s">
        <v>5669</v>
      </c>
      <c r="H282" s="1" t="s">
        <v>5670</v>
      </c>
      <c r="I282" s="1" t="s">
        <v>5671</v>
      </c>
      <c r="J282" s="1">
        <v>7004652048</v>
      </c>
      <c r="K282" s="1" t="s">
        <v>148</v>
      </c>
      <c r="L282" s="1" t="s">
        <v>5672</v>
      </c>
      <c r="M282" s="1" t="s">
        <v>81</v>
      </c>
      <c r="N282" s="1" t="s">
        <v>5040</v>
      </c>
      <c r="O282" s="1"/>
      <c r="P282" s="1" t="s">
        <v>1298</v>
      </c>
      <c r="Q282" s="1" t="s">
        <v>5673</v>
      </c>
      <c r="R282" s="1" t="s">
        <v>5674</v>
      </c>
      <c r="S282" s="1">
        <v>9386381598</v>
      </c>
      <c r="T282" s="1" t="s">
        <v>1398</v>
      </c>
      <c r="U282" s="1" t="s">
        <v>5675</v>
      </c>
      <c r="V282" s="1">
        <v>9835041874</v>
      </c>
      <c r="W282" s="1" t="s">
        <v>156</v>
      </c>
      <c r="X282" s="1" t="s">
        <v>5676</v>
      </c>
      <c r="Y282" s="1" t="s">
        <v>845</v>
      </c>
      <c r="Z282" s="1" t="s">
        <v>846</v>
      </c>
      <c r="AA282" s="1" t="s">
        <v>5676</v>
      </c>
      <c r="AB282" s="1" t="s">
        <v>845</v>
      </c>
      <c r="AC282" s="1" t="s">
        <v>846</v>
      </c>
      <c r="AD282" s="1">
        <v>8.31</v>
      </c>
      <c r="AE282" s="1" t="s">
        <v>93</v>
      </c>
      <c r="AF282" s="1" t="s">
        <v>5677</v>
      </c>
      <c r="AG282" s="1" t="s">
        <v>5678</v>
      </c>
      <c r="AH282" s="1" t="s">
        <v>4549</v>
      </c>
      <c r="AI282" s="1" t="s">
        <v>1197</v>
      </c>
      <c r="AJ282" s="1">
        <v>79.8</v>
      </c>
      <c r="AK282" s="1">
        <v>8.4</v>
      </c>
      <c r="AL282" s="1" t="s">
        <v>5679</v>
      </c>
      <c r="AM282" s="1" t="s">
        <v>5680</v>
      </c>
      <c r="AN282" s="1" t="s">
        <v>337</v>
      </c>
      <c r="AO282" s="1" t="s">
        <v>5681</v>
      </c>
      <c r="AP282" s="1">
        <v>75</v>
      </c>
      <c r="AQ282" s="1"/>
      <c r="AR282" s="1"/>
      <c r="AS282" s="1"/>
      <c r="AT282" s="1"/>
      <c r="AU282" s="1"/>
      <c r="AV282" s="1"/>
      <c r="AW282" s="1"/>
      <c r="AX282" s="1" t="s">
        <v>2078</v>
      </c>
      <c r="AY282" s="1" t="s">
        <v>5682</v>
      </c>
      <c r="AZ282" s="1" t="s">
        <v>383</v>
      </c>
      <c r="BA282" s="1" t="s">
        <v>506</v>
      </c>
      <c r="BB282" s="1">
        <v>78.5</v>
      </c>
      <c r="BC282" s="1">
        <v>8.6</v>
      </c>
      <c r="BD282" s="1"/>
      <c r="BE282" s="1"/>
      <c r="BF282" s="1"/>
      <c r="BG282" s="1"/>
      <c r="BH282" s="1"/>
      <c r="BI282" s="1"/>
      <c r="BJ282" s="1" t="s">
        <v>5683</v>
      </c>
      <c r="BK282" s="1" t="s">
        <v>5684</v>
      </c>
      <c r="BL282" s="1" t="s">
        <v>5685</v>
      </c>
      <c r="BM282" s="1" t="s">
        <v>5686</v>
      </c>
      <c r="BN282" s="1">
        <v>7</v>
      </c>
      <c r="BO282" s="1" t="s">
        <v>5687</v>
      </c>
      <c r="BP282" s="1" t="str">
        <f>HYPERLINK("https://nconnect.nicmar.ac.in/storage/profile/ProfilePhoto_P25700227_241753.jpg","Download")</f>
        <v>0</v>
      </c>
      <c r="BQ282" s="3"/>
      <c r="BR282" s="3"/>
    </row>
    <row r="283" spans="1:70">
      <c r="A283" s="1" t="s">
        <v>70</v>
      </c>
      <c r="B283" s="1" t="s">
        <v>1269</v>
      </c>
      <c r="C283" s="1" t="s">
        <v>5688</v>
      </c>
      <c r="D283" s="1" t="s">
        <v>5689</v>
      </c>
      <c r="E283" s="1"/>
      <c r="F283" s="1" t="s">
        <v>345</v>
      </c>
      <c r="G283" s="1" t="s">
        <v>5690</v>
      </c>
      <c r="H283" s="1" t="s">
        <v>5691</v>
      </c>
      <c r="I283" s="1" t="s">
        <v>5692</v>
      </c>
      <c r="J283" s="1">
        <v>6397491448</v>
      </c>
      <c r="K283" s="1" t="s">
        <v>79</v>
      </c>
      <c r="L283" s="1" t="s">
        <v>5693</v>
      </c>
      <c r="M283" s="1" t="s">
        <v>81</v>
      </c>
      <c r="N283" s="1" t="s">
        <v>5040</v>
      </c>
      <c r="O283" s="1"/>
      <c r="P283" s="1" t="s">
        <v>1323</v>
      </c>
      <c r="Q283" s="1" t="s">
        <v>5694</v>
      </c>
      <c r="R283" s="1" t="s">
        <v>5695</v>
      </c>
      <c r="S283" s="1">
        <v>6260257146</v>
      </c>
      <c r="T283" s="1" t="s">
        <v>863</v>
      </c>
      <c r="U283" s="1" t="s">
        <v>5696</v>
      </c>
      <c r="V283" s="1">
        <v>8218895451</v>
      </c>
      <c r="W283" s="1" t="s">
        <v>156</v>
      </c>
      <c r="X283" s="1" t="s">
        <v>5697</v>
      </c>
      <c r="Y283" s="1" t="s">
        <v>191</v>
      </c>
      <c r="Z283" s="1" t="s">
        <v>92</v>
      </c>
      <c r="AA283" s="1" t="s">
        <v>5698</v>
      </c>
      <c r="AB283" s="1" t="s">
        <v>5699</v>
      </c>
      <c r="AC283" s="1" t="s">
        <v>1355</v>
      </c>
      <c r="AD283" s="1">
        <v>9.0</v>
      </c>
      <c r="AE283" s="1" t="s">
        <v>93</v>
      </c>
      <c r="AF283" s="1" t="s">
        <v>5700</v>
      </c>
      <c r="AG283" s="1" t="s">
        <v>5701</v>
      </c>
      <c r="AH283" s="1" t="s">
        <v>97</v>
      </c>
      <c r="AI283" s="1" t="s">
        <v>527</v>
      </c>
      <c r="AJ283" s="1">
        <v>87.4</v>
      </c>
      <c r="AK283" s="1">
        <v>9.2</v>
      </c>
      <c r="AL283" s="1" t="s">
        <v>5700</v>
      </c>
      <c r="AM283" s="1" t="s">
        <v>5701</v>
      </c>
      <c r="AN283" s="1" t="s">
        <v>195</v>
      </c>
      <c r="AO283" s="1" t="s">
        <v>166</v>
      </c>
      <c r="AP283" s="1">
        <v>85.2</v>
      </c>
      <c r="AQ283" s="1"/>
      <c r="AR283" s="1"/>
      <c r="AS283" s="1"/>
      <c r="AT283" s="1"/>
      <c r="AU283" s="1"/>
      <c r="AV283" s="1"/>
      <c r="AW283" s="1"/>
      <c r="AX283" s="1" t="s">
        <v>5702</v>
      </c>
      <c r="AY283" s="1" t="s">
        <v>5703</v>
      </c>
      <c r="AZ283" s="1" t="s">
        <v>412</v>
      </c>
      <c r="BA283" s="1" t="s">
        <v>413</v>
      </c>
      <c r="BB283" s="1">
        <v>94.2</v>
      </c>
      <c r="BC283" s="1">
        <v>9.42</v>
      </c>
      <c r="BD283" s="1"/>
      <c r="BE283" s="1"/>
      <c r="BF283" s="1"/>
      <c r="BG283" s="1"/>
      <c r="BH283" s="1"/>
      <c r="BI283" s="1"/>
      <c r="BJ283" s="1" t="s">
        <v>1383</v>
      </c>
      <c r="BK283" s="1"/>
      <c r="BL283" s="1"/>
      <c r="BM283" s="1" t="s">
        <v>5704</v>
      </c>
      <c r="BN283" s="1">
        <v>12</v>
      </c>
      <c r="BO283" s="1"/>
      <c r="BP283" s="1" t="str">
        <f>HYPERLINK("https://nconnect.nicmar.ac.in/storage/profile/ProfilePhoto_P25700228_279168.jpg","Download")</f>
        <v>0</v>
      </c>
      <c r="BQ283" s="3"/>
      <c r="BR283" s="3"/>
    </row>
    <row r="284" spans="1:70">
      <c r="A284" s="1" t="s">
        <v>70</v>
      </c>
      <c r="B284" s="1" t="s">
        <v>1269</v>
      </c>
      <c r="C284" s="1" t="s">
        <v>5705</v>
      </c>
      <c r="D284" s="1" t="s">
        <v>2149</v>
      </c>
      <c r="E284" s="1" t="s">
        <v>756</v>
      </c>
      <c r="F284" s="1" t="s">
        <v>5706</v>
      </c>
      <c r="G284" s="1" t="s">
        <v>5707</v>
      </c>
      <c r="H284" s="1" t="s">
        <v>5708</v>
      </c>
      <c r="I284" s="1" t="s">
        <v>5709</v>
      </c>
      <c r="J284" s="1">
        <v>8850605554</v>
      </c>
      <c r="K284" s="1" t="s">
        <v>79</v>
      </c>
      <c r="L284" s="1" t="s">
        <v>5710</v>
      </c>
      <c r="M284" s="1" t="s">
        <v>81</v>
      </c>
      <c r="N284" s="1" t="s">
        <v>1986</v>
      </c>
      <c r="O284" s="1"/>
      <c r="P284" s="1" t="s">
        <v>1323</v>
      </c>
      <c r="Q284" s="1" t="s">
        <v>5711</v>
      </c>
      <c r="R284" s="1" t="s">
        <v>5712</v>
      </c>
      <c r="S284" s="1">
        <v>9969579719</v>
      </c>
      <c r="T284" s="1" t="s">
        <v>674</v>
      </c>
      <c r="U284" s="1" t="s">
        <v>5713</v>
      </c>
      <c r="V284" s="1">
        <v>9987624270</v>
      </c>
      <c r="W284" s="1" t="s">
        <v>976</v>
      </c>
      <c r="X284" s="1" t="s">
        <v>5714</v>
      </c>
      <c r="Y284" s="1" t="s">
        <v>1623</v>
      </c>
      <c r="Z284" s="1" t="s">
        <v>92</v>
      </c>
      <c r="AA284" s="1" t="s">
        <v>5715</v>
      </c>
      <c r="AB284" s="1" t="s">
        <v>1623</v>
      </c>
      <c r="AC284" s="1" t="s">
        <v>92</v>
      </c>
      <c r="AD284" s="1">
        <v>7.98</v>
      </c>
      <c r="AE284" s="1" t="s">
        <v>93</v>
      </c>
      <c r="AF284" s="1" t="s">
        <v>5716</v>
      </c>
      <c r="AG284" s="1" t="s">
        <v>5717</v>
      </c>
      <c r="AH284" s="1" t="s">
        <v>733</v>
      </c>
      <c r="AI284" s="1" t="s">
        <v>479</v>
      </c>
      <c r="AJ284" s="1">
        <v>76.6</v>
      </c>
      <c r="AK284" s="1">
        <v>0</v>
      </c>
      <c r="AL284" s="1" t="s">
        <v>5718</v>
      </c>
      <c r="AM284" s="1" t="s">
        <v>5717</v>
      </c>
      <c r="AN284" s="1" t="s">
        <v>383</v>
      </c>
      <c r="AO284" s="1" t="s">
        <v>198</v>
      </c>
      <c r="AP284" s="1">
        <v>61.38</v>
      </c>
      <c r="AQ284" s="1">
        <v>0</v>
      </c>
      <c r="AR284" s="1"/>
      <c r="AS284" s="1"/>
      <c r="AT284" s="1"/>
      <c r="AU284" s="1"/>
      <c r="AV284" s="1"/>
      <c r="AW284" s="1"/>
      <c r="AX284" s="1" t="s">
        <v>253</v>
      </c>
      <c r="AY284" s="1" t="s">
        <v>5719</v>
      </c>
      <c r="AZ284" s="1" t="s">
        <v>310</v>
      </c>
      <c r="BA284" s="1" t="s">
        <v>174</v>
      </c>
      <c r="BB284" s="1">
        <v>73.65</v>
      </c>
      <c r="BC284" s="1">
        <v>8.26</v>
      </c>
      <c r="BD284" s="1"/>
      <c r="BE284" s="1"/>
      <c r="BF284" s="1"/>
      <c r="BG284" s="1"/>
      <c r="BH284" s="1"/>
      <c r="BI284" s="1"/>
      <c r="BJ284" s="1" t="s">
        <v>5720</v>
      </c>
      <c r="BK284" s="1" t="s">
        <v>5721</v>
      </c>
      <c r="BL284" s="1" t="s">
        <v>1289</v>
      </c>
      <c r="BM284" s="1" t="s">
        <v>5722</v>
      </c>
      <c r="BN284" s="1">
        <v>16</v>
      </c>
      <c r="BO284" s="1" t="s">
        <v>5723</v>
      </c>
      <c r="BP284" s="1" t="str">
        <f>HYPERLINK("https://nconnect.nicmar.ac.in/storage/profile/ProfilePhoto_P25700229_187625.jpg","Download")</f>
        <v>0</v>
      </c>
      <c r="BQ284" s="3"/>
      <c r="BR284" s="3"/>
    </row>
    <row r="285" spans="1:70">
      <c r="A285" s="1" t="s">
        <v>70</v>
      </c>
      <c r="B285" s="1" t="s">
        <v>1269</v>
      </c>
      <c r="C285" s="1" t="s">
        <v>5724</v>
      </c>
      <c r="D285" s="1" t="s">
        <v>5725</v>
      </c>
      <c r="E285" s="1" t="s">
        <v>5726</v>
      </c>
      <c r="F285" s="1" t="s">
        <v>392</v>
      </c>
      <c r="G285" s="1" t="s">
        <v>5727</v>
      </c>
      <c r="H285" s="1" t="s">
        <v>5728</v>
      </c>
      <c r="I285" s="1" t="s">
        <v>5729</v>
      </c>
      <c r="J285" s="1">
        <v>8788178630</v>
      </c>
      <c r="K285" s="1" t="s">
        <v>148</v>
      </c>
      <c r="L285" s="1" t="s">
        <v>3982</v>
      </c>
      <c r="M285" s="1" t="s">
        <v>81</v>
      </c>
      <c r="N285" s="1" t="s">
        <v>5730</v>
      </c>
      <c r="O285" s="1"/>
      <c r="P285" s="1" t="s">
        <v>1298</v>
      </c>
      <c r="Q285" s="1" t="s">
        <v>5731</v>
      </c>
      <c r="R285" s="1" t="s">
        <v>5732</v>
      </c>
      <c r="S285" s="1">
        <v>9422375756</v>
      </c>
      <c r="T285" s="1" t="s">
        <v>4566</v>
      </c>
      <c r="U285" s="1" t="s">
        <v>5733</v>
      </c>
      <c r="V285" s="1">
        <v>9405429316</v>
      </c>
      <c r="W285" s="1" t="s">
        <v>156</v>
      </c>
      <c r="X285" s="1" t="s">
        <v>5734</v>
      </c>
      <c r="Y285" s="1" t="s">
        <v>191</v>
      </c>
      <c r="Z285" s="1" t="s">
        <v>92</v>
      </c>
      <c r="AA285" s="1" t="s">
        <v>5734</v>
      </c>
      <c r="AB285" s="1" t="s">
        <v>191</v>
      </c>
      <c r="AC285" s="1" t="s">
        <v>92</v>
      </c>
      <c r="AD285" s="1">
        <v>8.55</v>
      </c>
      <c r="AE285" s="1" t="s">
        <v>93</v>
      </c>
      <c r="AF285" s="1" t="s">
        <v>5735</v>
      </c>
      <c r="AG285" s="1" t="s">
        <v>3853</v>
      </c>
      <c r="AH285" s="1" t="s">
        <v>162</v>
      </c>
      <c r="AI285" s="1" t="s">
        <v>165</v>
      </c>
      <c r="AJ285" s="1">
        <v>88</v>
      </c>
      <c r="AK285" s="1"/>
      <c r="AL285" s="1" t="s">
        <v>5736</v>
      </c>
      <c r="AM285" s="1" t="s">
        <v>160</v>
      </c>
      <c r="AN285" s="1" t="s">
        <v>101</v>
      </c>
      <c r="AO285" s="1" t="s">
        <v>198</v>
      </c>
      <c r="AP285" s="1">
        <v>61.54</v>
      </c>
      <c r="AQ285" s="1"/>
      <c r="AR285" s="1"/>
      <c r="AS285" s="1"/>
      <c r="AT285" s="1"/>
      <c r="AU285" s="1"/>
      <c r="AV285" s="1"/>
      <c r="AW285" s="1"/>
      <c r="AX285" s="1" t="s">
        <v>361</v>
      </c>
      <c r="AY285" s="1" t="s">
        <v>5737</v>
      </c>
      <c r="AZ285" s="1" t="s">
        <v>201</v>
      </c>
      <c r="BA285" s="1" t="s">
        <v>174</v>
      </c>
      <c r="BB285" s="1">
        <v>86.26</v>
      </c>
      <c r="BC285" s="1"/>
      <c r="BD285" s="1"/>
      <c r="BE285" s="1"/>
      <c r="BF285" s="1"/>
      <c r="BG285" s="1"/>
      <c r="BH285" s="1"/>
      <c r="BI285" s="1"/>
      <c r="BJ285" s="1" t="s">
        <v>5738</v>
      </c>
      <c r="BK285" s="1" t="s">
        <v>5739</v>
      </c>
      <c r="BL285" s="1" t="s">
        <v>1543</v>
      </c>
      <c r="BM285" s="1" t="s">
        <v>5740</v>
      </c>
      <c r="BN285" s="1">
        <v>6</v>
      </c>
      <c r="BO285" s="1"/>
      <c r="BP285" s="1" t="str">
        <f>HYPERLINK("https://nconnect.nicmar.ac.in/storage/profile/ProfilePhoto_P25700230_398462.jpg","Download")</f>
        <v>0</v>
      </c>
      <c r="BQ285" s="3"/>
      <c r="BR285" s="3"/>
    </row>
    <row r="286" spans="1:70">
      <c r="A286" s="1" t="s">
        <v>70</v>
      </c>
      <c r="B286" s="1" t="s">
        <v>1269</v>
      </c>
      <c r="C286" s="1" t="s">
        <v>5741</v>
      </c>
      <c r="D286" s="1" t="s">
        <v>5742</v>
      </c>
      <c r="E286" s="1" t="s">
        <v>5743</v>
      </c>
      <c r="F286" s="1" t="s">
        <v>2674</v>
      </c>
      <c r="G286" s="1" t="s">
        <v>5744</v>
      </c>
      <c r="H286" s="1" t="s">
        <v>5745</v>
      </c>
      <c r="I286" s="1" t="s">
        <v>5746</v>
      </c>
      <c r="J286" s="1">
        <v>8766581679</v>
      </c>
      <c r="K286" s="1" t="s">
        <v>79</v>
      </c>
      <c r="L286" s="1" t="s">
        <v>5747</v>
      </c>
      <c r="M286" s="1" t="s">
        <v>81</v>
      </c>
      <c r="N286" s="1" t="s">
        <v>1765</v>
      </c>
      <c r="O286" s="1"/>
      <c r="P286" s="1" t="s">
        <v>1298</v>
      </c>
      <c r="Q286" s="1" t="s">
        <v>5748</v>
      </c>
      <c r="R286" s="1" t="s">
        <v>5743</v>
      </c>
      <c r="S286" s="1">
        <v>8888554858</v>
      </c>
      <c r="T286" s="1" t="s">
        <v>154</v>
      </c>
      <c r="U286" s="1" t="s">
        <v>5749</v>
      </c>
      <c r="V286" s="1">
        <v>9765895729</v>
      </c>
      <c r="W286" s="1" t="s">
        <v>156</v>
      </c>
      <c r="X286" s="1" t="s">
        <v>5750</v>
      </c>
      <c r="Y286" s="1" t="s">
        <v>429</v>
      </c>
      <c r="Z286" s="1" t="s">
        <v>92</v>
      </c>
      <c r="AA286" s="1" t="s">
        <v>5750</v>
      </c>
      <c r="AB286" s="1" t="s">
        <v>429</v>
      </c>
      <c r="AC286" s="1" t="s">
        <v>92</v>
      </c>
      <c r="AD286" s="1">
        <v>7.47</v>
      </c>
      <c r="AE286" s="1" t="s">
        <v>93</v>
      </c>
      <c r="AF286" s="1" t="s">
        <v>5751</v>
      </c>
      <c r="AG286" s="1" t="s">
        <v>544</v>
      </c>
      <c r="AH286" s="1" t="s">
        <v>733</v>
      </c>
      <c r="AI286" s="1" t="s">
        <v>101</v>
      </c>
      <c r="AJ286" s="1">
        <v>76.2</v>
      </c>
      <c r="AK286" s="1"/>
      <c r="AL286" s="1" t="s">
        <v>5752</v>
      </c>
      <c r="AM286" s="1" t="s">
        <v>544</v>
      </c>
      <c r="AN286" s="1" t="s">
        <v>169</v>
      </c>
      <c r="AO286" s="1" t="s">
        <v>173</v>
      </c>
      <c r="AP286" s="1">
        <v>66.92</v>
      </c>
      <c r="AQ286" s="1"/>
      <c r="AR286" s="1"/>
      <c r="AS286" s="1"/>
      <c r="AT286" s="1"/>
      <c r="AU286" s="1"/>
      <c r="AV286" s="1"/>
      <c r="AW286" s="1"/>
      <c r="AX286" s="1" t="s">
        <v>5753</v>
      </c>
      <c r="AY286" s="1" t="s">
        <v>5754</v>
      </c>
      <c r="AZ286" s="1" t="s">
        <v>699</v>
      </c>
      <c r="BA286" s="1" t="s">
        <v>202</v>
      </c>
      <c r="BB286" s="1">
        <v>68.5</v>
      </c>
      <c r="BC286" s="1">
        <v>7.6</v>
      </c>
      <c r="BD286" s="1"/>
      <c r="BE286" s="1"/>
      <c r="BF286" s="1"/>
      <c r="BG286" s="1"/>
      <c r="BH286" s="1"/>
      <c r="BI286" s="1"/>
      <c r="BJ286" s="1" t="s">
        <v>5755</v>
      </c>
      <c r="BK286" s="1"/>
      <c r="BL286" s="1"/>
      <c r="BM286" s="1" t="s">
        <v>5756</v>
      </c>
      <c r="BN286" s="1">
        <v>3</v>
      </c>
      <c r="BO286" s="1"/>
      <c r="BP286" s="1" t="str">
        <f>HYPERLINK("https://nconnect.nicmar.ac.in/storage/profile/ProfilePhoto_P25700231_485793.jpg","Download")</f>
        <v>0</v>
      </c>
      <c r="BQ286" s="3"/>
      <c r="BR286" s="3"/>
    </row>
    <row r="287" spans="1:70">
      <c r="A287" s="1" t="s">
        <v>70</v>
      </c>
      <c r="B287" s="1" t="s">
        <v>1269</v>
      </c>
      <c r="C287" s="1" t="s">
        <v>5757</v>
      </c>
      <c r="D287" s="1" t="s">
        <v>443</v>
      </c>
      <c r="E287" s="1" t="s">
        <v>234</v>
      </c>
      <c r="F287" s="1" t="s">
        <v>5758</v>
      </c>
      <c r="G287" s="1" t="s">
        <v>5759</v>
      </c>
      <c r="H287" s="1" t="s">
        <v>5760</v>
      </c>
      <c r="I287" s="1" t="s">
        <v>5761</v>
      </c>
      <c r="J287" s="1">
        <v>8830849218</v>
      </c>
      <c r="K287" s="1" t="s">
        <v>79</v>
      </c>
      <c r="L287" s="1" t="s">
        <v>5762</v>
      </c>
      <c r="M287" s="1" t="s">
        <v>81</v>
      </c>
      <c r="N287" s="1" t="s">
        <v>5763</v>
      </c>
      <c r="O287" s="1"/>
      <c r="P287" s="1"/>
      <c r="Q287" s="1" t="s">
        <v>5764</v>
      </c>
      <c r="R287" s="1" t="s">
        <v>234</v>
      </c>
      <c r="S287" s="1">
        <v>9881246806</v>
      </c>
      <c r="T287" s="1" t="s">
        <v>1256</v>
      </c>
      <c r="U287" s="1" t="s">
        <v>5765</v>
      </c>
      <c r="V287" s="1">
        <v>9823724184</v>
      </c>
      <c r="W287" s="1" t="s">
        <v>122</v>
      </c>
      <c r="X287" s="1" t="s">
        <v>5766</v>
      </c>
      <c r="Y287" s="1" t="s">
        <v>5767</v>
      </c>
      <c r="Z287" s="1" t="s">
        <v>92</v>
      </c>
      <c r="AA287" s="1" t="s">
        <v>5766</v>
      </c>
      <c r="AB287" s="1" t="s">
        <v>5767</v>
      </c>
      <c r="AC287" s="1" t="s">
        <v>92</v>
      </c>
      <c r="AD287" s="1">
        <v>7.72</v>
      </c>
      <c r="AE287" s="1" t="s">
        <v>93</v>
      </c>
      <c r="AF287" s="1" t="s">
        <v>5768</v>
      </c>
      <c r="AG287" s="1" t="s">
        <v>5769</v>
      </c>
      <c r="AH287" s="1" t="s">
        <v>678</v>
      </c>
      <c r="AI287" s="1" t="s">
        <v>281</v>
      </c>
      <c r="AJ287" s="1">
        <v>87.2</v>
      </c>
      <c r="AK287" s="1"/>
      <c r="AL287" s="1" t="s">
        <v>5770</v>
      </c>
      <c r="AM287" s="1" t="s">
        <v>5769</v>
      </c>
      <c r="AN287" s="1" t="s">
        <v>409</v>
      </c>
      <c r="AO287" s="1" t="s">
        <v>360</v>
      </c>
      <c r="AP287" s="1">
        <v>66.15</v>
      </c>
      <c r="AQ287" s="1"/>
      <c r="AR287" s="1"/>
      <c r="AS287" s="1"/>
      <c r="AT287" s="1"/>
      <c r="AU287" s="1"/>
      <c r="AV287" s="1"/>
      <c r="AW287" s="1"/>
      <c r="AX287" s="1" t="s">
        <v>5771</v>
      </c>
      <c r="AY287" s="1" t="s">
        <v>5772</v>
      </c>
      <c r="AZ287" s="1" t="s">
        <v>920</v>
      </c>
      <c r="BA287" s="1" t="s">
        <v>202</v>
      </c>
      <c r="BB287" s="1">
        <v>72.1</v>
      </c>
      <c r="BC287" s="1">
        <v>7.96</v>
      </c>
      <c r="BD287" s="1"/>
      <c r="BE287" s="1"/>
      <c r="BF287" s="1"/>
      <c r="BG287" s="1"/>
      <c r="BH287" s="1"/>
      <c r="BI287" s="1"/>
      <c r="BJ287" s="1" t="s">
        <v>5773</v>
      </c>
      <c r="BK287" s="1" t="s">
        <v>5774</v>
      </c>
      <c r="BL287" s="1" t="s">
        <v>1895</v>
      </c>
      <c r="BM287" s="1" t="s">
        <v>5775</v>
      </c>
      <c r="BN287" s="1">
        <v>12</v>
      </c>
      <c r="BO287" s="1" t="s">
        <v>5776</v>
      </c>
      <c r="BP287" s="1" t="str">
        <f>HYPERLINK("https://nconnect.nicmar.ac.in/storage/profile/ProfilePhoto_P25700232_974861.jpg","Download")</f>
        <v>0</v>
      </c>
      <c r="BQ287" s="3"/>
      <c r="BR287" s="3"/>
    </row>
    <row r="288" spans="1:70">
      <c r="A288" s="1" t="s">
        <v>70</v>
      </c>
      <c r="B288" s="1" t="s">
        <v>1269</v>
      </c>
      <c r="C288" s="1" t="s">
        <v>5777</v>
      </c>
      <c r="D288" s="1" t="s">
        <v>5778</v>
      </c>
      <c r="E288" s="1" t="s">
        <v>5092</v>
      </c>
      <c r="F288" s="1" t="s">
        <v>236</v>
      </c>
      <c r="G288" s="1" t="s">
        <v>5779</v>
      </c>
      <c r="H288" s="1" t="s">
        <v>5780</v>
      </c>
      <c r="I288" s="1" t="s">
        <v>5781</v>
      </c>
      <c r="J288" s="1">
        <v>8446882321</v>
      </c>
      <c r="K288" s="1" t="s">
        <v>148</v>
      </c>
      <c r="L288" s="1" t="s">
        <v>5782</v>
      </c>
      <c r="M288" s="1" t="s">
        <v>81</v>
      </c>
      <c r="N288" s="1" t="s">
        <v>2008</v>
      </c>
      <c r="O288" s="1"/>
      <c r="P288" s="1" t="s">
        <v>1323</v>
      </c>
      <c r="Q288" s="1" t="s">
        <v>5783</v>
      </c>
      <c r="R288" s="1" t="s">
        <v>5784</v>
      </c>
      <c r="S288" s="1">
        <v>9423582073</v>
      </c>
      <c r="T288" s="1" t="s">
        <v>5785</v>
      </c>
      <c r="U288" s="1" t="s">
        <v>5786</v>
      </c>
      <c r="V288" s="1">
        <v>7378642004</v>
      </c>
      <c r="W288" s="1" t="s">
        <v>156</v>
      </c>
      <c r="X288" s="1" t="s">
        <v>5787</v>
      </c>
      <c r="Y288" s="1" t="s">
        <v>191</v>
      </c>
      <c r="Z288" s="1" t="s">
        <v>92</v>
      </c>
      <c r="AA288" s="1" t="s">
        <v>5787</v>
      </c>
      <c r="AB288" s="1" t="s">
        <v>191</v>
      </c>
      <c r="AC288" s="1" t="s">
        <v>92</v>
      </c>
      <c r="AD288" s="1">
        <v>7.72</v>
      </c>
      <c r="AE288" s="1" t="s">
        <v>93</v>
      </c>
      <c r="AF288" s="1" t="s">
        <v>5788</v>
      </c>
      <c r="AG288" s="1" t="s">
        <v>894</v>
      </c>
      <c r="AH288" s="1" t="s">
        <v>162</v>
      </c>
      <c r="AI288" s="1" t="s">
        <v>165</v>
      </c>
      <c r="AJ288" s="1">
        <v>77.9</v>
      </c>
      <c r="AK288" s="1">
        <v>8.2</v>
      </c>
      <c r="AL288" s="1"/>
      <c r="AM288" s="1"/>
      <c r="AN288" s="1"/>
      <c r="AO288" s="1"/>
      <c r="AP288" s="1"/>
      <c r="AQ288" s="1"/>
      <c r="AR288" s="1" t="s">
        <v>98</v>
      </c>
      <c r="AS288" s="1" t="s">
        <v>5789</v>
      </c>
      <c r="AT288" s="1" t="s">
        <v>225</v>
      </c>
      <c r="AU288" s="1" t="s">
        <v>170</v>
      </c>
      <c r="AV288" s="1">
        <v>87.79</v>
      </c>
      <c r="AW288" s="1"/>
      <c r="AX288" s="1" t="s">
        <v>361</v>
      </c>
      <c r="AY288" s="1" t="s">
        <v>5790</v>
      </c>
      <c r="AZ288" s="1" t="s">
        <v>363</v>
      </c>
      <c r="BA288" s="1" t="s">
        <v>1714</v>
      </c>
      <c r="BB288" s="1">
        <v>68.7</v>
      </c>
      <c r="BC288" s="1">
        <v>7.72</v>
      </c>
      <c r="BD288" s="1"/>
      <c r="BE288" s="1"/>
      <c r="BF288" s="1"/>
      <c r="BG288" s="1"/>
      <c r="BH288" s="1"/>
      <c r="BI288" s="1"/>
      <c r="BJ288" s="1" t="s">
        <v>5791</v>
      </c>
      <c r="BK288" s="1"/>
      <c r="BL288" s="1"/>
      <c r="BM288" s="1" t="s">
        <v>5792</v>
      </c>
      <c r="BN288" s="1">
        <v>31</v>
      </c>
      <c r="BO288" s="1"/>
      <c r="BP288" s="1" t="str">
        <f>HYPERLINK("https://nconnect.nicmar.ac.in/storage/profile/ProfilePhoto_P25700233_537914.jpg","Download")</f>
        <v>0</v>
      </c>
      <c r="BQ288" s="3"/>
      <c r="BR288" s="3"/>
    </row>
    <row r="289" spans="1:70">
      <c r="A289" s="1" t="s">
        <v>70</v>
      </c>
      <c r="B289" s="1" t="s">
        <v>1269</v>
      </c>
      <c r="C289" s="1" t="s">
        <v>5793</v>
      </c>
      <c r="D289" s="1" t="s">
        <v>5794</v>
      </c>
      <c r="E289" s="1"/>
      <c r="F289" s="1" t="s">
        <v>2208</v>
      </c>
      <c r="G289" s="1" t="s">
        <v>5795</v>
      </c>
      <c r="H289" s="1" t="s">
        <v>5796</v>
      </c>
      <c r="I289" s="1" t="s">
        <v>5797</v>
      </c>
      <c r="J289" s="1">
        <v>9967051993</v>
      </c>
      <c r="K289" s="1" t="s">
        <v>79</v>
      </c>
      <c r="L289" s="1" t="s">
        <v>5798</v>
      </c>
      <c r="M289" s="1" t="s">
        <v>81</v>
      </c>
      <c r="N289" s="1" t="s">
        <v>350</v>
      </c>
      <c r="O289" s="1"/>
      <c r="P289" s="1" t="s">
        <v>1298</v>
      </c>
      <c r="Q289" s="1" t="s">
        <v>5799</v>
      </c>
      <c r="R289" s="1" t="s">
        <v>5800</v>
      </c>
      <c r="S289" s="1">
        <v>9819004104</v>
      </c>
      <c r="T289" s="1" t="s">
        <v>863</v>
      </c>
      <c r="U289" s="1" t="s">
        <v>5801</v>
      </c>
      <c r="V289" s="1">
        <v>8850137183</v>
      </c>
      <c r="W289" s="1" t="s">
        <v>5802</v>
      </c>
      <c r="X289" s="1" t="s">
        <v>5803</v>
      </c>
      <c r="Y289" s="1" t="s">
        <v>1623</v>
      </c>
      <c r="Z289" s="1" t="s">
        <v>92</v>
      </c>
      <c r="AA289" s="1" t="s">
        <v>5803</v>
      </c>
      <c r="AB289" s="1" t="s">
        <v>1623</v>
      </c>
      <c r="AC289" s="1" t="s">
        <v>92</v>
      </c>
      <c r="AD289" s="1">
        <v>7.9</v>
      </c>
      <c r="AE289" s="1" t="s">
        <v>93</v>
      </c>
      <c r="AF289" s="1" t="s">
        <v>5804</v>
      </c>
      <c r="AG289" s="1" t="s">
        <v>5805</v>
      </c>
      <c r="AH289" s="1" t="s">
        <v>195</v>
      </c>
      <c r="AI289" s="1" t="s">
        <v>281</v>
      </c>
      <c r="AJ289" s="1">
        <v>87.8</v>
      </c>
      <c r="AK289" s="1"/>
      <c r="AL289" s="1" t="s">
        <v>5806</v>
      </c>
      <c r="AM289" s="1" t="s">
        <v>5805</v>
      </c>
      <c r="AN289" s="1" t="s">
        <v>198</v>
      </c>
      <c r="AO289" s="1" t="s">
        <v>360</v>
      </c>
      <c r="AP289" s="1">
        <v>63.23</v>
      </c>
      <c r="AQ289" s="1"/>
      <c r="AR289" s="1"/>
      <c r="AS289" s="1"/>
      <c r="AT289" s="1"/>
      <c r="AU289" s="1"/>
      <c r="AV289" s="1"/>
      <c r="AW289" s="1"/>
      <c r="AX289" s="1" t="s">
        <v>253</v>
      </c>
      <c r="AY289" s="1" t="s">
        <v>3046</v>
      </c>
      <c r="AZ289" s="1" t="s">
        <v>228</v>
      </c>
      <c r="BA289" s="1" t="s">
        <v>1977</v>
      </c>
      <c r="BB289" s="1">
        <v>69.42</v>
      </c>
      <c r="BC289" s="1"/>
      <c r="BD289" s="1"/>
      <c r="BE289" s="1"/>
      <c r="BF289" s="1"/>
      <c r="BG289" s="1"/>
      <c r="BH289" s="1"/>
      <c r="BI289" s="1"/>
      <c r="BJ289" s="1" t="s">
        <v>364</v>
      </c>
      <c r="BK289" s="1"/>
      <c r="BL289" s="1"/>
      <c r="BM289" s="1" t="s">
        <v>5807</v>
      </c>
      <c r="BN289" s="1">
        <v>13</v>
      </c>
      <c r="BO289" s="1" t="s">
        <v>5808</v>
      </c>
      <c r="BP289" s="1" t="str">
        <f>HYPERLINK("https://nconnect.nicmar.ac.in/storage/profile/ProfilePhoto_P25700234_527634.jpg","Download")</f>
        <v>0</v>
      </c>
      <c r="BQ289" s="3"/>
      <c r="BR289" s="3"/>
    </row>
    <row r="290" spans="1:70">
      <c r="A290" s="1" t="s">
        <v>70</v>
      </c>
      <c r="B290" s="1" t="s">
        <v>1269</v>
      </c>
      <c r="C290" s="1" t="s">
        <v>5809</v>
      </c>
      <c r="D290" s="1" t="s">
        <v>1138</v>
      </c>
      <c r="E290" s="1" t="s">
        <v>5810</v>
      </c>
      <c r="F290" s="1" t="s">
        <v>4445</v>
      </c>
      <c r="G290" s="1" t="s">
        <v>5811</v>
      </c>
      <c r="H290" s="1" t="s">
        <v>5812</v>
      </c>
      <c r="I290" s="1" t="s">
        <v>5813</v>
      </c>
      <c r="J290" s="1">
        <v>8379979968</v>
      </c>
      <c r="K290" s="1" t="s">
        <v>79</v>
      </c>
      <c r="L290" s="1" t="s">
        <v>5814</v>
      </c>
      <c r="M290" s="1" t="s">
        <v>81</v>
      </c>
      <c r="N290" s="1" t="s">
        <v>2293</v>
      </c>
      <c r="O290" s="1"/>
      <c r="P290" s="1" t="s">
        <v>2505</v>
      </c>
      <c r="Q290" s="1" t="s">
        <v>5815</v>
      </c>
      <c r="R290" s="1" t="s">
        <v>5810</v>
      </c>
      <c r="S290" s="1">
        <v>8806122124</v>
      </c>
      <c r="T290" s="1" t="s">
        <v>154</v>
      </c>
      <c r="U290" s="1" t="s">
        <v>5816</v>
      </c>
      <c r="V290" s="1">
        <v>9579218689</v>
      </c>
      <c r="W290" s="1" t="s">
        <v>273</v>
      </c>
      <c r="X290" s="1" t="s">
        <v>5817</v>
      </c>
      <c r="Y290" s="1" t="s">
        <v>191</v>
      </c>
      <c r="Z290" s="1" t="s">
        <v>92</v>
      </c>
      <c r="AA290" s="1" t="s">
        <v>5818</v>
      </c>
      <c r="AB290" s="1" t="s">
        <v>5819</v>
      </c>
      <c r="AC290" s="1" t="s">
        <v>92</v>
      </c>
      <c r="AD290" s="1">
        <v>7.36</v>
      </c>
      <c r="AE290" s="1" t="s">
        <v>93</v>
      </c>
      <c r="AF290" s="1" t="s">
        <v>5820</v>
      </c>
      <c r="AG290" s="1" t="s">
        <v>5821</v>
      </c>
      <c r="AH290" s="1" t="s">
        <v>733</v>
      </c>
      <c r="AI290" s="1" t="s">
        <v>195</v>
      </c>
      <c r="AJ290" s="1">
        <v>76.8</v>
      </c>
      <c r="AK290" s="1"/>
      <c r="AL290" s="1" t="s">
        <v>5822</v>
      </c>
      <c r="AM290" s="1" t="s">
        <v>5821</v>
      </c>
      <c r="AN290" s="1" t="s">
        <v>169</v>
      </c>
      <c r="AO290" s="1" t="s">
        <v>198</v>
      </c>
      <c r="AP290" s="1">
        <v>60.77</v>
      </c>
      <c r="AQ290" s="1"/>
      <c r="AR290" s="1"/>
      <c r="AS290" s="1"/>
      <c r="AT290" s="1"/>
      <c r="AU290" s="1"/>
      <c r="AV290" s="1"/>
      <c r="AW290" s="1"/>
      <c r="AX290" s="1" t="s">
        <v>361</v>
      </c>
      <c r="AY290" s="1" t="s">
        <v>5823</v>
      </c>
      <c r="AZ290" s="1" t="s">
        <v>310</v>
      </c>
      <c r="BA290" s="1" t="s">
        <v>590</v>
      </c>
      <c r="BB290" s="1">
        <v>66.31</v>
      </c>
      <c r="BC290" s="1">
        <v>6.98</v>
      </c>
      <c r="BD290" s="1"/>
      <c r="BE290" s="1"/>
      <c r="BF290" s="1"/>
      <c r="BG290" s="1"/>
      <c r="BH290" s="1"/>
      <c r="BI290" s="1"/>
      <c r="BJ290" s="1" t="s">
        <v>5824</v>
      </c>
      <c r="BK290" s="1" t="s">
        <v>5825</v>
      </c>
      <c r="BL290" s="1" t="s">
        <v>2019</v>
      </c>
      <c r="BM290" s="1" t="s">
        <v>5826</v>
      </c>
      <c r="BN290" s="1">
        <v>91</v>
      </c>
      <c r="BO290" s="1"/>
      <c r="BP290" s="1" t="str">
        <f>HYPERLINK("https://nconnect.nicmar.ac.in/storage/profile/ProfilePhoto_P25700235_962375.jpg","Download")</f>
        <v>0</v>
      </c>
      <c r="BQ290" s="3"/>
      <c r="BR290" s="3"/>
    </row>
    <row r="291" spans="1:70">
      <c r="A291" s="1" t="s">
        <v>70</v>
      </c>
      <c r="B291" s="1" t="s">
        <v>1269</v>
      </c>
      <c r="C291" s="1" t="s">
        <v>5827</v>
      </c>
      <c r="D291" s="1" t="s">
        <v>5828</v>
      </c>
      <c r="E291" s="1"/>
      <c r="F291" s="1" t="s">
        <v>5829</v>
      </c>
      <c r="G291" s="1" t="s">
        <v>5830</v>
      </c>
      <c r="H291" s="1" t="s">
        <v>5831</v>
      </c>
      <c r="I291" s="1" t="s">
        <v>5832</v>
      </c>
      <c r="J291" s="1">
        <v>6002708878</v>
      </c>
      <c r="K291" s="1" t="s">
        <v>79</v>
      </c>
      <c r="L291" s="1" t="s">
        <v>5833</v>
      </c>
      <c r="M291" s="1" t="s">
        <v>81</v>
      </c>
      <c r="N291" s="1" t="s">
        <v>5834</v>
      </c>
      <c r="O291" s="1"/>
      <c r="P291" s="1" t="s">
        <v>2505</v>
      </c>
      <c r="Q291" s="1" t="s">
        <v>5835</v>
      </c>
      <c r="R291" s="1" t="s">
        <v>5836</v>
      </c>
      <c r="S291" s="1">
        <v>9435149156</v>
      </c>
      <c r="T291" s="1" t="s">
        <v>496</v>
      </c>
      <c r="U291" s="1" t="s">
        <v>5837</v>
      </c>
      <c r="V291" s="1">
        <v>8638013441</v>
      </c>
      <c r="W291" s="1" t="s">
        <v>5838</v>
      </c>
      <c r="X291" s="1" t="s">
        <v>5839</v>
      </c>
      <c r="Y291" s="1" t="s">
        <v>2374</v>
      </c>
      <c r="Z291" s="1" t="s">
        <v>2375</v>
      </c>
      <c r="AA291" s="1" t="s">
        <v>5839</v>
      </c>
      <c r="AB291" s="1" t="s">
        <v>2374</v>
      </c>
      <c r="AC291" s="1" t="s">
        <v>2375</v>
      </c>
      <c r="AD291" s="1">
        <v>8.16</v>
      </c>
      <c r="AE291" s="1" t="s">
        <v>93</v>
      </c>
      <c r="AF291" s="1" t="s">
        <v>5840</v>
      </c>
      <c r="AG291" s="1" t="s">
        <v>5841</v>
      </c>
      <c r="AH291" s="1" t="s">
        <v>1307</v>
      </c>
      <c r="AI291" s="1" t="s">
        <v>308</v>
      </c>
      <c r="AJ291" s="1">
        <v>87</v>
      </c>
      <c r="AK291" s="1"/>
      <c r="AL291" s="1" t="s">
        <v>5840</v>
      </c>
      <c r="AM291" s="1" t="s">
        <v>5841</v>
      </c>
      <c r="AN291" s="1" t="s">
        <v>1833</v>
      </c>
      <c r="AO291" s="1" t="s">
        <v>506</v>
      </c>
      <c r="AP291" s="1">
        <v>78.8</v>
      </c>
      <c r="AQ291" s="1"/>
      <c r="AR291" s="1"/>
      <c r="AS291" s="1"/>
      <c r="AT291" s="1"/>
      <c r="AU291" s="1"/>
      <c r="AV291" s="1"/>
      <c r="AW291" s="1"/>
      <c r="AX291" s="1" t="s">
        <v>5842</v>
      </c>
      <c r="AY291" s="1" t="s">
        <v>5843</v>
      </c>
      <c r="AZ291" s="1" t="s">
        <v>1407</v>
      </c>
      <c r="BA291" s="1" t="s">
        <v>1408</v>
      </c>
      <c r="BB291" s="1">
        <v>76</v>
      </c>
      <c r="BC291" s="1">
        <v>7.6</v>
      </c>
      <c r="BD291" s="1"/>
      <c r="BE291" s="1"/>
      <c r="BF291" s="1"/>
      <c r="BG291" s="1"/>
      <c r="BH291" s="1"/>
      <c r="BI291" s="1"/>
      <c r="BJ291" s="1" t="s">
        <v>1715</v>
      </c>
      <c r="BK291" s="1"/>
      <c r="BL291" s="1"/>
      <c r="BM291" s="1" t="s">
        <v>5844</v>
      </c>
      <c r="BN291" s="1">
        <v>9</v>
      </c>
      <c r="BO291" s="1"/>
      <c r="BP291" s="1" t="str">
        <f>HYPERLINK("https://nconnect.nicmar.ac.in/storage/profile/ProfilePhoto_P25700236_483619.jpg","Download")</f>
        <v>0</v>
      </c>
      <c r="BQ291" s="3"/>
      <c r="BR291" s="3"/>
    </row>
    <row r="292" spans="1:70">
      <c r="A292" s="1" t="s">
        <v>70</v>
      </c>
      <c r="B292" s="1" t="s">
        <v>1269</v>
      </c>
      <c r="C292" s="1" t="s">
        <v>5845</v>
      </c>
      <c r="D292" s="1" t="s">
        <v>367</v>
      </c>
      <c r="E292" s="1" t="s">
        <v>756</v>
      </c>
      <c r="F292" s="1" t="s">
        <v>5846</v>
      </c>
      <c r="G292" s="1" t="s">
        <v>5847</v>
      </c>
      <c r="H292" s="1" t="s">
        <v>5848</v>
      </c>
      <c r="I292" s="1" t="s">
        <v>5849</v>
      </c>
      <c r="J292" s="1">
        <v>9869207119</v>
      </c>
      <c r="K292" s="1" t="s">
        <v>79</v>
      </c>
      <c r="L292" s="1" t="s">
        <v>5850</v>
      </c>
      <c r="M292" s="1" t="s">
        <v>81</v>
      </c>
      <c r="N292" s="1" t="s">
        <v>860</v>
      </c>
      <c r="O292" s="1"/>
      <c r="P292" s="1" t="s">
        <v>1323</v>
      </c>
      <c r="Q292" s="1" t="s">
        <v>5851</v>
      </c>
      <c r="R292" s="1" t="s">
        <v>756</v>
      </c>
      <c r="S292" s="1">
        <v>9870709081</v>
      </c>
      <c r="T292" s="1" t="s">
        <v>5852</v>
      </c>
      <c r="U292" s="1" t="s">
        <v>5853</v>
      </c>
      <c r="V292" s="1">
        <v>9870709082</v>
      </c>
      <c r="W292" s="1" t="s">
        <v>156</v>
      </c>
      <c r="X292" s="1" t="s">
        <v>5854</v>
      </c>
      <c r="Y292" s="1" t="s">
        <v>1623</v>
      </c>
      <c r="Z292" s="1" t="s">
        <v>92</v>
      </c>
      <c r="AA292" s="1" t="s">
        <v>5854</v>
      </c>
      <c r="AB292" s="1" t="s">
        <v>1623</v>
      </c>
      <c r="AC292" s="1" t="s">
        <v>92</v>
      </c>
      <c r="AD292" s="1">
        <v>7.45</v>
      </c>
      <c r="AE292" s="1" t="s">
        <v>93</v>
      </c>
      <c r="AF292" s="1" t="s">
        <v>5855</v>
      </c>
      <c r="AG292" s="1" t="s">
        <v>5856</v>
      </c>
      <c r="AH292" s="1" t="s">
        <v>161</v>
      </c>
      <c r="AI292" s="1" t="s">
        <v>527</v>
      </c>
      <c r="AJ292" s="1">
        <v>71</v>
      </c>
      <c r="AK292" s="1">
        <v>0</v>
      </c>
      <c r="AL292" s="1"/>
      <c r="AM292" s="1"/>
      <c r="AN292" s="1"/>
      <c r="AO292" s="1"/>
      <c r="AP292" s="1"/>
      <c r="AQ292" s="1"/>
      <c r="AR292" s="1" t="s">
        <v>434</v>
      </c>
      <c r="AS292" s="1" t="s">
        <v>5857</v>
      </c>
      <c r="AT292" s="1" t="s">
        <v>134</v>
      </c>
      <c r="AU292" s="1" t="s">
        <v>228</v>
      </c>
      <c r="AV292" s="1">
        <v>71.82</v>
      </c>
      <c r="AW292" s="1">
        <v>0</v>
      </c>
      <c r="AX292" s="1" t="s">
        <v>253</v>
      </c>
      <c r="AY292" s="1" t="s">
        <v>5858</v>
      </c>
      <c r="AZ292" s="1" t="s">
        <v>173</v>
      </c>
      <c r="BA292" s="1" t="s">
        <v>174</v>
      </c>
      <c r="BB292" s="1">
        <v>69.06</v>
      </c>
      <c r="BC292" s="1">
        <v>7.75</v>
      </c>
      <c r="BD292" s="1"/>
      <c r="BE292" s="1"/>
      <c r="BF292" s="1"/>
      <c r="BG292" s="1"/>
      <c r="BH292" s="1"/>
      <c r="BI292" s="1"/>
      <c r="BJ292" s="1" t="s">
        <v>255</v>
      </c>
      <c r="BK292" s="1" t="s">
        <v>5859</v>
      </c>
      <c r="BL292" s="1" t="s">
        <v>4917</v>
      </c>
      <c r="BM292" s="1" t="s">
        <v>5860</v>
      </c>
      <c r="BN292" s="1">
        <v>8</v>
      </c>
      <c r="BO292" s="1" t="s">
        <v>5861</v>
      </c>
      <c r="BP292" s="1" t="str">
        <f>HYPERLINK("https://nconnect.nicmar.ac.in/storage/profile/ProfilePhoto_P25700237_972643.jpg","Download")</f>
        <v>0</v>
      </c>
      <c r="BQ292" s="3"/>
      <c r="BR292" s="3"/>
    </row>
    <row r="293" spans="1:70">
      <c r="A293" s="1" t="s">
        <v>70</v>
      </c>
      <c r="B293" s="1" t="s">
        <v>1269</v>
      </c>
      <c r="C293" s="1" t="s">
        <v>5862</v>
      </c>
      <c r="D293" s="1" t="s">
        <v>5863</v>
      </c>
      <c r="E293" s="1"/>
      <c r="F293" s="1" t="s">
        <v>236</v>
      </c>
      <c r="G293" s="1" t="s">
        <v>5864</v>
      </c>
      <c r="H293" s="1" t="s">
        <v>5865</v>
      </c>
      <c r="I293" s="1" t="s">
        <v>5866</v>
      </c>
      <c r="J293" s="1">
        <v>6354105510</v>
      </c>
      <c r="K293" s="1" t="s">
        <v>79</v>
      </c>
      <c r="L293" s="1" t="s">
        <v>5867</v>
      </c>
      <c r="M293" s="1" t="s">
        <v>81</v>
      </c>
      <c r="N293" s="1" t="s">
        <v>5868</v>
      </c>
      <c r="O293" s="1"/>
      <c r="P293" s="1" t="s">
        <v>1278</v>
      </c>
      <c r="Q293" s="1" t="s">
        <v>5869</v>
      </c>
      <c r="R293" s="1" t="s">
        <v>5870</v>
      </c>
      <c r="S293" s="1">
        <v>9998401535</v>
      </c>
      <c r="T293" s="1" t="s">
        <v>120</v>
      </c>
      <c r="U293" s="1" t="s">
        <v>5871</v>
      </c>
      <c r="V293" s="1">
        <v>8757507689</v>
      </c>
      <c r="W293" s="1" t="s">
        <v>156</v>
      </c>
      <c r="X293" s="1" t="s">
        <v>5872</v>
      </c>
      <c r="Y293" s="1" t="s">
        <v>5873</v>
      </c>
      <c r="Z293" s="1" t="s">
        <v>1468</v>
      </c>
      <c r="AA293" s="1" t="s">
        <v>5874</v>
      </c>
      <c r="AB293" s="1" t="s">
        <v>5873</v>
      </c>
      <c r="AC293" s="1" t="s">
        <v>1468</v>
      </c>
      <c r="AD293" s="1">
        <v>8.38</v>
      </c>
      <c r="AE293" s="1" t="s">
        <v>93</v>
      </c>
      <c r="AF293" s="1" t="s">
        <v>5875</v>
      </c>
      <c r="AG293" s="1" t="s">
        <v>5876</v>
      </c>
      <c r="AH293" s="1" t="s">
        <v>161</v>
      </c>
      <c r="AI293" s="1" t="s">
        <v>456</v>
      </c>
      <c r="AJ293" s="1">
        <v>71.5</v>
      </c>
      <c r="AK293" s="1"/>
      <c r="AL293" s="1" t="s">
        <v>5875</v>
      </c>
      <c r="AM293" s="1" t="s">
        <v>5876</v>
      </c>
      <c r="AN293" s="1" t="s">
        <v>165</v>
      </c>
      <c r="AO293" s="1" t="s">
        <v>281</v>
      </c>
      <c r="AP293" s="1">
        <v>70.3</v>
      </c>
      <c r="AQ293" s="1"/>
      <c r="AR293" s="1"/>
      <c r="AS293" s="1"/>
      <c r="AT293" s="1"/>
      <c r="AU293" s="1"/>
      <c r="AV293" s="1"/>
      <c r="AW293" s="1"/>
      <c r="AX293" s="1" t="s">
        <v>5877</v>
      </c>
      <c r="AY293" s="1" t="s">
        <v>5878</v>
      </c>
      <c r="AZ293" s="1" t="s">
        <v>101</v>
      </c>
      <c r="BA293" s="1" t="s">
        <v>1003</v>
      </c>
      <c r="BB293" s="1">
        <v>75.7</v>
      </c>
      <c r="BC293" s="1">
        <v>8.07</v>
      </c>
      <c r="BD293" s="1"/>
      <c r="BE293" s="1"/>
      <c r="BF293" s="1"/>
      <c r="BG293" s="1"/>
      <c r="BH293" s="1"/>
      <c r="BI293" s="1"/>
      <c r="BJ293" s="1" t="s">
        <v>5879</v>
      </c>
      <c r="BK293" s="1" t="s">
        <v>5880</v>
      </c>
      <c r="BL293" s="1" t="s">
        <v>5881</v>
      </c>
      <c r="BM293" s="1" t="s">
        <v>5882</v>
      </c>
      <c r="BN293" s="1">
        <v>12</v>
      </c>
      <c r="BO293" s="1"/>
      <c r="BP293" s="1" t="str">
        <f>HYPERLINK("https://nconnect.nicmar.ac.in/storage/profile/ProfilePhoto_P25700238_975162.jpg","Download")</f>
        <v>0</v>
      </c>
      <c r="BQ293" s="3"/>
      <c r="BR293" s="3"/>
    </row>
    <row r="294" spans="1:70">
      <c r="A294" s="1" t="s">
        <v>70</v>
      </c>
      <c r="B294" s="1" t="s">
        <v>1269</v>
      </c>
      <c r="C294" s="1" t="s">
        <v>5883</v>
      </c>
      <c r="D294" s="1" t="s">
        <v>5884</v>
      </c>
      <c r="E294" s="1" t="s">
        <v>5885</v>
      </c>
      <c r="F294" s="1" t="s">
        <v>5886</v>
      </c>
      <c r="G294" s="1" t="s">
        <v>5887</v>
      </c>
      <c r="H294" s="1" t="s">
        <v>5888</v>
      </c>
      <c r="I294" s="1" t="s">
        <v>5889</v>
      </c>
      <c r="J294" s="1">
        <v>9511845197</v>
      </c>
      <c r="K294" s="1" t="s">
        <v>148</v>
      </c>
      <c r="L294" s="1" t="s">
        <v>5890</v>
      </c>
      <c r="M294" s="1" t="s">
        <v>81</v>
      </c>
      <c r="N294" s="1" t="s">
        <v>1881</v>
      </c>
      <c r="O294" s="1"/>
      <c r="P294" s="1" t="s">
        <v>1278</v>
      </c>
      <c r="Q294" s="1" t="s">
        <v>5891</v>
      </c>
      <c r="R294" s="1" t="s">
        <v>5892</v>
      </c>
      <c r="S294" s="1">
        <v>9422825564</v>
      </c>
      <c r="T294" s="1" t="s">
        <v>87</v>
      </c>
      <c r="U294" s="1" t="s">
        <v>5893</v>
      </c>
      <c r="V294" s="1">
        <v>9421802298</v>
      </c>
      <c r="W294" s="1" t="s">
        <v>122</v>
      </c>
      <c r="X294" s="1" t="s">
        <v>5894</v>
      </c>
      <c r="Y294" s="1" t="s">
        <v>191</v>
      </c>
      <c r="Z294" s="1" t="s">
        <v>92</v>
      </c>
      <c r="AA294" s="1" t="s">
        <v>5895</v>
      </c>
      <c r="AB294" s="1" t="s">
        <v>405</v>
      </c>
      <c r="AC294" s="1" t="s">
        <v>92</v>
      </c>
      <c r="AD294" s="1">
        <v>8.82</v>
      </c>
      <c r="AE294" s="1" t="s">
        <v>93</v>
      </c>
      <c r="AF294" s="1" t="s">
        <v>5896</v>
      </c>
      <c r="AG294" s="1" t="s">
        <v>939</v>
      </c>
      <c r="AH294" s="1" t="s">
        <v>503</v>
      </c>
      <c r="AI294" s="1" t="s">
        <v>527</v>
      </c>
      <c r="AJ294" s="1">
        <v>91.2</v>
      </c>
      <c r="AK294" s="1">
        <v>9.6</v>
      </c>
      <c r="AL294" s="1" t="s">
        <v>5897</v>
      </c>
      <c r="AM294" s="1" t="s">
        <v>5898</v>
      </c>
      <c r="AN294" s="1" t="s">
        <v>678</v>
      </c>
      <c r="AO294" s="1" t="s">
        <v>457</v>
      </c>
      <c r="AP294" s="1">
        <v>76</v>
      </c>
      <c r="AQ294" s="1">
        <v>8</v>
      </c>
      <c r="AR294" s="1"/>
      <c r="AS294" s="1"/>
      <c r="AT294" s="1"/>
      <c r="AU294" s="1"/>
      <c r="AV294" s="1"/>
      <c r="AW294" s="1"/>
      <c r="AX294" s="1" t="s">
        <v>410</v>
      </c>
      <c r="AY294" s="1" t="s">
        <v>5899</v>
      </c>
      <c r="AZ294" s="1" t="s">
        <v>636</v>
      </c>
      <c r="BA294" s="1" t="s">
        <v>229</v>
      </c>
      <c r="BB294" s="1">
        <v>82.08</v>
      </c>
      <c r="BC294" s="1">
        <v>8.64</v>
      </c>
      <c r="BD294" s="1"/>
      <c r="BE294" s="1"/>
      <c r="BF294" s="1"/>
      <c r="BG294" s="1"/>
      <c r="BH294" s="1"/>
      <c r="BI294" s="1"/>
      <c r="BJ294" s="1" t="s">
        <v>5900</v>
      </c>
      <c r="BK294" s="1" t="s">
        <v>5901</v>
      </c>
      <c r="BL294" s="1" t="s">
        <v>1561</v>
      </c>
      <c r="BM294" s="1" t="s">
        <v>5902</v>
      </c>
      <c r="BN294" s="1">
        <v>35</v>
      </c>
      <c r="BO294" s="1" t="s">
        <v>5903</v>
      </c>
      <c r="BP294" s="1" t="str">
        <f>HYPERLINK("https://nconnect.nicmar.ac.in/storage/profile/ProfilePhoto_P25700239_319765.jpg","Download")</f>
        <v>0</v>
      </c>
      <c r="BQ294" s="3"/>
      <c r="BR294" s="3"/>
    </row>
    <row r="295" spans="1:70">
      <c r="A295" s="1" t="s">
        <v>70</v>
      </c>
      <c r="B295" s="1" t="s">
        <v>1269</v>
      </c>
      <c r="C295" s="1" t="s">
        <v>5904</v>
      </c>
      <c r="D295" s="1" t="s">
        <v>5905</v>
      </c>
      <c r="E295" s="1" t="s">
        <v>1640</v>
      </c>
      <c r="F295" s="1" t="s">
        <v>5906</v>
      </c>
      <c r="G295" s="1" t="s">
        <v>5907</v>
      </c>
      <c r="H295" s="1" t="s">
        <v>5908</v>
      </c>
      <c r="I295" s="1" t="s">
        <v>5909</v>
      </c>
      <c r="J295" s="1">
        <v>7249211429</v>
      </c>
      <c r="K295" s="1" t="s">
        <v>79</v>
      </c>
      <c r="L295" s="1" t="s">
        <v>5910</v>
      </c>
      <c r="M295" s="1" t="s">
        <v>81</v>
      </c>
      <c r="N295" s="1" t="s">
        <v>3187</v>
      </c>
      <c r="O295" s="1"/>
      <c r="P295" s="1" t="s">
        <v>2505</v>
      </c>
      <c r="Q295" s="1" t="s">
        <v>5911</v>
      </c>
      <c r="R295" s="1" t="s">
        <v>5912</v>
      </c>
      <c r="S295" s="1">
        <v>9403348856</v>
      </c>
      <c r="T295" s="1" t="s">
        <v>1771</v>
      </c>
      <c r="U295" s="1" t="s">
        <v>5913</v>
      </c>
      <c r="V295" s="1">
        <v>9422061235</v>
      </c>
      <c r="W295" s="1" t="s">
        <v>122</v>
      </c>
      <c r="X295" s="1" t="s">
        <v>5914</v>
      </c>
      <c r="Y295" s="1" t="s">
        <v>5915</v>
      </c>
      <c r="Z295" s="1" t="s">
        <v>92</v>
      </c>
      <c r="AA295" s="1" t="s">
        <v>5914</v>
      </c>
      <c r="AB295" s="1" t="s">
        <v>5915</v>
      </c>
      <c r="AC295" s="1" t="s">
        <v>92</v>
      </c>
      <c r="AD295" s="1">
        <v>8.29</v>
      </c>
      <c r="AE295" s="1" t="s">
        <v>93</v>
      </c>
      <c r="AF295" s="1" t="s">
        <v>5916</v>
      </c>
      <c r="AG295" s="1" t="s">
        <v>5917</v>
      </c>
      <c r="AH295" s="1" t="s">
        <v>101</v>
      </c>
      <c r="AI295" s="1" t="s">
        <v>409</v>
      </c>
      <c r="AJ295" s="1">
        <v>85</v>
      </c>
      <c r="AK295" s="1">
        <v>0</v>
      </c>
      <c r="AL295" s="1"/>
      <c r="AM295" s="1"/>
      <c r="AN295" s="1"/>
      <c r="AO295" s="1"/>
      <c r="AP295" s="1"/>
      <c r="AQ295" s="1"/>
      <c r="AR295" s="1" t="s">
        <v>98</v>
      </c>
      <c r="AS295" s="1" t="s">
        <v>5918</v>
      </c>
      <c r="AT295" s="1" t="s">
        <v>201</v>
      </c>
      <c r="AU295" s="1" t="s">
        <v>481</v>
      </c>
      <c r="AV295" s="1">
        <v>85.63</v>
      </c>
      <c r="AW295" s="1">
        <v>0</v>
      </c>
      <c r="AX295" s="1" t="s">
        <v>361</v>
      </c>
      <c r="AY295" s="1" t="s">
        <v>5919</v>
      </c>
      <c r="AZ295" s="1" t="s">
        <v>874</v>
      </c>
      <c r="BA295" s="1" t="s">
        <v>1361</v>
      </c>
      <c r="BB295" s="1">
        <v>87.4</v>
      </c>
      <c r="BC295" s="1">
        <v>9.49</v>
      </c>
      <c r="BD295" s="1"/>
      <c r="BE295" s="1"/>
      <c r="BF295" s="1"/>
      <c r="BG295" s="1"/>
      <c r="BH295" s="1"/>
      <c r="BI295" s="1"/>
      <c r="BJ295" s="1" t="s">
        <v>5920</v>
      </c>
      <c r="BK295" s="1"/>
      <c r="BL295" s="1"/>
      <c r="BM295" s="1" t="s">
        <v>5921</v>
      </c>
      <c r="BN295" s="1">
        <v>26</v>
      </c>
      <c r="BO295" s="1"/>
      <c r="BP295" s="1" t="str">
        <f>HYPERLINK("https://nconnect.nicmar.ac.in/storage/profile/ProfilePhoto_P25700240_513948.jpg","Download")</f>
        <v>0</v>
      </c>
      <c r="BQ295" s="3"/>
      <c r="BR295" s="3"/>
    </row>
    <row r="296" spans="1:70">
      <c r="A296" s="1" t="s">
        <v>70</v>
      </c>
      <c r="B296" s="1" t="s">
        <v>1269</v>
      </c>
      <c r="C296" s="1" t="s">
        <v>5922</v>
      </c>
      <c r="D296" s="1" t="s">
        <v>1389</v>
      </c>
      <c r="E296" s="1" t="s">
        <v>2108</v>
      </c>
      <c r="F296" s="1" t="s">
        <v>5923</v>
      </c>
      <c r="G296" s="1" t="s">
        <v>5924</v>
      </c>
      <c r="H296" s="1" t="s">
        <v>5925</v>
      </c>
      <c r="I296" s="1" t="s">
        <v>5926</v>
      </c>
      <c r="J296" s="1">
        <v>9526608654</v>
      </c>
      <c r="K296" s="1" t="s">
        <v>79</v>
      </c>
      <c r="L296" s="1" t="s">
        <v>5927</v>
      </c>
      <c r="M296" s="1" t="s">
        <v>81</v>
      </c>
      <c r="N296" s="1" t="s">
        <v>5928</v>
      </c>
      <c r="O296" s="1"/>
      <c r="P296" s="1" t="s">
        <v>1323</v>
      </c>
      <c r="Q296" s="1" t="s">
        <v>5929</v>
      </c>
      <c r="R296" s="1" t="s">
        <v>5930</v>
      </c>
      <c r="S296" s="1">
        <v>9961775494</v>
      </c>
      <c r="T296" s="1" t="s">
        <v>863</v>
      </c>
      <c r="U296" s="1" t="s">
        <v>5931</v>
      </c>
      <c r="V296" s="1">
        <v>8330041549</v>
      </c>
      <c r="W296" s="1" t="s">
        <v>156</v>
      </c>
      <c r="X296" s="1" t="s">
        <v>5932</v>
      </c>
      <c r="Y296" s="1" t="s">
        <v>1260</v>
      </c>
      <c r="Z296" s="1" t="s">
        <v>125</v>
      </c>
      <c r="AA296" s="1" t="s">
        <v>5932</v>
      </c>
      <c r="AB296" s="1" t="s">
        <v>1260</v>
      </c>
      <c r="AC296" s="1" t="s">
        <v>125</v>
      </c>
      <c r="AD296" s="1">
        <v>9.11</v>
      </c>
      <c r="AE296" s="1" t="s">
        <v>93</v>
      </c>
      <c r="AF296" s="1" t="s">
        <v>5933</v>
      </c>
      <c r="AG296" s="1" t="s">
        <v>5934</v>
      </c>
      <c r="AH296" s="1" t="s">
        <v>101</v>
      </c>
      <c r="AI296" s="1" t="s">
        <v>308</v>
      </c>
      <c r="AJ296" s="1">
        <v>95.2</v>
      </c>
      <c r="AK296" s="1"/>
      <c r="AL296" s="1" t="s">
        <v>5935</v>
      </c>
      <c r="AM296" s="1" t="s">
        <v>5936</v>
      </c>
      <c r="AN296" s="1" t="s">
        <v>699</v>
      </c>
      <c r="AO296" s="1" t="s">
        <v>506</v>
      </c>
      <c r="AP296" s="1">
        <v>97.25</v>
      </c>
      <c r="AQ296" s="1"/>
      <c r="AR296" s="1"/>
      <c r="AS296" s="1"/>
      <c r="AT296" s="1"/>
      <c r="AU296" s="1"/>
      <c r="AV296" s="1"/>
      <c r="AW296" s="1"/>
      <c r="AX296" s="1" t="s">
        <v>132</v>
      </c>
      <c r="AY296" s="1" t="s">
        <v>5937</v>
      </c>
      <c r="AZ296" s="1" t="s">
        <v>1407</v>
      </c>
      <c r="BA296" s="1" t="s">
        <v>1408</v>
      </c>
      <c r="BB296" s="1">
        <v>83.3</v>
      </c>
      <c r="BC296" s="1"/>
      <c r="BD296" s="1"/>
      <c r="BE296" s="1"/>
      <c r="BF296" s="1"/>
      <c r="BG296" s="1"/>
      <c r="BH296" s="1"/>
      <c r="BI296" s="1"/>
      <c r="BJ296" s="1" t="s">
        <v>5938</v>
      </c>
      <c r="BK296" s="1"/>
      <c r="BL296" s="1"/>
      <c r="BM296" s="1" t="s">
        <v>5939</v>
      </c>
      <c r="BN296" s="1">
        <v>13</v>
      </c>
      <c r="BO296" s="1" t="s">
        <v>5940</v>
      </c>
      <c r="BP296" s="1" t="str">
        <f>HYPERLINK("https://nconnect.nicmar.ac.in/storage/profile/ProfilePhoto_P25700241_162534.jpg","Download")</f>
        <v>0</v>
      </c>
      <c r="BQ296" s="3"/>
      <c r="BR296" s="3"/>
    </row>
    <row r="297" spans="1:70">
      <c r="A297" s="1" t="s">
        <v>70</v>
      </c>
      <c r="B297" s="1" t="s">
        <v>1269</v>
      </c>
      <c r="C297" s="1" t="s">
        <v>5941</v>
      </c>
      <c r="D297" s="1" t="s">
        <v>5942</v>
      </c>
      <c r="E297" s="1"/>
      <c r="F297" s="1" t="s">
        <v>5943</v>
      </c>
      <c r="G297" s="1" t="s">
        <v>5944</v>
      </c>
      <c r="H297" s="1" t="s">
        <v>5945</v>
      </c>
      <c r="I297" s="1" t="s">
        <v>5946</v>
      </c>
      <c r="J297" s="1">
        <v>7047098155</v>
      </c>
      <c r="K297" s="1" t="s">
        <v>79</v>
      </c>
      <c r="L297" s="1" t="s">
        <v>5947</v>
      </c>
      <c r="M297" s="1" t="s">
        <v>81</v>
      </c>
      <c r="N297" s="1" t="s">
        <v>5040</v>
      </c>
      <c r="O297" s="1"/>
      <c r="P297" s="1" t="s">
        <v>1298</v>
      </c>
      <c r="Q297" s="1" t="s">
        <v>5948</v>
      </c>
      <c r="R297" s="1" t="s">
        <v>5949</v>
      </c>
      <c r="S297" s="1">
        <v>9893878586</v>
      </c>
      <c r="T297" s="1" t="s">
        <v>5950</v>
      </c>
      <c r="U297" s="1" t="s">
        <v>5951</v>
      </c>
      <c r="V297" s="1">
        <v>9977083578</v>
      </c>
      <c r="W297" s="1" t="s">
        <v>156</v>
      </c>
      <c r="X297" s="1" t="s">
        <v>5952</v>
      </c>
      <c r="Y297" s="1" t="s">
        <v>5953</v>
      </c>
      <c r="Z297" s="1" t="s">
        <v>936</v>
      </c>
      <c r="AA297" s="1" t="s">
        <v>5952</v>
      </c>
      <c r="AB297" s="1" t="s">
        <v>5953</v>
      </c>
      <c r="AC297" s="1" t="s">
        <v>936</v>
      </c>
      <c r="AD297" s="1">
        <v>7.71</v>
      </c>
      <c r="AE297" s="1" t="s">
        <v>93</v>
      </c>
      <c r="AF297" s="1" t="s">
        <v>5954</v>
      </c>
      <c r="AG297" s="1" t="s">
        <v>5955</v>
      </c>
      <c r="AH297" s="1" t="s">
        <v>279</v>
      </c>
      <c r="AI297" s="1" t="s">
        <v>165</v>
      </c>
      <c r="AJ297" s="1">
        <v>76</v>
      </c>
      <c r="AK297" s="1"/>
      <c r="AL297" s="1" t="s">
        <v>5956</v>
      </c>
      <c r="AM297" s="1" t="s">
        <v>5957</v>
      </c>
      <c r="AN297" s="1" t="s">
        <v>1307</v>
      </c>
      <c r="AO297" s="1" t="s">
        <v>308</v>
      </c>
      <c r="AP297" s="1">
        <v>74.4</v>
      </c>
      <c r="AQ297" s="1"/>
      <c r="AR297" s="1"/>
      <c r="AS297" s="1"/>
      <c r="AT297" s="1"/>
      <c r="AU297" s="1"/>
      <c r="AV297" s="1"/>
      <c r="AW297" s="1"/>
      <c r="AX297" s="1" t="s">
        <v>5958</v>
      </c>
      <c r="AY297" s="1" t="s">
        <v>5959</v>
      </c>
      <c r="AZ297" s="1" t="s">
        <v>170</v>
      </c>
      <c r="BA297" s="1" t="s">
        <v>1938</v>
      </c>
      <c r="BB297" s="1">
        <v>67.6</v>
      </c>
      <c r="BC297" s="1">
        <v>6.76</v>
      </c>
      <c r="BD297" s="1"/>
      <c r="BE297" s="1"/>
      <c r="BF297" s="1"/>
      <c r="BG297" s="1"/>
      <c r="BH297" s="1"/>
      <c r="BI297" s="1"/>
      <c r="BJ297" s="1" t="s">
        <v>364</v>
      </c>
      <c r="BK297" s="1"/>
      <c r="BL297" s="1"/>
      <c r="BM297" s="1" t="s">
        <v>5960</v>
      </c>
      <c r="BN297" s="1">
        <v>27</v>
      </c>
      <c r="BO297" s="1" t="s">
        <v>5961</v>
      </c>
      <c r="BP297" s="1" t="str">
        <f>HYPERLINK("https://nconnect.nicmar.ac.in/storage/profile/ProfilePhoto_P25700242_529817.jpg","Download")</f>
        <v>0</v>
      </c>
      <c r="BQ297" s="3"/>
      <c r="BR297" s="3"/>
    </row>
    <row r="298" spans="1:70">
      <c r="A298" s="1" t="s">
        <v>70</v>
      </c>
      <c r="B298" s="1" t="s">
        <v>1269</v>
      </c>
      <c r="C298" s="1" t="s">
        <v>5962</v>
      </c>
      <c r="D298" s="1" t="s">
        <v>5963</v>
      </c>
      <c r="E298" s="1" t="s">
        <v>5964</v>
      </c>
      <c r="F298" s="1" t="s">
        <v>2893</v>
      </c>
      <c r="G298" s="1" t="s">
        <v>5965</v>
      </c>
      <c r="H298" s="1" t="s">
        <v>5966</v>
      </c>
      <c r="I298" s="1" t="s">
        <v>5967</v>
      </c>
      <c r="J298" s="1">
        <v>9099966861</v>
      </c>
      <c r="K298" s="1" t="s">
        <v>79</v>
      </c>
      <c r="L298" s="1" t="s">
        <v>5968</v>
      </c>
      <c r="M298" s="1" t="s">
        <v>81</v>
      </c>
      <c r="N298" s="1" t="s">
        <v>5969</v>
      </c>
      <c r="O298" s="1"/>
      <c r="P298" s="1" t="s">
        <v>1323</v>
      </c>
      <c r="Q298" s="1" t="s">
        <v>5970</v>
      </c>
      <c r="R298" s="1" t="s">
        <v>5964</v>
      </c>
      <c r="S298" s="1">
        <v>9825025704</v>
      </c>
      <c r="T298" s="1" t="s">
        <v>5971</v>
      </c>
      <c r="U298" s="1" t="s">
        <v>5972</v>
      </c>
      <c r="V298" s="1">
        <v>9879618900</v>
      </c>
      <c r="W298" s="1" t="s">
        <v>496</v>
      </c>
      <c r="X298" s="1" t="s">
        <v>5973</v>
      </c>
      <c r="Y298" s="1" t="s">
        <v>5873</v>
      </c>
      <c r="Z298" s="1" t="s">
        <v>1468</v>
      </c>
      <c r="AA298" s="1" t="s">
        <v>5973</v>
      </c>
      <c r="AB298" s="1" t="s">
        <v>5873</v>
      </c>
      <c r="AC298" s="1" t="s">
        <v>1468</v>
      </c>
      <c r="AD298" s="1">
        <v>8.1</v>
      </c>
      <c r="AE298" s="1" t="s">
        <v>93</v>
      </c>
      <c r="AF298" s="1" t="s">
        <v>5974</v>
      </c>
      <c r="AG298" s="1" t="s">
        <v>1665</v>
      </c>
      <c r="AH298" s="1" t="s">
        <v>279</v>
      </c>
      <c r="AI298" s="1" t="s">
        <v>165</v>
      </c>
      <c r="AJ298" s="1">
        <v>74.1</v>
      </c>
      <c r="AK298" s="1">
        <v>7.8</v>
      </c>
      <c r="AL298" s="1" t="s">
        <v>5974</v>
      </c>
      <c r="AM298" s="1" t="s">
        <v>1665</v>
      </c>
      <c r="AN298" s="1" t="s">
        <v>1307</v>
      </c>
      <c r="AO298" s="1" t="s">
        <v>308</v>
      </c>
      <c r="AP298" s="1">
        <v>62.8</v>
      </c>
      <c r="AQ298" s="1"/>
      <c r="AR298" s="1"/>
      <c r="AS298" s="1"/>
      <c r="AT298" s="1"/>
      <c r="AU298" s="1"/>
      <c r="AV298" s="1"/>
      <c r="AW298" s="1"/>
      <c r="AX298" s="1" t="s">
        <v>5975</v>
      </c>
      <c r="AY298" s="1" t="s">
        <v>5976</v>
      </c>
      <c r="AZ298" s="1" t="s">
        <v>433</v>
      </c>
      <c r="BA298" s="1" t="s">
        <v>229</v>
      </c>
      <c r="BB298" s="1">
        <v>73.8</v>
      </c>
      <c r="BC298" s="1">
        <v>7.88</v>
      </c>
      <c r="BD298" s="1"/>
      <c r="BE298" s="1"/>
      <c r="BF298" s="1"/>
      <c r="BG298" s="1"/>
      <c r="BH298" s="1"/>
      <c r="BI298" s="1"/>
      <c r="BJ298" s="1" t="s">
        <v>5977</v>
      </c>
      <c r="BK298" s="1"/>
      <c r="BL298" s="1"/>
      <c r="BM298" s="1" t="s">
        <v>5978</v>
      </c>
      <c r="BN298" s="1">
        <v>129</v>
      </c>
      <c r="BO298" s="1"/>
      <c r="BP298" s="1" t="str">
        <f>HYPERLINK("https://nconnect.nicmar.ac.in/storage/profile/ProfilePhoto_P25700243_752468.jpg","Download")</f>
        <v>0</v>
      </c>
      <c r="BQ298" s="3"/>
      <c r="BR298" s="3"/>
    </row>
    <row r="299" spans="1:70">
      <c r="A299" s="1" t="s">
        <v>70</v>
      </c>
      <c r="B299" s="1" t="s">
        <v>1269</v>
      </c>
      <c r="C299" s="1" t="s">
        <v>5979</v>
      </c>
      <c r="D299" s="1" t="s">
        <v>343</v>
      </c>
      <c r="E299" s="1" t="s">
        <v>1566</v>
      </c>
      <c r="F299" s="1" t="s">
        <v>5980</v>
      </c>
      <c r="G299" s="1" t="s">
        <v>5981</v>
      </c>
      <c r="H299" s="1" t="s">
        <v>5982</v>
      </c>
      <c r="I299" s="1" t="s">
        <v>5983</v>
      </c>
      <c r="J299" s="1">
        <v>8390507869</v>
      </c>
      <c r="K299" s="1" t="s">
        <v>79</v>
      </c>
      <c r="L299" s="1" t="s">
        <v>5984</v>
      </c>
      <c r="M299" s="1" t="s">
        <v>81</v>
      </c>
      <c r="N299" s="1" t="s">
        <v>5985</v>
      </c>
      <c r="O299" s="1"/>
      <c r="P299" s="1"/>
      <c r="Q299" s="1" t="s">
        <v>5986</v>
      </c>
      <c r="R299" s="1" t="s">
        <v>5987</v>
      </c>
      <c r="S299" s="1">
        <v>8378860125</v>
      </c>
      <c r="T299" s="1" t="s">
        <v>496</v>
      </c>
      <c r="U299" s="1" t="s">
        <v>5988</v>
      </c>
      <c r="V299" s="1">
        <v>9309402750</v>
      </c>
      <c r="W299" s="1" t="s">
        <v>89</v>
      </c>
      <c r="X299" s="1" t="s">
        <v>5989</v>
      </c>
      <c r="Y299" s="1" t="s">
        <v>158</v>
      </c>
      <c r="Z299" s="1" t="s">
        <v>92</v>
      </c>
      <c r="AA299" s="1" t="s">
        <v>5989</v>
      </c>
      <c r="AB299" s="1" t="s">
        <v>158</v>
      </c>
      <c r="AC299" s="1" t="s">
        <v>92</v>
      </c>
      <c r="AD299" s="1">
        <v>8.49</v>
      </c>
      <c r="AE299" s="1" t="s">
        <v>93</v>
      </c>
      <c r="AF299" s="1" t="s">
        <v>5990</v>
      </c>
      <c r="AG299" s="1" t="s">
        <v>3549</v>
      </c>
      <c r="AH299" s="1" t="s">
        <v>96</v>
      </c>
      <c r="AI299" s="1" t="s">
        <v>97</v>
      </c>
      <c r="AJ299" s="1">
        <v>91.6</v>
      </c>
      <c r="AK299" s="1"/>
      <c r="AL299" s="1" t="s">
        <v>5991</v>
      </c>
      <c r="AM299" s="1" t="s">
        <v>3549</v>
      </c>
      <c r="AN299" s="1" t="s">
        <v>100</v>
      </c>
      <c r="AO299" s="1" t="s">
        <v>165</v>
      </c>
      <c r="AP299" s="1">
        <v>73.69</v>
      </c>
      <c r="AQ299" s="1"/>
      <c r="AR299" s="1"/>
      <c r="AS299" s="1"/>
      <c r="AT299" s="1"/>
      <c r="AU299" s="1"/>
      <c r="AV299" s="1"/>
      <c r="AW299" s="1"/>
      <c r="AX299" s="1" t="s">
        <v>437</v>
      </c>
      <c r="AY299" s="1" t="s">
        <v>5992</v>
      </c>
      <c r="AZ299" s="1" t="s">
        <v>225</v>
      </c>
      <c r="BA299" s="1" t="s">
        <v>506</v>
      </c>
      <c r="BB299" s="1">
        <v>75.53</v>
      </c>
      <c r="BC299" s="1"/>
      <c r="BD299" s="1"/>
      <c r="BE299" s="1"/>
      <c r="BF299" s="1"/>
      <c r="BG299" s="1"/>
      <c r="BH299" s="1"/>
      <c r="BI299" s="1"/>
      <c r="BJ299" s="1" t="s">
        <v>5993</v>
      </c>
      <c r="BK299" s="1" t="s">
        <v>5994</v>
      </c>
      <c r="BL299" s="1" t="s">
        <v>3259</v>
      </c>
      <c r="BM299" s="1"/>
      <c r="BN299" s="1"/>
      <c r="BO299" s="1"/>
      <c r="BP299" s="1" t="str">
        <f>HYPERLINK("https://nconnect.nicmar.ac.in/storage/profile/ProfilePhoto_P25700244_691843.jpg","Download")</f>
        <v>0</v>
      </c>
      <c r="BQ299" s="3"/>
      <c r="BR299" s="3"/>
    </row>
    <row r="300" spans="1:70">
      <c r="A300" s="1" t="s">
        <v>70</v>
      </c>
      <c r="B300" s="1" t="s">
        <v>1269</v>
      </c>
      <c r="C300" s="1" t="s">
        <v>5995</v>
      </c>
      <c r="D300" s="1" t="s">
        <v>5996</v>
      </c>
      <c r="E300" s="1" t="s">
        <v>756</v>
      </c>
      <c r="F300" s="1" t="s">
        <v>5997</v>
      </c>
      <c r="G300" s="1" t="s">
        <v>5998</v>
      </c>
      <c r="H300" s="1" t="s">
        <v>5999</v>
      </c>
      <c r="I300" s="1" t="s">
        <v>6000</v>
      </c>
      <c r="J300" s="1">
        <v>8483031912</v>
      </c>
      <c r="K300" s="1" t="s">
        <v>148</v>
      </c>
      <c r="L300" s="1" t="s">
        <v>6001</v>
      </c>
      <c r="M300" s="1" t="s">
        <v>81</v>
      </c>
      <c r="N300" s="1" t="s">
        <v>1418</v>
      </c>
      <c r="O300" s="1"/>
      <c r="P300" s="1" t="s">
        <v>2505</v>
      </c>
      <c r="Q300" s="1" t="s">
        <v>6002</v>
      </c>
      <c r="R300" s="1" t="s">
        <v>756</v>
      </c>
      <c r="S300" s="1">
        <v>8767841534</v>
      </c>
      <c r="T300" s="1" t="s">
        <v>993</v>
      </c>
      <c r="U300" s="1" t="s">
        <v>6003</v>
      </c>
      <c r="V300" s="1">
        <v>8483031912</v>
      </c>
      <c r="W300" s="1" t="s">
        <v>156</v>
      </c>
      <c r="X300" s="1" t="s">
        <v>6004</v>
      </c>
      <c r="Y300" s="1" t="s">
        <v>405</v>
      </c>
      <c r="Z300" s="1" t="s">
        <v>92</v>
      </c>
      <c r="AA300" s="1" t="s">
        <v>6004</v>
      </c>
      <c r="AB300" s="1" t="s">
        <v>405</v>
      </c>
      <c r="AC300" s="1" t="s">
        <v>92</v>
      </c>
      <c r="AD300" s="1">
        <v>8.05</v>
      </c>
      <c r="AE300" s="1" t="s">
        <v>93</v>
      </c>
      <c r="AF300" s="1" t="s">
        <v>6005</v>
      </c>
      <c r="AG300" s="1" t="s">
        <v>6006</v>
      </c>
      <c r="AH300" s="1" t="s">
        <v>479</v>
      </c>
      <c r="AI300" s="1" t="s">
        <v>166</v>
      </c>
      <c r="AJ300" s="1">
        <v>80.4</v>
      </c>
      <c r="AK300" s="1"/>
      <c r="AL300" s="1" t="s">
        <v>6007</v>
      </c>
      <c r="AM300" s="1" t="s">
        <v>6008</v>
      </c>
      <c r="AN300" s="1" t="s">
        <v>169</v>
      </c>
      <c r="AO300" s="1" t="s">
        <v>360</v>
      </c>
      <c r="AP300" s="1">
        <v>67.85</v>
      </c>
      <c r="AQ300" s="1"/>
      <c r="AR300" s="1"/>
      <c r="AS300" s="1"/>
      <c r="AT300" s="1"/>
      <c r="AU300" s="1"/>
      <c r="AV300" s="1"/>
      <c r="AW300" s="1"/>
      <c r="AX300" s="1" t="s">
        <v>410</v>
      </c>
      <c r="AY300" s="1" t="s">
        <v>6009</v>
      </c>
      <c r="AZ300" s="1" t="s">
        <v>173</v>
      </c>
      <c r="BA300" s="1" t="s">
        <v>6010</v>
      </c>
      <c r="BB300" s="1">
        <v>74</v>
      </c>
      <c r="BC300" s="1"/>
      <c r="BD300" s="1"/>
      <c r="BE300" s="1"/>
      <c r="BF300" s="1"/>
      <c r="BG300" s="1"/>
      <c r="BH300" s="1"/>
      <c r="BI300" s="1"/>
      <c r="BJ300" s="1" t="s">
        <v>6011</v>
      </c>
      <c r="BK300" s="1"/>
      <c r="BL300" s="1"/>
      <c r="BM300" s="1" t="s">
        <v>6012</v>
      </c>
      <c r="BN300" s="1">
        <v>69</v>
      </c>
      <c r="BO300" s="1" t="s">
        <v>6013</v>
      </c>
      <c r="BP300" s="1" t="str">
        <f>HYPERLINK("https://nconnect.nicmar.ac.in/storage/profile/ProfilePhoto_P25700245_918463.jpg","Download")</f>
        <v>0</v>
      </c>
      <c r="BQ300" s="3"/>
      <c r="BR300" s="3"/>
    </row>
    <row r="301" spans="1:70">
      <c r="A301" s="1" t="s">
        <v>70</v>
      </c>
      <c r="B301" s="1" t="s">
        <v>1269</v>
      </c>
      <c r="C301" s="1" t="s">
        <v>6014</v>
      </c>
      <c r="D301" s="1" t="s">
        <v>2024</v>
      </c>
      <c r="E301" s="1" t="s">
        <v>4221</v>
      </c>
      <c r="F301" s="1" t="s">
        <v>144</v>
      </c>
      <c r="G301" s="1" t="s">
        <v>6015</v>
      </c>
      <c r="H301" s="1" t="s">
        <v>6016</v>
      </c>
      <c r="I301" s="1" t="s">
        <v>6017</v>
      </c>
      <c r="J301" s="1">
        <v>7900162345</v>
      </c>
      <c r="K301" s="1" t="s">
        <v>79</v>
      </c>
      <c r="L301" s="1" t="s">
        <v>4264</v>
      </c>
      <c r="M301" s="1" t="s">
        <v>81</v>
      </c>
      <c r="N301" s="1" t="s">
        <v>1418</v>
      </c>
      <c r="O301" s="1"/>
      <c r="P301" s="1" t="s">
        <v>1766</v>
      </c>
      <c r="Q301" s="1" t="s">
        <v>6018</v>
      </c>
      <c r="R301" s="1" t="s">
        <v>6019</v>
      </c>
      <c r="S301" s="1">
        <v>9869781092</v>
      </c>
      <c r="T301" s="1" t="s">
        <v>216</v>
      </c>
      <c r="U301" s="1" t="s">
        <v>6020</v>
      </c>
      <c r="V301" s="1">
        <v>9969453439</v>
      </c>
      <c r="W301" s="1" t="s">
        <v>496</v>
      </c>
      <c r="X301" s="1" t="s">
        <v>6021</v>
      </c>
      <c r="Y301" s="1" t="s">
        <v>766</v>
      </c>
      <c r="Z301" s="1" t="s">
        <v>92</v>
      </c>
      <c r="AA301" s="1" t="s">
        <v>6021</v>
      </c>
      <c r="AB301" s="1" t="s">
        <v>766</v>
      </c>
      <c r="AC301" s="1" t="s">
        <v>92</v>
      </c>
      <c r="AD301" s="1">
        <v>8.56</v>
      </c>
      <c r="AE301" s="1" t="s">
        <v>93</v>
      </c>
      <c r="AF301" s="1" t="s">
        <v>6022</v>
      </c>
      <c r="AG301" s="1" t="s">
        <v>6023</v>
      </c>
      <c r="AH301" s="1" t="s">
        <v>96</v>
      </c>
      <c r="AI301" s="1" t="s">
        <v>479</v>
      </c>
      <c r="AJ301" s="1">
        <v>81</v>
      </c>
      <c r="AK301" s="1"/>
      <c r="AL301" s="1" t="s">
        <v>6024</v>
      </c>
      <c r="AM301" s="1" t="s">
        <v>6023</v>
      </c>
      <c r="AN301" s="1" t="s">
        <v>383</v>
      </c>
      <c r="AO301" s="1" t="s">
        <v>433</v>
      </c>
      <c r="AP301" s="1">
        <v>67.69</v>
      </c>
      <c r="AQ301" s="1"/>
      <c r="AR301" s="1"/>
      <c r="AS301" s="1"/>
      <c r="AT301" s="1"/>
      <c r="AU301" s="1"/>
      <c r="AV301" s="1"/>
      <c r="AW301" s="1"/>
      <c r="AX301" s="1" t="s">
        <v>6025</v>
      </c>
      <c r="AY301" s="1" t="s">
        <v>6026</v>
      </c>
      <c r="AZ301" s="1" t="s">
        <v>310</v>
      </c>
      <c r="BA301" s="1" t="s">
        <v>174</v>
      </c>
      <c r="BB301" s="1">
        <v>80.6</v>
      </c>
      <c r="BC301" s="1">
        <v>8.56</v>
      </c>
      <c r="BD301" s="1"/>
      <c r="BE301" s="1"/>
      <c r="BF301" s="1"/>
      <c r="BG301" s="1"/>
      <c r="BH301" s="1"/>
      <c r="BI301" s="1"/>
      <c r="BJ301" s="1" t="s">
        <v>6027</v>
      </c>
      <c r="BK301" s="1" t="s">
        <v>6028</v>
      </c>
      <c r="BL301" s="1" t="s">
        <v>1629</v>
      </c>
      <c r="BM301" s="1" t="s">
        <v>6029</v>
      </c>
      <c r="BN301" s="1">
        <v>34</v>
      </c>
      <c r="BO301" s="1" t="s">
        <v>6030</v>
      </c>
      <c r="BP301" s="1" t="str">
        <f>HYPERLINK("https://nconnect.nicmar.ac.in/storage/profile/ProfilePhoto_P25700246_546739.jpg","Download")</f>
        <v>0</v>
      </c>
      <c r="BQ301" s="3"/>
      <c r="BR301" s="3"/>
    </row>
    <row r="302" spans="1:70">
      <c r="A302" s="1" t="s">
        <v>70</v>
      </c>
      <c r="B302" s="1" t="s">
        <v>1269</v>
      </c>
      <c r="C302" s="1" t="s">
        <v>6031</v>
      </c>
      <c r="D302" s="1" t="s">
        <v>6032</v>
      </c>
      <c r="E302" s="1"/>
      <c r="F302" s="1" t="s">
        <v>6033</v>
      </c>
      <c r="G302" s="1" t="s">
        <v>6034</v>
      </c>
      <c r="H302" s="1" t="s">
        <v>6035</v>
      </c>
      <c r="I302" s="1" t="s">
        <v>6036</v>
      </c>
      <c r="J302" s="1">
        <v>9778349801</v>
      </c>
      <c r="K302" s="1" t="s">
        <v>148</v>
      </c>
      <c r="L302" s="1" t="s">
        <v>6037</v>
      </c>
      <c r="M302" s="1" t="s">
        <v>81</v>
      </c>
      <c r="N302" s="1" t="s">
        <v>5928</v>
      </c>
      <c r="O302" s="1"/>
      <c r="P302" s="1" t="s">
        <v>1278</v>
      </c>
      <c r="Q302" s="1" t="s">
        <v>6038</v>
      </c>
      <c r="R302" s="1" t="s">
        <v>6039</v>
      </c>
      <c r="S302" s="1">
        <v>9400983641</v>
      </c>
      <c r="T302" s="1" t="s">
        <v>6040</v>
      </c>
      <c r="U302" s="1" t="s">
        <v>6041</v>
      </c>
      <c r="V302" s="1">
        <v>9946724284</v>
      </c>
      <c r="W302" s="1" t="s">
        <v>6042</v>
      </c>
      <c r="X302" s="1" t="s">
        <v>6043</v>
      </c>
      <c r="Y302" s="1" t="s">
        <v>6044</v>
      </c>
      <c r="Z302" s="1" t="s">
        <v>125</v>
      </c>
      <c r="AA302" s="1" t="s">
        <v>6043</v>
      </c>
      <c r="AB302" s="1" t="s">
        <v>6044</v>
      </c>
      <c r="AC302" s="1" t="s">
        <v>125</v>
      </c>
      <c r="AD302" s="1">
        <v>8.85</v>
      </c>
      <c r="AE302" s="1" t="s">
        <v>93</v>
      </c>
      <c r="AF302" s="1" t="s">
        <v>6045</v>
      </c>
      <c r="AG302" s="1" t="s">
        <v>4273</v>
      </c>
      <c r="AH302" s="1" t="s">
        <v>162</v>
      </c>
      <c r="AI302" s="1" t="s">
        <v>195</v>
      </c>
      <c r="AJ302" s="1">
        <v>90</v>
      </c>
      <c r="AK302" s="1"/>
      <c r="AL302" s="1" t="s">
        <v>6046</v>
      </c>
      <c r="AM302" s="1" t="s">
        <v>6047</v>
      </c>
      <c r="AN302" s="1" t="s">
        <v>165</v>
      </c>
      <c r="AO302" s="1" t="s">
        <v>1065</v>
      </c>
      <c r="AP302" s="1">
        <v>96.08</v>
      </c>
      <c r="AQ302" s="1"/>
      <c r="AR302" s="1"/>
      <c r="AS302" s="1"/>
      <c r="AT302" s="1"/>
      <c r="AU302" s="1"/>
      <c r="AV302" s="1"/>
      <c r="AW302" s="1"/>
      <c r="AX302" s="1" t="s">
        <v>6048</v>
      </c>
      <c r="AY302" s="1" t="s">
        <v>6049</v>
      </c>
      <c r="AZ302" s="1" t="s">
        <v>920</v>
      </c>
      <c r="BA302" s="1" t="s">
        <v>944</v>
      </c>
      <c r="BB302" s="1">
        <v>81.9</v>
      </c>
      <c r="BC302" s="1">
        <v>8.19</v>
      </c>
      <c r="BD302" s="1"/>
      <c r="BE302" s="1"/>
      <c r="BF302" s="1"/>
      <c r="BG302" s="1"/>
      <c r="BH302" s="1"/>
      <c r="BI302" s="1"/>
      <c r="BJ302" s="1" t="s">
        <v>6050</v>
      </c>
      <c r="BK302" s="1"/>
      <c r="BL302" s="1"/>
      <c r="BM302" s="1" t="s">
        <v>6051</v>
      </c>
      <c r="BN302" s="1">
        <v>12</v>
      </c>
      <c r="BO302" s="1" t="s">
        <v>6052</v>
      </c>
      <c r="BP302" s="1" t="str">
        <f>HYPERLINK("https://nconnect.nicmar.ac.in/storage/profile/ProfilePhoto_P25700247_237156.jpg","Download")</f>
        <v>0</v>
      </c>
      <c r="BQ302" s="3"/>
      <c r="BR302" s="3"/>
    </row>
    <row r="303" spans="1:70">
      <c r="A303" s="1" t="s">
        <v>70</v>
      </c>
      <c r="B303" s="1" t="s">
        <v>1269</v>
      </c>
      <c r="C303" s="1" t="s">
        <v>6053</v>
      </c>
      <c r="D303" s="1" t="s">
        <v>6054</v>
      </c>
      <c r="E303" s="1" t="s">
        <v>835</v>
      </c>
      <c r="F303" s="1" t="s">
        <v>6055</v>
      </c>
      <c r="G303" s="1" t="s">
        <v>6056</v>
      </c>
      <c r="H303" s="1" t="s">
        <v>6057</v>
      </c>
      <c r="I303" s="1" t="s">
        <v>6058</v>
      </c>
      <c r="J303" s="1">
        <v>8085305679</v>
      </c>
      <c r="K303" s="1" t="s">
        <v>79</v>
      </c>
      <c r="L303" s="1" t="s">
        <v>6059</v>
      </c>
      <c r="M303" s="1" t="s">
        <v>81</v>
      </c>
      <c r="N303" s="1" t="s">
        <v>6060</v>
      </c>
      <c r="O303" s="1"/>
      <c r="P303" s="1" t="s">
        <v>1298</v>
      </c>
      <c r="Q303" s="1" t="s">
        <v>6061</v>
      </c>
      <c r="R303" s="1" t="s">
        <v>6062</v>
      </c>
      <c r="S303" s="1">
        <v>9827117689</v>
      </c>
      <c r="T303" s="1" t="s">
        <v>1554</v>
      </c>
      <c r="U303" s="1" t="s">
        <v>6063</v>
      </c>
      <c r="V303" s="1">
        <v>9109505679</v>
      </c>
      <c r="W303" s="1" t="s">
        <v>89</v>
      </c>
      <c r="X303" s="1" t="s">
        <v>6064</v>
      </c>
      <c r="Y303" s="1" t="s">
        <v>6065</v>
      </c>
      <c r="Z303" s="1" t="s">
        <v>1237</v>
      </c>
      <c r="AA303" s="1" t="s">
        <v>6064</v>
      </c>
      <c r="AB303" s="1" t="s">
        <v>6065</v>
      </c>
      <c r="AC303" s="1" t="s">
        <v>1237</v>
      </c>
      <c r="AD303" s="1">
        <v>8.33</v>
      </c>
      <c r="AE303" s="1" t="s">
        <v>93</v>
      </c>
      <c r="AF303" s="1" t="s">
        <v>6066</v>
      </c>
      <c r="AG303" s="1" t="s">
        <v>6067</v>
      </c>
      <c r="AH303" s="1" t="s">
        <v>281</v>
      </c>
      <c r="AI303" s="1" t="s">
        <v>308</v>
      </c>
      <c r="AJ303" s="1">
        <v>82.2</v>
      </c>
      <c r="AK303" s="1">
        <v>0</v>
      </c>
      <c r="AL303" s="1" t="s">
        <v>723</v>
      </c>
      <c r="AM303" s="1" t="s">
        <v>307</v>
      </c>
      <c r="AN303" s="1" t="s">
        <v>941</v>
      </c>
      <c r="AO303" s="1" t="s">
        <v>506</v>
      </c>
      <c r="AP303" s="1">
        <v>77.4</v>
      </c>
      <c r="AQ303" s="1">
        <v>0</v>
      </c>
      <c r="AR303" s="1"/>
      <c r="AS303" s="1"/>
      <c r="AT303" s="1"/>
      <c r="AU303" s="1"/>
      <c r="AV303" s="1"/>
      <c r="AW303" s="1"/>
      <c r="AX303" s="1" t="s">
        <v>1243</v>
      </c>
      <c r="AY303" s="1" t="s">
        <v>6068</v>
      </c>
      <c r="AZ303" s="1" t="s">
        <v>436</v>
      </c>
      <c r="BA303" s="1" t="s">
        <v>6069</v>
      </c>
      <c r="BB303" s="1">
        <v>66.14</v>
      </c>
      <c r="BC303" s="1">
        <v>6.99</v>
      </c>
      <c r="BD303" s="1"/>
      <c r="BE303" s="1"/>
      <c r="BF303" s="1"/>
      <c r="BG303" s="1"/>
      <c r="BH303" s="1"/>
      <c r="BI303" s="1"/>
      <c r="BJ303" s="1" t="s">
        <v>6070</v>
      </c>
      <c r="BK303" s="1"/>
      <c r="BL303" s="1"/>
      <c r="BM303" s="1" t="s">
        <v>6071</v>
      </c>
      <c r="BN303" s="1">
        <v>38</v>
      </c>
      <c r="BO303" s="1" t="s">
        <v>6072</v>
      </c>
      <c r="BP303" s="1" t="str">
        <f>HYPERLINK("https://nconnect.nicmar.ac.in/storage/profile/ProfilePhoto_P25700248_864927.jpg","Download")</f>
        <v>0</v>
      </c>
      <c r="BQ303" s="3"/>
      <c r="BR303" s="3"/>
    </row>
    <row r="304" spans="1:70">
      <c r="A304" s="1" t="s">
        <v>70</v>
      </c>
      <c r="B304" s="1" t="s">
        <v>1269</v>
      </c>
      <c r="C304" s="1" t="s">
        <v>6073</v>
      </c>
      <c r="D304" s="1" t="s">
        <v>6074</v>
      </c>
      <c r="E304" s="1" t="s">
        <v>4221</v>
      </c>
      <c r="F304" s="1" t="s">
        <v>6075</v>
      </c>
      <c r="G304" s="1" t="s">
        <v>6076</v>
      </c>
      <c r="H304" s="1" t="s">
        <v>6077</v>
      </c>
      <c r="I304" s="1" t="s">
        <v>6078</v>
      </c>
      <c r="J304" s="1">
        <v>7621006513</v>
      </c>
      <c r="K304" s="1" t="s">
        <v>79</v>
      </c>
      <c r="L304" s="1" t="s">
        <v>6079</v>
      </c>
      <c r="M304" s="1" t="s">
        <v>81</v>
      </c>
      <c r="N304" s="1" t="s">
        <v>6080</v>
      </c>
      <c r="O304" s="1"/>
      <c r="P304" s="1" t="s">
        <v>1323</v>
      </c>
      <c r="Q304" s="1" t="s">
        <v>6081</v>
      </c>
      <c r="R304" s="1" t="s">
        <v>6082</v>
      </c>
      <c r="S304" s="1">
        <v>9450437318</v>
      </c>
      <c r="T304" s="1" t="s">
        <v>6083</v>
      </c>
      <c r="U304" s="1" t="s">
        <v>6084</v>
      </c>
      <c r="V304" s="1">
        <v>9228309519</v>
      </c>
      <c r="W304" s="1" t="s">
        <v>156</v>
      </c>
      <c r="X304" s="1" t="s">
        <v>6085</v>
      </c>
      <c r="Y304" s="1" t="s">
        <v>3680</v>
      </c>
      <c r="Z304" s="1" t="s">
        <v>1468</v>
      </c>
      <c r="AA304" s="1" t="s">
        <v>6085</v>
      </c>
      <c r="AB304" s="1" t="s">
        <v>3680</v>
      </c>
      <c r="AC304" s="1" t="s">
        <v>1468</v>
      </c>
      <c r="AD304" s="1">
        <v>8.23</v>
      </c>
      <c r="AE304" s="1" t="s">
        <v>93</v>
      </c>
      <c r="AF304" s="1" t="s">
        <v>6086</v>
      </c>
      <c r="AG304" s="1" t="s">
        <v>6087</v>
      </c>
      <c r="AH304" s="1" t="s">
        <v>1307</v>
      </c>
      <c r="AI304" s="1" t="s">
        <v>308</v>
      </c>
      <c r="AJ304" s="1">
        <v>87</v>
      </c>
      <c r="AK304" s="1"/>
      <c r="AL304" s="1" t="s">
        <v>6086</v>
      </c>
      <c r="AM304" s="1" t="s">
        <v>6087</v>
      </c>
      <c r="AN304" s="1" t="s">
        <v>1833</v>
      </c>
      <c r="AO304" s="1" t="s">
        <v>506</v>
      </c>
      <c r="AP304" s="1">
        <v>85.6</v>
      </c>
      <c r="AQ304" s="1"/>
      <c r="AR304" s="1"/>
      <c r="AS304" s="1"/>
      <c r="AT304" s="1"/>
      <c r="AU304" s="1"/>
      <c r="AV304" s="1"/>
      <c r="AW304" s="1"/>
      <c r="AX304" s="1" t="s">
        <v>6088</v>
      </c>
      <c r="AY304" s="1" t="s">
        <v>6089</v>
      </c>
      <c r="AZ304" s="1" t="s">
        <v>1407</v>
      </c>
      <c r="BA304" s="1" t="s">
        <v>1361</v>
      </c>
      <c r="BB304" s="1">
        <v>70.93</v>
      </c>
      <c r="BC304" s="1"/>
      <c r="BD304" s="1"/>
      <c r="BE304" s="1"/>
      <c r="BF304" s="1"/>
      <c r="BG304" s="1"/>
      <c r="BH304" s="1"/>
      <c r="BI304" s="1"/>
      <c r="BJ304" s="1" t="s">
        <v>6090</v>
      </c>
      <c r="BK304" s="1"/>
      <c r="BL304" s="1"/>
      <c r="BM304" s="1" t="s">
        <v>6091</v>
      </c>
      <c r="BN304" s="1">
        <v>4</v>
      </c>
      <c r="BO304" s="1" t="s">
        <v>6092</v>
      </c>
      <c r="BP304" s="1" t="str">
        <f>HYPERLINK("https://nconnect.nicmar.ac.in/storage/profile/ProfilePhoto_P25700249_159378.jpg","Download")</f>
        <v>0</v>
      </c>
      <c r="BQ304" s="3"/>
      <c r="BR304" s="3"/>
    </row>
    <row r="305" spans="1:70">
      <c r="A305" s="1" t="s">
        <v>70</v>
      </c>
      <c r="B305" s="1" t="s">
        <v>1269</v>
      </c>
      <c r="C305" s="1" t="s">
        <v>6093</v>
      </c>
      <c r="D305" s="1" t="s">
        <v>6094</v>
      </c>
      <c r="E305" s="1" t="s">
        <v>1760</v>
      </c>
      <c r="F305" s="1" t="s">
        <v>2893</v>
      </c>
      <c r="G305" s="1" t="s">
        <v>6095</v>
      </c>
      <c r="H305" s="1" t="s">
        <v>6096</v>
      </c>
      <c r="I305" s="1" t="s">
        <v>6097</v>
      </c>
      <c r="J305" s="1">
        <v>8766972680</v>
      </c>
      <c r="K305" s="1" t="s">
        <v>148</v>
      </c>
      <c r="L305" s="1" t="s">
        <v>6098</v>
      </c>
      <c r="M305" s="1" t="s">
        <v>81</v>
      </c>
      <c r="N305" s="1" t="s">
        <v>6099</v>
      </c>
      <c r="O305" s="1"/>
      <c r="P305" s="1" t="s">
        <v>1323</v>
      </c>
      <c r="Q305" s="1" t="s">
        <v>6100</v>
      </c>
      <c r="R305" s="1" t="s">
        <v>6101</v>
      </c>
      <c r="S305" s="1">
        <v>9765550909</v>
      </c>
      <c r="T305" s="1" t="s">
        <v>154</v>
      </c>
      <c r="U305" s="1" t="s">
        <v>6102</v>
      </c>
      <c r="V305" s="1">
        <v>8668877113</v>
      </c>
      <c r="W305" s="1" t="s">
        <v>89</v>
      </c>
      <c r="X305" s="1" t="s">
        <v>6103</v>
      </c>
      <c r="Y305" s="1" t="s">
        <v>191</v>
      </c>
      <c r="Z305" s="1" t="s">
        <v>92</v>
      </c>
      <c r="AA305" s="1" t="s">
        <v>6103</v>
      </c>
      <c r="AB305" s="1" t="s">
        <v>191</v>
      </c>
      <c r="AC305" s="1" t="s">
        <v>92</v>
      </c>
      <c r="AD305" s="1">
        <v>8.24</v>
      </c>
      <c r="AE305" s="1" t="s">
        <v>93</v>
      </c>
      <c r="AF305" s="1" t="s">
        <v>5246</v>
      </c>
      <c r="AG305" s="1" t="s">
        <v>6104</v>
      </c>
      <c r="AH305" s="1" t="s">
        <v>165</v>
      </c>
      <c r="AI305" s="1" t="s">
        <v>166</v>
      </c>
      <c r="AJ305" s="1">
        <v>81.8</v>
      </c>
      <c r="AK305" s="1">
        <v>8.61</v>
      </c>
      <c r="AL305" s="1" t="s">
        <v>6105</v>
      </c>
      <c r="AM305" s="1" t="s">
        <v>197</v>
      </c>
      <c r="AN305" s="1" t="s">
        <v>433</v>
      </c>
      <c r="AO305" s="1" t="s">
        <v>941</v>
      </c>
      <c r="AP305" s="1">
        <v>60</v>
      </c>
      <c r="AQ305" s="1">
        <v>6.31</v>
      </c>
      <c r="AR305" s="1"/>
      <c r="AS305" s="1"/>
      <c r="AT305" s="1"/>
      <c r="AU305" s="1"/>
      <c r="AV305" s="1"/>
      <c r="AW305" s="1"/>
      <c r="AX305" s="1" t="s">
        <v>361</v>
      </c>
      <c r="AY305" s="1" t="s">
        <v>6106</v>
      </c>
      <c r="AZ305" s="1" t="s">
        <v>920</v>
      </c>
      <c r="BA305" s="1" t="s">
        <v>202</v>
      </c>
      <c r="BB305" s="1">
        <v>73.3</v>
      </c>
      <c r="BC305" s="1">
        <v>8.08</v>
      </c>
      <c r="BD305" s="1"/>
      <c r="BE305" s="1"/>
      <c r="BF305" s="1"/>
      <c r="BG305" s="1"/>
      <c r="BH305" s="1"/>
      <c r="BI305" s="1"/>
      <c r="BJ305" s="1" t="s">
        <v>6107</v>
      </c>
      <c r="BK305" s="1"/>
      <c r="BL305" s="1"/>
      <c r="BM305" s="1" t="s">
        <v>6108</v>
      </c>
      <c r="BN305" s="1">
        <v>13</v>
      </c>
      <c r="BO305" s="1" t="s">
        <v>6109</v>
      </c>
      <c r="BP305" s="1" t="str">
        <f>HYPERLINK("https://nconnect.nicmar.ac.in/storage/profile/ProfilePhoto_P25700250_825963.jpg","Download")</f>
        <v>0</v>
      </c>
      <c r="BQ305" s="3"/>
      <c r="BR305" s="3"/>
    </row>
    <row r="306" spans="1:70">
      <c r="A306" s="1" t="s">
        <v>70</v>
      </c>
      <c r="B306" s="1" t="s">
        <v>1269</v>
      </c>
      <c r="C306" s="1" t="s">
        <v>6110</v>
      </c>
      <c r="D306" s="1" t="s">
        <v>1740</v>
      </c>
      <c r="E306" s="1"/>
      <c r="F306" s="1" t="s">
        <v>596</v>
      </c>
      <c r="G306" s="1" t="s">
        <v>4378</v>
      </c>
      <c r="H306" s="1" t="s">
        <v>6111</v>
      </c>
      <c r="I306" s="1" t="s">
        <v>6112</v>
      </c>
      <c r="J306" s="1">
        <v>9097654676</v>
      </c>
      <c r="K306" s="1" t="s">
        <v>79</v>
      </c>
      <c r="L306" s="1" t="s">
        <v>4301</v>
      </c>
      <c r="M306" s="1" t="s">
        <v>81</v>
      </c>
      <c r="N306" s="1" t="s">
        <v>5040</v>
      </c>
      <c r="O306" s="1"/>
      <c r="P306" s="1" t="s">
        <v>1278</v>
      </c>
      <c r="Q306" s="1" t="s">
        <v>6113</v>
      </c>
      <c r="R306" s="1" t="s">
        <v>6114</v>
      </c>
      <c r="S306" s="1">
        <v>9334265895</v>
      </c>
      <c r="T306" s="1" t="s">
        <v>842</v>
      </c>
      <c r="U306" s="1" t="s">
        <v>6115</v>
      </c>
      <c r="V306" s="1">
        <v>7295845373</v>
      </c>
      <c r="W306" s="1" t="s">
        <v>156</v>
      </c>
      <c r="X306" s="1" t="s">
        <v>6116</v>
      </c>
      <c r="Y306" s="1" t="s">
        <v>845</v>
      </c>
      <c r="Z306" s="1" t="s">
        <v>846</v>
      </c>
      <c r="AA306" s="1" t="s">
        <v>6116</v>
      </c>
      <c r="AB306" s="1" t="s">
        <v>845</v>
      </c>
      <c r="AC306" s="1" t="s">
        <v>846</v>
      </c>
      <c r="AD306" s="1">
        <v>8.82</v>
      </c>
      <c r="AE306" s="1" t="s">
        <v>93</v>
      </c>
      <c r="AF306" s="1" t="s">
        <v>3402</v>
      </c>
      <c r="AG306" s="1" t="s">
        <v>2993</v>
      </c>
      <c r="AH306" s="1" t="s">
        <v>195</v>
      </c>
      <c r="AI306" s="1" t="s">
        <v>281</v>
      </c>
      <c r="AJ306" s="1">
        <v>69.2</v>
      </c>
      <c r="AK306" s="1"/>
      <c r="AL306" s="1" t="s">
        <v>3402</v>
      </c>
      <c r="AM306" s="1" t="s">
        <v>2993</v>
      </c>
      <c r="AN306" s="1" t="s">
        <v>169</v>
      </c>
      <c r="AO306" s="1" t="s">
        <v>941</v>
      </c>
      <c r="AP306" s="1">
        <v>77.6</v>
      </c>
      <c r="AQ306" s="1"/>
      <c r="AR306" s="1"/>
      <c r="AS306" s="1"/>
      <c r="AT306" s="1"/>
      <c r="AU306" s="1"/>
      <c r="AV306" s="1"/>
      <c r="AW306" s="1"/>
      <c r="AX306" s="1" t="s">
        <v>6117</v>
      </c>
      <c r="AY306" s="1" t="s">
        <v>6118</v>
      </c>
      <c r="AZ306" s="1" t="s">
        <v>363</v>
      </c>
      <c r="BA306" s="1" t="s">
        <v>944</v>
      </c>
      <c r="BB306" s="1">
        <v>74.77</v>
      </c>
      <c r="BC306" s="1">
        <v>8.31</v>
      </c>
      <c r="BD306" s="1"/>
      <c r="BE306" s="1"/>
      <c r="BF306" s="1"/>
      <c r="BG306" s="1"/>
      <c r="BH306" s="1"/>
      <c r="BI306" s="1"/>
      <c r="BJ306" s="1" t="s">
        <v>1383</v>
      </c>
      <c r="BK306" s="1"/>
      <c r="BL306" s="1"/>
      <c r="BM306" s="1" t="s">
        <v>6119</v>
      </c>
      <c r="BN306" s="1">
        <v>19</v>
      </c>
      <c r="BO306" s="1"/>
      <c r="BP306" s="1" t="str">
        <f>HYPERLINK("https://nconnect.nicmar.ac.in/storage/profile/ProfilePhoto_P25700251_793658.jpg","Download")</f>
        <v>0</v>
      </c>
      <c r="BQ306" s="3"/>
      <c r="BR306" s="3"/>
    </row>
    <row r="307" spans="1:70">
      <c r="A307" s="1" t="s">
        <v>70</v>
      </c>
      <c r="B307" s="1" t="s">
        <v>1269</v>
      </c>
      <c r="C307" s="1" t="s">
        <v>6120</v>
      </c>
      <c r="D307" s="1" t="s">
        <v>6121</v>
      </c>
      <c r="E307" s="1" t="s">
        <v>2428</v>
      </c>
      <c r="F307" s="1" t="s">
        <v>6122</v>
      </c>
      <c r="G307" s="1" t="s">
        <v>6123</v>
      </c>
      <c r="H307" s="1" t="s">
        <v>6124</v>
      </c>
      <c r="I307" s="1" t="s">
        <v>6125</v>
      </c>
      <c r="J307" s="1">
        <v>7666594354</v>
      </c>
      <c r="K307" s="1" t="s">
        <v>79</v>
      </c>
      <c r="L307" s="1" t="s">
        <v>6126</v>
      </c>
      <c r="M307" s="1" t="s">
        <v>81</v>
      </c>
      <c r="N307" s="1" t="s">
        <v>6127</v>
      </c>
      <c r="O307" s="1"/>
      <c r="P307" s="1"/>
      <c r="Q307" s="1" t="s">
        <v>6128</v>
      </c>
      <c r="R307" s="1" t="s">
        <v>2428</v>
      </c>
      <c r="S307" s="1">
        <v>8087240317</v>
      </c>
      <c r="T307" s="1" t="s">
        <v>763</v>
      </c>
      <c r="U307" s="1" t="s">
        <v>958</v>
      </c>
      <c r="V307" s="1">
        <v>8421673677</v>
      </c>
      <c r="W307" s="1" t="s">
        <v>273</v>
      </c>
      <c r="X307" s="1" t="s">
        <v>6129</v>
      </c>
      <c r="Y307" s="1" t="s">
        <v>2786</v>
      </c>
      <c r="Z307" s="1" t="s">
        <v>92</v>
      </c>
      <c r="AA307" s="1" t="s">
        <v>6129</v>
      </c>
      <c r="AB307" s="1" t="s">
        <v>2786</v>
      </c>
      <c r="AC307" s="1" t="s">
        <v>92</v>
      </c>
      <c r="AD307" s="1">
        <v>7.92</v>
      </c>
      <c r="AE307" s="1" t="s">
        <v>93</v>
      </c>
      <c r="AF307" s="1" t="s">
        <v>6130</v>
      </c>
      <c r="AG307" s="1" t="s">
        <v>6131</v>
      </c>
      <c r="AH307" s="1" t="s">
        <v>162</v>
      </c>
      <c r="AI307" s="1" t="s">
        <v>165</v>
      </c>
      <c r="AJ307" s="1">
        <v>76.8</v>
      </c>
      <c r="AK307" s="1"/>
      <c r="AL307" s="1" t="s">
        <v>6132</v>
      </c>
      <c r="AM307" s="1" t="s">
        <v>6133</v>
      </c>
      <c r="AN307" s="1" t="s">
        <v>166</v>
      </c>
      <c r="AO307" s="1" t="s">
        <v>308</v>
      </c>
      <c r="AP307" s="1">
        <v>66</v>
      </c>
      <c r="AQ307" s="1"/>
      <c r="AR307" s="1"/>
      <c r="AS307" s="1"/>
      <c r="AT307" s="1"/>
      <c r="AU307" s="1"/>
      <c r="AV307" s="1"/>
      <c r="AW307" s="1"/>
      <c r="AX307" s="1" t="s">
        <v>2688</v>
      </c>
      <c r="AY307" s="1" t="s">
        <v>6134</v>
      </c>
      <c r="AZ307" s="1" t="s">
        <v>310</v>
      </c>
      <c r="BA307" s="1" t="s">
        <v>174</v>
      </c>
      <c r="BB307" s="1">
        <v>76.27</v>
      </c>
      <c r="BC307" s="1">
        <v>8.12</v>
      </c>
      <c r="BD307" s="1"/>
      <c r="BE307" s="1"/>
      <c r="BF307" s="1"/>
      <c r="BG307" s="1"/>
      <c r="BH307" s="1"/>
      <c r="BI307" s="1"/>
      <c r="BJ307" s="1" t="s">
        <v>2729</v>
      </c>
      <c r="BK307" s="1"/>
      <c r="BL307" s="1"/>
      <c r="BM307" s="1" t="s">
        <v>6135</v>
      </c>
      <c r="BN307" s="1">
        <v>66</v>
      </c>
      <c r="BO307" s="1" t="s">
        <v>6136</v>
      </c>
      <c r="BP307" s="1" t="str">
        <f>HYPERLINK("https://nconnect.nicmar.ac.in/storage/profile/ProfilePhoto_P25700252_286139.jpg","Download")</f>
        <v>0</v>
      </c>
      <c r="BQ307" s="3"/>
      <c r="BR307" s="3"/>
    </row>
    <row r="308" spans="1:70">
      <c r="A308" s="1" t="s">
        <v>70</v>
      </c>
      <c r="B308" s="1" t="s">
        <v>1269</v>
      </c>
      <c r="C308" s="1" t="s">
        <v>6137</v>
      </c>
      <c r="D308" s="1" t="s">
        <v>4143</v>
      </c>
      <c r="E308" s="1" t="s">
        <v>2023</v>
      </c>
      <c r="F308" s="1" t="s">
        <v>6138</v>
      </c>
      <c r="G308" s="1" t="s">
        <v>6139</v>
      </c>
      <c r="H308" s="1" t="s">
        <v>6140</v>
      </c>
      <c r="I308" s="1" t="s">
        <v>6141</v>
      </c>
      <c r="J308" s="1">
        <v>9503125004</v>
      </c>
      <c r="K308" s="1" t="s">
        <v>79</v>
      </c>
      <c r="L308" s="1" t="s">
        <v>6142</v>
      </c>
      <c r="M308" s="1" t="s">
        <v>81</v>
      </c>
      <c r="N308" s="1" t="s">
        <v>860</v>
      </c>
      <c r="O308" s="1"/>
      <c r="P308" s="1" t="s">
        <v>1298</v>
      </c>
      <c r="Q308" s="1" t="s">
        <v>6143</v>
      </c>
      <c r="R308" s="1" t="s">
        <v>6144</v>
      </c>
      <c r="S308" s="1">
        <v>9518909421</v>
      </c>
      <c r="T308" s="1" t="s">
        <v>763</v>
      </c>
      <c r="U308" s="1" t="s">
        <v>6145</v>
      </c>
      <c r="V308" s="1">
        <v>9689173404</v>
      </c>
      <c r="W308" s="1" t="s">
        <v>3344</v>
      </c>
      <c r="X308" s="1" t="s">
        <v>6146</v>
      </c>
      <c r="Y308" s="1" t="s">
        <v>191</v>
      </c>
      <c r="Z308" s="1" t="s">
        <v>92</v>
      </c>
      <c r="AA308" s="1" t="s">
        <v>6147</v>
      </c>
      <c r="AB308" s="1" t="s">
        <v>1424</v>
      </c>
      <c r="AC308" s="1" t="s">
        <v>92</v>
      </c>
      <c r="AD308" s="1">
        <v>8.08</v>
      </c>
      <c r="AE308" s="1" t="s">
        <v>93</v>
      </c>
      <c r="AF308" s="1" t="s">
        <v>6148</v>
      </c>
      <c r="AG308" s="1" t="s">
        <v>6149</v>
      </c>
      <c r="AH308" s="1" t="s">
        <v>479</v>
      </c>
      <c r="AI308" s="1" t="s">
        <v>166</v>
      </c>
      <c r="AJ308" s="1">
        <v>65.6</v>
      </c>
      <c r="AK308" s="1"/>
      <c r="AL308" s="1" t="s">
        <v>6150</v>
      </c>
      <c r="AM308" s="1" t="s">
        <v>6151</v>
      </c>
      <c r="AN308" s="1" t="s">
        <v>310</v>
      </c>
      <c r="AO308" s="1" t="s">
        <v>173</v>
      </c>
      <c r="AP308" s="1">
        <v>63.85</v>
      </c>
      <c r="AQ308" s="1"/>
      <c r="AR308" s="1"/>
      <c r="AS308" s="1"/>
      <c r="AT308" s="1"/>
      <c r="AU308" s="1"/>
      <c r="AV308" s="1"/>
      <c r="AW308" s="1"/>
      <c r="AX308" s="1" t="s">
        <v>6152</v>
      </c>
      <c r="AY308" s="1" t="s">
        <v>6153</v>
      </c>
      <c r="AZ308" s="1" t="s">
        <v>173</v>
      </c>
      <c r="BA308" s="1" t="s">
        <v>202</v>
      </c>
      <c r="BB308" s="1">
        <v>70.8</v>
      </c>
      <c r="BC308" s="1"/>
      <c r="BD308" s="1"/>
      <c r="BE308" s="1"/>
      <c r="BF308" s="1"/>
      <c r="BG308" s="1"/>
      <c r="BH308" s="1"/>
      <c r="BI308" s="1"/>
      <c r="BJ308" s="1" t="s">
        <v>1383</v>
      </c>
      <c r="BK308" s="1"/>
      <c r="BL308" s="1"/>
      <c r="BM308" s="1" t="s">
        <v>6154</v>
      </c>
      <c r="BN308" s="1">
        <v>40</v>
      </c>
      <c r="BO308" s="1" t="s">
        <v>6155</v>
      </c>
      <c r="BP308" s="1" t="str">
        <f>HYPERLINK("https://nconnect.nicmar.ac.in/storage/profile/ProfilePhoto_P25700253_341298.jpg","Download")</f>
        <v>0</v>
      </c>
      <c r="BQ308" s="3"/>
      <c r="BR308" s="3"/>
    </row>
    <row r="309" spans="1:70">
      <c r="A309" s="1" t="s">
        <v>70</v>
      </c>
      <c r="B309" s="1" t="s">
        <v>1269</v>
      </c>
      <c r="C309" s="1" t="s">
        <v>6156</v>
      </c>
      <c r="D309" s="1" t="s">
        <v>6157</v>
      </c>
      <c r="E309" s="1" t="s">
        <v>3773</v>
      </c>
      <c r="F309" s="1" t="s">
        <v>3901</v>
      </c>
      <c r="G309" s="1" t="s">
        <v>6158</v>
      </c>
      <c r="H309" s="1" t="s">
        <v>6159</v>
      </c>
      <c r="I309" s="1" t="s">
        <v>6160</v>
      </c>
      <c r="J309" s="1">
        <v>8605809022</v>
      </c>
      <c r="K309" s="1" t="s">
        <v>79</v>
      </c>
      <c r="L309" s="1" t="s">
        <v>6161</v>
      </c>
      <c r="M309" s="1" t="s">
        <v>81</v>
      </c>
      <c r="N309" s="1" t="s">
        <v>5040</v>
      </c>
      <c r="O309" s="1"/>
      <c r="P309" s="1" t="s">
        <v>1278</v>
      </c>
      <c r="Q309" s="1" t="s">
        <v>6162</v>
      </c>
      <c r="R309" s="1" t="s">
        <v>6163</v>
      </c>
      <c r="S309" s="1">
        <v>7083455130</v>
      </c>
      <c r="T309" s="1" t="s">
        <v>6164</v>
      </c>
      <c r="U309" s="1" t="s">
        <v>6165</v>
      </c>
      <c r="V309" s="1">
        <v>7875375321</v>
      </c>
      <c r="W309" s="1" t="s">
        <v>156</v>
      </c>
      <c r="X309" s="1" t="s">
        <v>6166</v>
      </c>
      <c r="Y309" s="1" t="s">
        <v>191</v>
      </c>
      <c r="Z309" s="1" t="s">
        <v>92</v>
      </c>
      <c r="AA309" s="1" t="s">
        <v>6167</v>
      </c>
      <c r="AB309" s="1" t="s">
        <v>91</v>
      </c>
      <c r="AC309" s="1" t="s">
        <v>92</v>
      </c>
      <c r="AD309" s="1">
        <v>8.15</v>
      </c>
      <c r="AE309" s="1" t="s">
        <v>93</v>
      </c>
      <c r="AF309" s="1" t="s">
        <v>6168</v>
      </c>
      <c r="AG309" s="1" t="s">
        <v>307</v>
      </c>
      <c r="AH309" s="1" t="s">
        <v>915</v>
      </c>
      <c r="AI309" s="1" t="s">
        <v>166</v>
      </c>
      <c r="AJ309" s="1">
        <v>83.4</v>
      </c>
      <c r="AK309" s="1"/>
      <c r="AL309" s="1" t="s">
        <v>6169</v>
      </c>
      <c r="AM309" s="1" t="s">
        <v>160</v>
      </c>
      <c r="AN309" s="1" t="s">
        <v>101</v>
      </c>
      <c r="AO309" s="1" t="s">
        <v>360</v>
      </c>
      <c r="AP309" s="1">
        <v>73.69</v>
      </c>
      <c r="AQ309" s="1"/>
      <c r="AR309" s="1"/>
      <c r="AS309" s="1"/>
      <c r="AT309" s="1"/>
      <c r="AU309" s="1"/>
      <c r="AV309" s="1"/>
      <c r="AW309" s="1"/>
      <c r="AX309" s="1" t="s">
        <v>1359</v>
      </c>
      <c r="AY309" s="1" t="s">
        <v>6170</v>
      </c>
      <c r="AZ309" s="1" t="s">
        <v>1051</v>
      </c>
      <c r="BA309" s="1" t="s">
        <v>1361</v>
      </c>
      <c r="BB309" s="1">
        <v>81.4</v>
      </c>
      <c r="BC309" s="1">
        <v>8.14</v>
      </c>
      <c r="BD309" s="1"/>
      <c r="BE309" s="1"/>
      <c r="BF309" s="1"/>
      <c r="BG309" s="1"/>
      <c r="BH309" s="1"/>
      <c r="BI309" s="1"/>
      <c r="BJ309" s="1"/>
      <c r="BK309" s="1"/>
      <c r="BL309" s="1"/>
      <c r="BM309" s="1"/>
      <c r="BN309" s="1"/>
      <c r="BO309" s="1"/>
      <c r="BP309" s="1" t="s">
        <v>1037</v>
      </c>
      <c r="BQ309" s="3"/>
      <c r="BR309" s="3"/>
    </row>
    <row r="310" spans="1:70">
      <c r="A310" s="1" t="s">
        <v>70</v>
      </c>
      <c r="B310" s="1" t="s">
        <v>1269</v>
      </c>
      <c r="C310" s="1" t="s">
        <v>6171</v>
      </c>
      <c r="D310" s="1" t="s">
        <v>443</v>
      </c>
      <c r="E310" s="1"/>
      <c r="F310" s="1" t="s">
        <v>6172</v>
      </c>
      <c r="G310" s="1" t="s">
        <v>6173</v>
      </c>
      <c r="H310" s="1" t="s">
        <v>6174</v>
      </c>
      <c r="I310" s="1" t="s">
        <v>6175</v>
      </c>
      <c r="J310" s="1">
        <v>9112180683</v>
      </c>
      <c r="K310" s="1" t="s">
        <v>79</v>
      </c>
      <c r="L310" s="1" t="s">
        <v>6176</v>
      </c>
      <c r="M310" s="1" t="s">
        <v>81</v>
      </c>
      <c r="N310" s="1" t="s">
        <v>2293</v>
      </c>
      <c r="O310" s="1"/>
      <c r="P310" s="1" t="s">
        <v>1766</v>
      </c>
      <c r="Q310" s="1" t="s">
        <v>6177</v>
      </c>
      <c r="R310" s="1" t="s">
        <v>6178</v>
      </c>
      <c r="S310" s="1">
        <v>9423110635</v>
      </c>
      <c r="T310" s="1" t="s">
        <v>120</v>
      </c>
      <c r="U310" s="1" t="s">
        <v>6179</v>
      </c>
      <c r="V310" s="1">
        <v>9420853675</v>
      </c>
      <c r="W310" s="1" t="s">
        <v>120</v>
      </c>
      <c r="X310" s="1" t="s">
        <v>6180</v>
      </c>
      <c r="Y310" s="1" t="s">
        <v>405</v>
      </c>
      <c r="Z310" s="1" t="s">
        <v>92</v>
      </c>
      <c r="AA310" s="1" t="s">
        <v>6180</v>
      </c>
      <c r="AB310" s="1" t="s">
        <v>405</v>
      </c>
      <c r="AC310" s="1" t="s">
        <v>92</v>
      </c>
      <c r="AD310" s="1">
        <v>8.69</v>
      </c>
      <c r="AE310" s="1" t="s">
        <v>93</v>
      </c>
      <c r="AF310" s="1" t="s">
        <v>6181</v>
      </c>
      <c r="AG310" s="1" t="s">
        <v>6182</v>
      </c>
      <c r="AH310" s="1" t="s">
        <v>479</v>
      </c>
      <c r="AI310" s="1" t="s">
        <v>166</v>
      </c>
      <c r="AJ310" s="1">
        <v>78.8</v>
      </c>
      <c r="AK310" s="1"/>
      <c r="AL310" s="1" t="s">
        <v>6183</v>
      </c>
      <c r="AM310" s="1" t="s">
        <v>160</v>
      </c>
      <c r="AN310" s="1" t="s">
        <v>198</v>
      </c>
      <c r="AO310" s="1" t="s">
        <v>360</v>
      </c>
      <c r="AP310" s="1">
        <v>72.62</v>
      </c>
      <c r="AQ310" s="1"/>
      <c r="AR310" s="1"/>
      <c r="AS310" s="1"/>
      <c r="AT310" s="1"/>
      <c r="AU310" s="1"/>
      <c r="AV310" s="1"/>
      <c r="AW310" s="1"/>
      <c r="AX310" s="1" t="s">
        <v>410</v>
      </c>
      <c r="AY310" s="1" t="s">
        <v>6184</v>
      </c>
      <c r="AZ310" s="1" t="s">
        <v>5484</v>
      </c>
      <c r="BA310" s="1" t="s">
        <v>6010</v>
      </c>
      <c r="BB310" s="1">
        <v>72.4</v>
      </c>
      <c r="BC310" s="1">
        <v>7.99</v>
      </c>
      <c r="BD310" s="1"/>
      <c r="BE310" s="1"/>
      <c r="BF310" s="1"/>
      <c r="BG310" s="1"/>
      <c r="BH310" s="1"/>
      <c r="BI310" s="1"/>
      <c r="BJ310" s="1" t="s">
        <v>1521</v>
      </c>
      <c r="BK310" s="1" t="s">
        <v>6185</v>
      </c>
      <c r="BL310" s="1" t="s">
        <v>287</v>
      </c>
      <c r="BM310" s="1" t="s">
        <v>6186</v>
      </c>
      <c r="BN310" s="1">
        <v>25</v>
      </c>
      <c r="BO310" s="1" t="s">
        <v>6187</v>
      </c>
      <c r="BP310" s="1" t="str">
        <f>HYPERLINK("https://nconnect.nicmar.ac.in/storage/profile/ProfilePhoto_P25700255_621347.jpg","Download")</f>
        <v>0</v>
      </c>
      <c r="BQ310" s="3"/>
      <c r="BR310" s="3"/>
    </row>
    <row r="311" spans="1:70">
      <c r="A311" s="1" t="s">
        <v>70</v>
      </c>
      <c r="B311" s="1" t="s">
        <v>1269</v>
      </c>
      <c r="C311" s="1" t="s">
        <v>6188</v>
      </c>
      <c r="D311" s="1" t="s">
        <v>6189</v>
      </c>
      <c r="E311" s="1" t="s">
        <v>2762</v>
      </c>
      <c r="F311" s="1" t="s">
        <v>6190</v>
      </c>
      <c r="G311" s="1" t="s">
        <v>6191</v>
      </c>
      <c r="H311" s="1" t="s">
        <v>6192</v>
      </c>
      <c r="I311" s="1" t="s">
        <v>6193</v>
      </c>
      <c r="J311" s="1">
        <v>9673618669</v>
      </c>
      <c r="K311" s="1" t="s">
        <v>79</v>
      </c>
      <c r="L311" s="1" t="s">
        <v>6194</v>
      </c>
      <c r="M311" s="1" t="s">
        <v>81</v>
      </c>
      <c r="N311" s="1" t="s">
        <v>6195</v>
      </c>
      <c r="O311" s="1"/>
      <c r="P311" s="1" t="s">
        <v>1278</v>
      </c>
      <c r="Q311" s="1" t="s">
        <v>6196</v>
      </c>
      <c r="R311" s="1" t="s">
        <v>2762</v>
      </c>
      <c r="S311" s="1">
        <v>9730085909</v>
      </c>
      <c r="T311" s="1" t="s">
        <v>496</v>
      </c>
      <c r="U311" s="1" t="s">
        <v>693</v>
      </c>
      <c r="V311" s="1">
        <v>9028085909</v>
      </c>
      <c r="W311" s="1" t="s">
        <v>273</v>
      </c>
      <c r="X311" s="1" t="s">
        <v>6197</v>
      </c>
      <c r="Y311" s="1" t="s">
        <v>2786</v>
      </c>
      <c r="Z311" s="1" t="s">
        <v>92</v>
      </c>
      <c r="AA311" s="1" t="s">
        <v>6197</v>
      </c>
      <c r="AB311" s="1" t="s">
        <v>2786</v>
      </c>
      <c r="AC311" s="1" t="s">
        <v>92</v>
      </c>
      <c r="AD311" s="1">
        <v>8.12</v>
      </c>
      <c r="AE311" s="1" t="s">
        <v>93</v>
      </c>
      <c r="AF311" s="1" t="s">
        <v>6198</v>
      </c>
      <c r="AG311" s="1" t="s">
        <v>6199</v>
      </c>
      <c r="AH311" s="1" t="s">
        <v>162</v>
      </c>
      <c r="AI311" s="1" t="s">
        <v>195</v>
      </c>
      <c r="AJ311" s="1">
        <v>78.6</v>
      </c>
      <c r="AK311" s="1"/>
      <c r="AL311" s="1"/>
      <c r="AM311" s="1"/>
      <c r="AN311" s="1"/>
      <c r="AO311" s="1"/>
      <c r="AP311" s="1"/>
      <c r="AQ311" s="1"/>
      <c r="AR311" s="1" t="s">
        <v>98</v>
      </c>
      <c r="AS311" s="1" t="s">
        <v>6200</v>
      </c>
      <c r="AT311" s="1" t="s">
        <v>383</v>
      </c>
      <c r="AU311" s="1" t="s">
        <v>412</v>
      </c>
      <c r="AV311" s="1">
        <v>82.58</v>
      </c>
      <c r="AW311" s="1"/>
      <c r="AX311" s="1" t="s">
        <v>361</v>
      </c>
      <c r="AY311" s="1" t="s">
        <v>6201</v>
      </c>
      <c r="AZ311" s="1" t="s">
        <v>173</v>
      </c>
      <c r="BA311" s="1" t="s">
        <v>682</v>
      </c>
      <c r="BB311" s="1">
        <v>77.2</v>
      </c>
      <c r="BC311" s="1">
        <v>8.47</v>
      </c>
      <c r="BD311" s="1"/>
      <c r="BE311" s="1"/>
      <c r="BF311" s="1"/>
      <c r="BG311" s="1"/>
      <c r="BH311" s="1"/>
      <c r="BI311" s="1"/>
      <c r="BJ311" s="1" t="s">
        <v>255</v>
      </c>
      <c r="BK311" s="1" t="s">
        <v>6202</v>
      </c>
      <c r="BL311" s="1" t="s">
        <v>3239</v>
      </c>
      <c r="BM311" s="1" t="s">
        <v>6203</v>
      </c>
      <c r="BN311" s="1">
        <v>11</v>
      </c>
      <c r="BO311" s="1"/>
      <c r="BP311" s="1" t="str">
        <f>HYPERLINK("https://nconnect.nicmar.ac.in/storage/profile/ProfilePhoto_P25700256_314276.jpg","Download")</f>
        <v>0</v>
      </c>
      <c r="BQ311" s="3"/>
      <c r="BR311" s="3"/>
    </row>
    <row r="312" spans="1:70">
      <c r="A312" s="1" t="s">
        <v>70</v>
      </c>
      <c r="B312" s="1" t="s">
        <v>1269</v>
      </c>
      <c r="C312" s="1" t="s">
        <v>6204</v>
      </c>
      <c r="D312" s="1" t="s">
        <v>1039</v>
      </c>
      <c r="E312" s="1" t="s">
        <v>5452</v>
      </c>
      <c r="F312" s="1" t="s">
        <v>6205</v>
      </c>
      <c r="G312" s="1" t="s">
        <v>6206</v>
      </c>
      <c r="H312" s="1" t="s">
        <v>6207</v>
      </c>
      <c r="I312" s="1" t="s">
        <v>6208</v>
      </c>
      <c r="J312" s="1">
        <v>8600242149</v>
      </c>
      <c r="K312" s="1" t="s">
        <v>79</v>
      </c>
      <c r="L312" s="1" t="s">
        <v>1062</v>
      </c>
      <c r="M312" s="1" t="s">
        <v>81</v>
      </c>
      <c r="N312" s="1" t="s">
        <v>1986</v>
      </c>
      <c r="O312" s="1"/>
      <c r="P312" s="1" t="s">
        <v>1323</v>
      </c>
      <c r="Q312" s="1" t="s">
        <v>6209</v>
      </c>
      <c r="R312" s="1" t="s">
        <v>6210</v>
      </c>
      <c r="S312" s="1">
        <v>7559482572</v>
      </c>
      <c r="T312" s="1" t="s">
        <v>120</v>
      </c>
      <c r="U312" s="1" t="s">
        <v>6211</v>
      </c>
      <c r="V312" s="1">
        <v>7030806048</v>
      </c>
      <c r="W312" s="1" t="s">
        <v>156</v>
      </c>
      <c r="X312" s="1" t="s">
        <v>6212</v>
      </c>
      <c r="Y312" s="1" t="s">
        <v>5064</v>
      </c>
      <c r="Z312" s="1" t="s">
        <v>92</v>
      </c>
      <c r="AA312" s="1" t="s">
        <v>6212</v>
      </c>
      <c r="AB312" s="1" t="s">
        <v>5064</v>
      </c>
      <c r="AC312" s="1" t="s">
        <v>92</v>
      </c>
      <c r="AD312" s="1">
        <v>8.16</v>
      </c>
      <c r="AE312" s="1" t="s">
        <v>93</v>
      </c>
      <c r="AF312" s="1" t="s">
        <v>6213</v>
      </c>
      <c r="AG312" s="1" t="s">
        <v>5717</v>
      </c>
      <c r="AH312" s="1" t="s">
        <v>383</v>
      </c>
      <c r="AI312" s="1" t="s">
        <v>166</v>
      </c>
      <c r="AJ312" s="1">
        <v>85.8</v>
      </c>
      <c r="AK312" s="1"/>
      <c r="AL312" s="1" t="s">
        <v>6214</v>
      </c>
      <c r="AM312" s="1" t="s">
        <v>5717</v>
      </c>
      <c r="AN312" s="1" t="s">
        <v>169</v>
      </c>
      <c r="AO312" s="1" t="s">
        <v>173</v>
      </c>
      <c r="AP312" s="1">
        <v>76.15</v>
      </c>
      <c r="AQ312" s="1"/>
      <c r="AR312" s="1"/>
      <c r="AS312" s="1"/>
      <c r="AT312" s="1"/>
      <c r="AU312" s="1"/>
      <c r="AV312" s="1"/>
      <c r="AW312" s="1"/>
      <c r="AX312" s="1" t="s">
        <v>253</v>
      </c>
      <c r="AY312" s="1" t="s">
        <v>6215</v>
      </c>
      <c r="AZ312" s="1" t="s">
        <v>681</v>
      </c>
      <c r="BA312" s="1" t="s">
        <v>413</v>
      </c>
      <c r="BB312" s="1">
        <v>70.31</v>
      </c>
      <c r="BC312" s="1">
        <v>7.84</v>
      </c>
      <c r="BD312" s="1"/>
      <c r="BE312" s="1"/>
      <c r="BF312" s="1"/>
      <c r="BG312" s="1"/>
      <c r="BH312" s="1"/>
      <c r="BI312" s="1"/>
      <c r="BJ312" s="1" t="s">
        <v>1383</v>
      </c>
      <c r="BK312" s="1" t="s">
        <v>6216</v>
      </c>
      <c r="BL312" s="1" t="s">
        <v>1895</v>
      </c>
      <c r="BM312" s="1" t="s">
        <v>6217</v>
      </c>
      <c r="BN312" s="1">
        <v>13</v>
      </c>
      <c r="BO312" s="1"/>
      <c r="BP312" s="1" t="str">
        <f>HYPERLINK("https://nconnect.nicmar.ac.in/storage/profile/ProfilePhoto_P25700257_416537.jpg","Download")</f>
        <v>0</v>
      </c>
      <c r="BQ312" s="3"/>
      <c r="BR312" s="3"/>
    </row>
    <row r="313" spans="1:70">
      <c r="A313" s="1" t="s">
        <v>70</v>
      </c>
      <c r="B313" s="1" t="s">
        <v>1269</v>
      </c>
      <c r="C313" s="1" t="s">
        <v>6218</v>
      </c>
      <c r="D313" s="1" t="s">
        <v>6219</v>
      </c>
      <c r="E313" s="1"/>
      <c r="F313" s="1" t="s">
        <v>2713</v>
      </c>
      <c r="G313" s="1" t="s">
        <v>6220</v>
      </c>
      <c r="H313" s="1" t="s">
        <v>6221</v>
      </c>
      <c r="I313" s="1" t="s">
        <v>6222</v>
      </c>
      <c r="J313" s="1">
        <v>9553045358</v>
      </c>
      <c r="K313" s="1" t="s">
        <v>79</v>
      </c>
      <c r="L313" s="1" t="s">
        <v>6223</v>
      </c>
      <c r="M313" s="1" t="s">
        <v>81</v>
      </c>
      <c r="N313" s="1" t="s">
        <v>6224</v>
      </c>
      <c r="O313" s="1"/>
      <c r="P313" s="1" t="s">
        <v>1298</v>
      </c>
      <c r="Q313" s="1" t="s">
        <v>6225</v>
      </c>
      <c r="R313" s="1" t="s">
        <v>6226</v>
      </c>
      <c r="S313" s="1">
        <v>9491235174</v>
      </c>
      <c r="T313" s="1" t="s">
        <v>6227</v>
      </c>
      <c r="U313" s="1" t="s">
        <v>6228</v>
      </c>
      <c r="V313" s="1">
        <v>9000686105</v>
      </c>
      <c r="W313" s="1" t="s">
        <v>273</v>
      </c>
      <c r="X313" s="1" t="s">
        <v>6229</v>
      </c>
      <c r="Y313" s="1" t="s">
        <v>4818</v>
      </c>
      <c r="Z313" s="1" t="s">
        <v>609</v>
      </c>
      <c r="AA313" s="1" t="s">
        <v>6229</v>
      </c>
      <c r="AB313" s="1" t="s">
        <v>4818</v>
      </c>
      <c r="AC313" s="1" t="s">
        <v>609</v>
      </c>
      <c r="AD313" s="1">
        <v>7.83</v>
      </c>
      <c r="AE313" s="1" t="s">
        <v>93</v>
      </c>
      <c r="AF313" s="1" t="s">
        <v>6230</v>
      </c>
      <c r="AG313" s="1" t="s">
        <v>6231</v>
      </c>
      <c r="AH313" s="1" t="s">
        <v>657</v>
      </c>
      <c r="AI313" s="1" t="s">
        <v>727</v>
      </c>
      <c r="AJ313" s="1">
        <v>60</v>
      </c>
      <c r="AK313" s="1">
        <v>6</v>
      </c>
      <c r="AL313" s="1" t="s">
        <v>6232</v>
      </c>
      <c r="AM313" s="1" t="s">
        <v>6233</v>
      </c>
      <c r="AN313" s="1" t="s">
        <v>128</v>
      </c>
      <c r="AO313" s="1" t="s">
        <v>999</v>
      </c>
      <c r="AP313" s="1">
        <v>81.2</v>
      </c>
      <c r="AQ313" s="1"/>
      <c r="AR313" s="1"/>
      <c r="AS313" s="1"/>
      <c r="AT313" s="1"/>
      <c r="AU313" s="1"/>
      <c r="AV313" s="1"/>
      <c r="AW313" s="1"/>
      <c r="AX313" s="1" t="s">
        <v>282</v>
      </c>
      <c r="AY313" s="1" t="s">
        <v>6234</v>
      </c>
      <c r="AZ313" s="1" t="s">
        <v>6235</v>
      </c>
      <c r="BA313" s="1" t="s">
        <v>506</v>
      </c>
      <c r="BB313" s="1">
        <v>60.21</v>
      </c>
      <c r="BC313" s="1"/>
      <c r="BD313" s="1"/>
      <c r="BE313" s="1"/>
      <c r="BF313" s="1"/>
      <c r="BG313" s="1"/>
      <c r="BH313" s="1"/>
      <c r="BI313" s="1"/>
      <c r="BJ313" s="1" t="s">
        <v>1383</v>
      </c>
      <c r="BK313" s="1"/>
      <c r="BL313" s="1"/>
      <c r="BM313" s="1" t="s">
        <v>6236</v>
      </c>
      <c r="BN313" s="1">
        <v>67</v>
      </c>
      <c r="BO313" s="1"/>
      <c r="BP313" s="1" t="str">
        <f>HYPERLINK("https://nconnect.nicmar.ac.in/storage/profile/ProfilePhoto_P25700258_493578.jpg","Download")</f>
        <v>0</v>
      </c>
      <c r="BQ313" s="3"/>
      <c r="BR313" s="3"/>
    </row>
    <row r="314" spans="1:70">
      <c r="A314" s="1" t="s">
        <v>70</v>
      </c>
      <c r="B314" s="1" t="s">
        <v>1269</v>
      </c>
      <c r="C314" s="1" t="s">
        <v>6237</v>
      </c>
      <c r="D314" s="1" t="s">
        <v>6238</v>
      </c>
      <c r="E314" s="1" t="s">
        <v>6239</v>
      </c>
      <c r="F314" s="1" t="s">
        <v>6240</v>
      </c>
      <c r="G314" s="1" t="s">
        <v>6241</v>
      </c>
      <c r="H314" s="1" t="s">
        <v>6242</v>
      </c>
      <c r="I314" s="1" t="s">
        <v>6243</v>
      </c>
      <c r="J314" s="1">
        <v>7382453686</v>
      </c>
      <c r="K314" s="1" t="s">
        <v>148</v>
      </c>
      <c r="L314" s="1" t="s">
        <v>6244</v>
      </c>
      <c r="M314" s="1" t="s">
        <v>81</v>
      </c>
      <c r="N314" s="1" t="s">
        <v>6245</v>
      </c>
      <c r="O314" s="1"/>
      <c r="P314" s="1" t="s">
        <v>1323</v>
      </c>
      <c r="Q314" s="1" t="s">
        <v>6246</v>
      </c>
      <c r="R314" s="1" t="s">
        <v>6247</v>
      </c>
      <c r="S314" s="1">
        <v>9247328307</v>
      </c>
      <c r="T314" s="1" t="s">
        <v>6248</v>
      </c>
      <c r="U314" s="1" t="s">
        <v>6249</v>
      </c>
      <c r="V314" s="1">
        <v>8367378946</v>
      </c>
      <c r="W314" s="1" t="s">
        <v>122</v>
      </c>
      <c r="X314" s="1" t="s">
        <v>6250</v>
      </c>
      <c r="Y314" s="1" t="s">
        <v>3441</v>
      </c>
      <c r="Z314" s="1" t="s">
        <v>609</v>
      </c>
      <c r="AA314" s="1" t="s">
        <v>6251</v>
      </c>
      <c r="AB314" s="1" t="s">
        <v>3441</v>
      </c>
      <c r="AC314" s="1" t="s">
        <v>609</v>
      </c>
      <c r="AD314" s="1">
        <v>7.83</v>
      </c>
      <c r="AE314" s="1" t="s">
        <v>93</v>
      </c>
      <c r="AF314" s="1" t="s">
        <v>6252</v>
      </c>
      <c r="AG314" s="1" t="s">
        <v>1285</v>
      </c>
      <c r="AH314" s="1" t="s">
        <v>130</v>
      </c>
      <c r="AI314" s="1" t="s">
        <v>337</v>
      </c>
      <c r="AJ314" s="1">
        <v>83</v>
      </c>
      <c r="AK314" s="1">
        <v>8.3</v>
      </c>
      <c r="AL314" s="1" t="s">
        <v>612</v>
      </c>
      <c r="AM314" s="1" t="s">
        <v>613</v>
      </c>
      <c r="AN314" s="1" t="s">
        <v>279</v>
      </c>
      <c r="AO314" s="1" t="s">
        <v>678</v>
      </c>
      <c r="AP314" s="1">
        <v>82.5</v>
      </c>
      <c r="AQ314" s="1">
        <v>8.25</v>
      </c>
      <c r="AR314" s="1"/>
      <c r="AS314" s="1"/>
      <c r="AT314" s="1"/>
      <c r="AU314" s="1"/>
      <c r="AV314" s="1"/>
      <c r="AW314" s="1"/>
      <c r="AX314" s="1" t="s">
        <v>6253</v>
      </c>
      <c r="AY314" s="1" t="s">
        <v>6254</v>
      </c>
      <c r="AZ314" s="1" t="s">
        <v>6255</v>
      </c>
      <c r="BA314" s="1" t="s">
        <v>481</v>
      </c>
      <c r="BB314" s="1">
        <v>69</v>
      </c>
      <c r="BC314" s="1">
        <v>6.99</v>
      </c>
      <c r="BD314" s="1"/>
      <c r="BE314" s="1"/>
      <c r="BF314" s="1"/>
      <c r="BG314" s="1"/>
      <c r="BH314" s="1"/>
      <c r="BI314" s="1"/>
      <c r="BJ314" s="1" t="s">
        <v>6256</v>
      </c>
      <c r="BK314" s="1" t="s">
        <v>6257</v>
      </c>
      <c r="BL314" s="1" t="s">
        <v>1543</v>
      </c>
      <c r="BM314" s="1" t="s">
        <v>6258</v>
      </c>
      <c r="BN314" s="1">
        <v>81</v>
      </c>
      <c r="BO314" s="1"/>
      <c r="BP314" s="1" t="str">
        <f>HYPERLINK("https://nconnect.nicmar.ac.in/storage/profile/ProfilePhoto_P25700259_153496.jpg","Download")</f>
        <v>0</v>
      </c>
      <c r="BQ314" s="3"/>
      <c r="BR314" s="3"/>
    </row>
    <row r="315" spans="1:70">
      <c r="A315" s="1" t="s">
        <v>70</v>
      </c>
      <c r="B315" s="1" t="s">
        <v>1269</v>
      </c>
      <c r="C315" s="1" t="s">
        <v>6259</v>
      </c>
      <c r="D315" s="1" t="s">
        <v>6260</v>
      </c>
      <c r="E315" s="1"/>
      <c r="F315" s="1" t="s">
        <v>6261</v>
      </c>
      <c r="G315" s="1" t="s">
        <v>6262</v>
      </c>
      <c r="H315" s="1" t="s">
        <v>6263</v>
      </c>
      <c r="I315" s="1" t="s">
        <v>6264</v>
      </c>
      <c r="J315" s="1">
        <v>7080247966</v>
      </c>
      <c r="K315" s="1" t="s">
        <v>79</v>
      </c>
      <c r="L315" s="1" t="s">
        <v>6265</v>
      </c>
      <c r="M315" s="1" t="s">
        <v>81</v>
      </c>
      <c r="N315" s="1" t="s">
        <v>241</v>
      </c>
      <c r="O315" s="1"/>
      <c r="P315" s="1" t="s">
        <v>1766</v>
      </c>
      <c r="Q315" s="1" t="s">
        <v>6266</v>
      </c>
      <c r="R315" s="1" t="s">
        <v>6267</v>
      </c>
      <c r="S315" s="1">
        <v>9369587129</v>
      </c>
      <c r="T315" s="1" t="s">
        <v>6268</v>
      </c>
      <c r="U315" s="1" t="s">
        <v>6269</v>
      </c>
      <c r="V315" s="1">
        <v>7380773645</v>
      </c>
      <c r="W315" s="1" t="s">
        <v>3344</v>
      </c>
      <c r="X315" s="1" t="s">
        <v>6270</v>
      </c>
      <c r="Y315" s="1" t="s">
        <v>6271</v>
      </c>
      <c r="Z315" s="1" t="s">
        <v>1355</v>
      </c>
      <c r="AA315" s="1" t="s">
        <v>6270</v>
      </c>
      <c r="AB315" s="1" t="s">
        <v>6271</v>
      </c>
      <c r="AC315" s="1" t="s">
        <v>1355</v>
      </c>
      <c r="AD315" s="1">
        <v>8.3</v>
      </c>
      <c r="AE315" s="1" t="s">
        <v>93</v>
      </c>
      <c r="AF315" s="1" t="s">
        <v>6272</v>
      </c>
      <c r="AG315" s="1" t="s">
        <v>1196</v>
      </c>
      <c r="AH315" s="1" t="s">
        <v>131</v>
      </c>
      <c r="AI315" s="1" t="s">
        <v>527</v>
      </c>
      <c r="AJ315" s="1">
        <v>89.3</v>
      </c>
      <c r="AK315" s="1">
        <v>9.4</v>
      </c>
      <c r="AL315" s="1" t="s">
        <v>6272</v>
      </c>
      <c r="AM315" s="1" t="s">
        <v>1196</v>
      </c>
      <c r="AN315" s="1" t="s">
        <v>479</v>
      </c>
      <c r="AO315" s="1" t="s">
        <v>166</v>
      </c>
      <c r="AP315" s="1">
        <v>73.4</v>
      </c>
      <c r="AQ315" s="1">
        <v>0</v>
      </c>
      <c r="AR315" s="1"/>
      <c r="AS315" s="1"/>
      <c r="AT315" s="1"/>
      <c r="AU315" s="1"/>
      <c r="AV315" s="1"/>
      <c r="AW315" s="1"/>
      <c r="AX315" s="1" t="s">
        <v>2885</v>
      </c>
      <c r="AY315" s="1" t="s">
        <v>6273</v>
      </c>
      <c r="AZ315" s="1" t="s">
        <v>699</v>
      </c>
      <c r="BA315" s="1" t="s">
        <v>202</v>
      </c>
      <c r="BB315" s="1">
        <v>82.8</v>
      </c>
      <c r="BC315" s="1">
        <v>8.28</v>
      </c>
      <c r="BD315" s="1"/>
      <c r="BE315" s="1"/>
      <c r="BF315" s="1"/>
      <c r="BG315" s="1"/>
      <c r="BH315" s="1"/>
      <c r="BI315" s="1"/>
      <c r="BJ315" s="1" t="s">
        <v>1383</v>
      </c>
      <c r="BK315" s="1"/>
      <c r="BL315" s="1"/>
      <c r="BM315" s="1" t="s">
        <v>6274</v>
      </c>
      <c r="BN315" s="1">
        <v>4</v>
      </c>
      <c r="BO315" s="1"/>
      <c r="BP315" s="1" t="str">
        <f>HYPERLINK("https://nconnect.nicmar.ac.in/storage/profile/ProfilePhoto_P25700260_867251.jpg","Download")</f>
        <v>0</v>
      </c>
      <c r="BQ315" s="3"/>
      <c r="BR315" s="3"/>
    </row>
    <row r="316" spans="1:70">
      <c r="A316" s="1" t="s">
        <v>70</v>
      </c>
      <c r="B316" s="1" t="s">
        <v>1269</v>
      </c>
      <c r="C316" s="1" t="s">
        <v>6275</v>
      </c>
      <c r="D316" s="1" t="s">
        <v>6276</v>
      </c>
      <c r="E316" s="1"/>
      <c r="F316" s="1" t="s">
        <v>6277</v>
      </c>
      <c r="G316" s="1" t="s">
        <v>6278</v>
      </c>
      <c r="H316" s="1" t="s">
        <v>6279</v>
      </c>
      <c r="I316" s="1" t="s">
        <v>6280</v>
      </c>
      <c r="J316" s="1">
        <v>7897715939</v>
      </c>
      <c r="K316" s="1" t="s">
        <v>79</v>
      </c>
      <c r="L316" s="1" t="s">
        <v>6281</v>
      </c>
      <c r="M316" s="1" t="s">
        <v>81</v>
      </c>
      <c r="N316" s="1" t="s">
        <v>5040</v>
      </c>
      <c r="O316" s="1"/>
      <c r="P316" s="1" t="s">
        <v>1323</v>
      </c>
      <c r="Q316" s="1" t="s">
        <v>6282</v>
      </c>
      <c r="R316" s="1" t="s">
        <v>6283</v>
      </c>
      <c r="S316" s="1">
        <v>9336053495</v>
      </c>
      <c r="T316" s="1" t="s">
        <v>120</v>
      </c>
      <c r="U316" s="1" t="s">
        <v>6284</v>
      </c>
      <c r="V316" s="1">
        <v>8840774313</v>
      </c>
      <c r="W316" s="1" t="s">
        <v>120</v>
      </c>
      <c r="X316" s="1" t="s">
        <v>6285</v>
      </c>
      <c r="Y316" s="1" t="s">
        <v>1911</v>
      </c>
      <c r="Z316" s="1" t="s">
        <v>1355</v>
      </c>
      <c r="AA316" s="1" t="s">
        <v>6285</v>
      </c>
      <c r="AB316" s="1" t="s">
        <v>1911</v>
      </c>
      <c r="AC316" s="1" t="s">
        <v>1355</v>
      </c>
      <c r="AD316" s="1">
        <v>7.85</v>
      </c>
      <c r="AE316" s="1" t="s">
        <v>93</v>
      </c>
      <c r="AF316" s="1" t="s">
        <v>6286</v>
      </c>
      <c r="AG316" s="1" t="s">
        <v>6287</v>
      </c>
      <c r="AH316" s="1" t="s">
        <v>503</v>
      </c>
      <c r="AI316" s="1" t="s">
        <v>527</v>
      </c>
      <c r="AJ316" s="1">
        <v>78.16</v>
      </c>
      <c r="AK316" s="1">
        <v>8.22</v>
      </c>
      <c r="AL316" s="1" t="s">
        <v>4191</v>
      </c>
      <c r="AM316" s="1" t="s">
        <v>6288</v>
      </c>
      <c r="AN316" s="1" t="s">
        <v>678</v>
      </c>
      <c r="AO316" s="1" t="s">
        <v>166</v>
      </c>
      <c r="AP316" s="1">
        <v>70.66</v>
      </c>
      <c r="AQ316" s="1">
        <v>7.43</v>
      </c>
      <c r="AR316" s="1"/>
      <c r="AS316" s="1"/>
      <c r="AT316" s="1"/>
      <c r="AU316" s="1"/>
      <c r="AV316" s="1"/>
      <c r="AW316" s="1"/>
      <c r="AX316" s="1" t="s">
        <v>3425</v>
      </c>
      <c r="AY316" s="1" t="s">
        <v>6289</v>
      </c>
      <c r="AZ316" s="1" t="s">
        <v>166</v>
      </c>
      <c r="BA316" s="1" t="s">
        <v>1003</v>
      </c>
      <c r="BB316" s="1">
        <v>80.6</v>
      </c>
      <c r="BC316" s="1">
        <v>8.06</v>
      </c>
      <c r="BD316" s="1"/>
      <c r="BE316" s="1"/>
      <c r="BF316" s="1"/>
      <c r="BG316" s="1"/>
      <c r="BH316" s="1"/>
      <c r="BI316" s="1"/>
      <c r="BJ316" s="1" t="s">
        <v>1383</v>
      </c>
      <c r="BK316" s="1" t="s">
        <v>6290</v>
      </c>
      <c r="BL316" s="1" t="s">
        <v>1289</v>
      </c>
      <c r="BM316" s="1" t="s">
        <v>6291</v>
      </c>
      <c r="BN316" s="1">
        <v>44</v>
      </c>
      <c r="BO316" s="1"/>
      <c r="BP316" s="1" t="str">
        <f>HYPERLINK("https://nconnect.nicmar.ac.in/storage/profile/ProfilePhoto_P25700261_127954.jpg","Download")</f>
        <v>0</v>
      </c>
      <c r="BQ316" s="3"/>
      <c r="BR316" s="3"/>
    </row>
    <row r="317" spans="1:70">
      <c r="A317" s="1" t="s">
        <v>70</v>
      </c>
      <c r="B317" s="1" t="s">
        <v>1269</v>
      </c>
      <c r="C317" s="1" t="s">
        <v>6292</v>
      </c>
      <c r="D317" s="1" t="s">
        <v>6293</v>
      </c>
      <c r="E317" s="1" t="s">
        <v>6294</v>
      </c>
      <c r="F317" s="1" t="s">
        <v>6295</v>
      </c>
      <c r="G317" s="1" t="s">
        <v>6296</v>
      </c>
      <c r="H317" s="1" t="s">
        <v>6297</v>
      </c>
      <c r="I317" s="1" t="s">
        <v>6298</v>
      </c>
      <c r="J317" s="1">
        <v>7030108300</v>
      </c>
      <c r="K317" s="1" t="s">
        <v>79</v>
      </c>
      <c r="L317" s="1" t="s">
        <v>6299</v>
      </c>
      <c r="M317" s="1" t="s">
        <v>81</v>
      </c>
      <c r="N317" s="1" t="s">
        <v>1618</v>
      </c>
      <c r="O317" s="1"/>
      <c r="P317" s="1" t="s">
        <v>1323</v>
      </c>
      <c r="Q317" s="1" t="s">
        <v>6300</v>
      </c>
      <c r="R317" s="1" t="s">
        <v>6294</v>
      </c>
      <c r="S317" s="1">
        <v>9049759321</v>
      </c>
      <c r="T317" s="1" t="s">
        <v>6301</v>
      </c>
      <c r="U317" s="1" t="s">
        <v>3231</v>
      </c>
      <c r="V317" s="1">
        <v>8554922487</v>
      </c>
      <c r="W317" s="1" t="s">
        <v>651</v>
      </c>
      <c r="X317" s="1" t="s">
        <v>6302</v>
      </c>
      <c r="Y317" s="1" t="s">
        <v>567</v>
      </c>
      <c r="Z317" s="1" t="s">
        <v>92</v>
      </c>
      <c r="AA317" s="1" t="s">
        <v>6302</v>
      </c>
      <c r="AB317" s="1" t="s">
        <v>567</v>
      </c>
      <c r="AC317" s="1" t="s">
        <v>92</v>
      </c>
      <c r="AD317" s="1">
        <v>8.95</v>
      </c>
      <c r="AE317" s="1" t="s">
        <v>93</v>
      </c>
      <c r="AF317" s="1" t="s">
        <v>6303</v>
      </c>
      <c r="AG317" s="1" t="s">
        <v>160</v>
      </c>
      <c r="AH317" s="1" t="s">
        <v>162</v>
      </c>
      <c r="AI317" s="1" t="s">
        <v>165</v>
      </c>
      <c r="AJ317" s="1">
        <v>72.6</v>
      </c>
      <c r="AK317" s="1"/>
      <c r="AL317" s="1" t="s">
        <v>6304</v>
      </c>
      <c r="AM317" s="1" t="s">
        <v>160</v>
      </c>
      <c r="AN317" s="1" t="s">
        <v>166</v>
      </c>
      <c r="AO317" s="1" t="s">
        <v>308</v>
      </c>
      <c r="AP317" s="1">
        <v>58</v>
      </c>
      <c r="AQ317" s="1"/>
      <c r="AR317" s="1" t="s">
        <v>98</v>
      </c>
      <c r="AS317" s="1" t="s">
        <v>6305</v>
      </c>
      <c r="AT317" s="1" t="s">
        <v>201</v>
      </c>
      <c r="AU317" s="1" t="s">
        <v>436</v>
      </c>
      <c r="AV317" s="1">
        <v>87.84</v>
      </c>
      <c r="AW317" s="1"/>
      <c r="AX317" s="1" t="s">
        <v>410</v>
      </c>
      <c r="AY317" s="1" t="s">
        <v>6306</v>
      </c>
      <c r="AZ317" s="1" t="s">
        <v>1407</v>
      </c>
      <c r="BA317" s="1" t="s">
        <v>202</v>
      </c>
      <c r="BB317" s="1">
        <v>84.7</v>
      </c>
      <c r="BC317" s="1">
        <v>9.22</v>
      </c>
      <c r="BD317" s="1"/>
      <c r="BE317" s="1"/>
      <c r="BF317" s="1"/>
      <c r="BG317" s="1"/>
      <c r="BH317" s="1"/>
      <c r="BI317" s="1"/>
      <c r="BJ317" s="1" t="s">
        <v>6307</v>
      </c>
      <c r="BK317" s="1"/>
      <c r="BL317" s="1"/>
      <c r="BM317" s="1" t="s">
        <v>6308</v>
      </c>
      <c r="BN317" s="1">
        <v>26</v>
      </c>
      <c r="BO317" s="1"/>
      <c r="BP317" s="1" t="str">
        <f>HYPERLINK("https://nconnect.nicmar.ac.in/storage/profile/ProfilePhoto_P25700262_867913.jpg","Download")</f>
        <v>0</v>
      </c>
      <c r="BQ317" s="3"/>
      <c r="BR317" s="3"/>
    </row>
    <row r="318" spans="1:70">
      <c r="A318" s="1" t="s">
        <v>70</v>
      </c>
      <c r="B318" s="1" t="s">
        <v>1269</v>
      </c>
      <c r="C318" s="1" t="s">
        <v>6309</v>
      </c>
      <c r="D318" s="1" t="s">
        <v>6310</v>
      </c>
      <c r="E318" s="1" t="s">
        <v>6311</v>
      </c>
      <c r="F318" s="1" t="s">
        <v>6312</v>
      </c>
      <c r="G318" s="1" t="s">
        <v>6313</v>
      </c>
      <c r="H318" s="1" t="s">
        <v>6314</v>
      </c>
      <c r="I318" s="1" t="s">
        <v>6315</v>
      </c>
      <c r="J318" s="1">
        <v>8600550575</v>
      </c>
      <c r="K318" s="1" t="s">
        <v>79</v>
      </c>
      <c r="L318" s="1" t="s">
        <v>6316</v>
      </c>
      <c r="M318" s="1" t="s">
        <v>81</v>
      </c>
      <c r="N318" s="1" t="s">
        <v>6317</v>
      </c>
      <c r="O318" s="1"/>
      <c r="P318" s="1" t="s">
        <v>1298</v>
      </c>
      <c r="Q318" s="1" t="s">
        <v>6318</v>
      </c>
      <c r="R318" s="1" t="s">
        <v>6311</v>
      </c>
      <c r="S318" s="1">
        <v>9823242722</v>
      </c>
      <c r="T318" s="1" t="s">
        <v>496</v>
      </c>
      <c r="U318" s="1" t="s">
        <v>6319</v>
      </c>
      <c r="V318" s="1">
        <v>9764326323</v>
      </c>
      <c r="W318" s="1" t="s">
        <v>122</v>
      </c>
      <c r="X318" s="1" t="s">
        <v>6320</v>
      </c>
      <c r="Y318" s="1" t="s">
        <v>158</v>
      </c>
      <c r="Z318" s="1" t="s">
        <v>92</v>
      </c>
      <c r="AA318" s="1" t="s">
        <v>6320</v>
      </c>
      <c r="AB318" s="1" t="s">
        <v>158</v>
      </c>
      <c r="AC318" s="1" t="s">
        <v>92</v>
      </c>
      <c r="AD318" s="1">
        <v>7.82</v>
      </c>
      <c r="AE318" s="1" t="s">
        <v>93</v>
      </c>
      <c r="AF318" s="1" t="s">
        <v>6321</v>
      </c>
      <c r="AG318" s="1" t="s">
        <v>6322</v>
      </c>
      <c r="AH318" s="1" t="s">
        <v>161</v>
      </c>
      <c r="AI318" s="1" t="s">
        <v>479</v>
      </c>
      <c r="AJ318" s="1">
        <v>62.2</v>
      </c>
      <c r="AK318" s="1"/>
      <c r="AL318" s="1" t="s">
        <v>612</v>
      </c>
      <c r="AM318" s="1" t="s">
        <v>6323</v>
      </c>
      <c r="AN318" s="1" t="s">
        <v>165</v>
      </c>
      <c r="AO318" s="1" t="s">
        <v>308</v>
      </c>
      <c r="AP318" s="1">
        <v>70.7</v>
      </c>
      <c r="AQ318" s="1"/>
      <c r="AR318" s="1"/>
      <c r="AS318" s="1"/>
      <c r="AT318" s="1"/>
      <c r="AU318" s="1"/>
      <c r="AV318" s="1"/>
      <c r="AW318" s="1"/>
      <c r="AX318" s="1" t="s">
        <v>6324</v>
      </c>
      <c r="AY318" s="1" t="s">
        <v>6325</v>
      </c>
      <c r="AZ318" s="1" t="s">
        <v>308</v>
      </c>
      <c r="BA318" s="1" t="s">
        <v>682</v>
      </c>
      <c r="BB318" s="1">
        <v>79.2</v>
      </c>
      <c r="BC318" s="1">
        <v>7.92</v>
      </c>
      <c r="BD318" s="1"/>
      <c r="BE318" s="1"/>
      <c r="BF318" s="1"/>
      <c r="BG318" s="1"/>
      <c r="BH318" s="1"/>
      <c r="BI318" s="1"/>
      <c r="BJ318" s="1" t="s">
        <v>1521</v>
      </c>
      <c r="BK318" s="1"/>
      <c r="BL318" s="1"/>
      <c r="BM318" s="1" t="s">
        <v>6326</v>
      </c>
      <c r="BN318" s="1">
        <v>9</v>
      </c>
      <c r="BO318" s="1" t="s">
        <v>6327</v>
      </c>
      <c r="BP318" s="1" t="str">
        <f>HYPERLINK("https://nconnect.nicmar.ac.in/storage/profile/ProfilePhoto_P25700263_426175.jpg","Download")</f>
        <v>0</v>
      </c>
      <c r="BQ318" s="3"/>
      <c r="BR318" s="3"/>
    </row>
    <row r="319" spans="1:70">
      <c r="A319" s="1" t="s">
        <v>70</v>
      </c>
      <c r="B319" s="1" t="s">
        <v>1269</v>
      </c>
      <c r="C319" s="1" t="s">
        <v>6328</v>
      </c>
      <c r="D319" s="1" t="s">
        <v>6329</v>
      </c>
      <c r="E319" s="1" t="s">
        <v>596</v>
      </c>
      <c r="F319" s="1" t="s">
        <v>6330</v>
      </c>
      <c r="G319" s="1" t="s">
        <v>6331</v>
      </c>
      <c r="H319" s="1" t="s">
        <v>6332</v>
      </c>
      <c r="I319" s="1" t="s">
        <v>6333</v>
      </c>
      <c r="J319" s="1">
        <v>9479765927</v>
      </c>
      <c r="K319" s="1" t="s">
        <v>79</v>
      </c>
      <c r="L319" s="1" t="s">
        <v>6334</v>
      </c>
      <c r="M319" s="1" t="s">
        <v>81</v>
      </c>
      <c r="N319" s="1" t="s">
        <v>350</v>
      </c>
      <c r="O319" s="1"/>
      <c r="P319" s="1" t="s">
        <v>1278</v>
      </c>
      <c r="Q319" s="1" t="s">
        <v>6335</v>
      </c>
      <c r="R319" s="1" t="s">
        <v>6336</v>
      </c>
      <c r="S319" s="1">
        <v>9340086527</v>
      </c>
      <c r="T319" s="1" t="s">
        <v>1953</v>
      </c>
      <c r="U319" s="1" t="s">
        <v>6337</v>
      </c>
      <c r="V319" s="1">
        <v>9425866008</v>
      </c>
      <c r="W319" s="1" t="s">
        <v>6338</v>
      </c>
      <c r="X319" s="1" t="s">
        <v>6339</v>
      </c>
      <c r="Y319" s="1" t="s">
        <v>6340</v>
      </c>
      <c r="Z319" s="1" t="s">
        <v>936</v>
      </c>
      <c r="AA319" s="1" t="s">
        <v>6339</v>
      </c>
      <c r="AB319" s="1" t="s">
        <v>6340</v>
      </c>
      <c r="AC319" s="1" t="s">
        <v>936</v>
      </c>
      <c r="AD319" s="1">
        <v>8.54</v>
      </c>
      <c r="AE319" s="1" t="s">
        <v>93</v>
      </c>
      <c r="AF319" s="1" t="s">
        <v>6341</v>
      </c>
      <c r="AG319" s="1" t="s">
        <v>6342</v>
      </c>
      <c r="AH319" s="1" t="s">
        <v>281</v>
      </c>
      <c r="AI319" s="1" t="s">
        <v>308</v>
      </c>
      <c r="AJ319" s="1">
        <v>86</v>
      </c>
      <c r="AK319" s="1"/>
      <c r="AL319" s="1" t="s">
        <v>6341</v>
      </c>
      <c r="AM319" s="1" t="s">
        <v>6342</v>
      </c>
      <c r="AN319" s="1" t="s">
        <v>941</v>
      </c>
      <c r="AO319" s="1" t="s">
        <v>506</v>
      </c>
      <c r="AP319" s="1">
        <v>79.4</v>
      </c>
      <c r="AQ319" s="1"/>
      <c r="AR319" s="1"/>
      <c r="AS319" s="1"/>
      <c r="AT319" s="1"/>
      <c r="AU319" s="1"/>
      <c r="AV319" s="1"/>
      <c r="AW319" s="1"/>
      <c r="AX319" s="1" t="s">
        <v>6343</v>
      </c>
      <c r="AY319" s="1" t="s">
        <v>6344</v>
      </c>
      <c r="AZ319" s="1" t="s">
        <v>1407</v>
      </c>
      <c r="BA319" s="1" t="s">
        <v>1584</v>
      </c>
      <c r="BB319" s="1">
        <v>71.7</v>
      </c>
      <c r="BC319" s="1">
        <v>7.17</v>
      </c>
      <c r="BD319" s="1"/>
      <c r="BE319" s="1"/>
      <c r="BF319" s="1"/>
      <c r="BG319" s="1"/>
      <c r="BH319" s="1"/>
      <c r="BI319" s="1"/>
      <c r="BJ319" s="1" t="s">
        <v>6345</v>
      </c>
      <c r="BK319" s="1"/>
      <c r="BL319" s="1"/>
      <c r="BM319" s="1" t="s">
        <v>6346</v>
      </c>
      <c r="BN319" s="1">
        <v>37</v>
      </c>
      <c r="BO319" s="1"/>
      <c r="BP319" s="1" t="str">
        <f>HYPERLINK("https://nconnect.nicmar.ac.in/storage/profile/ProfilePhoto_P25700264_328496.jpg","Download")</f>
        <v>0</v>
      </c>
      <c r="BQ319" s="3"/>
      <c r="BR319" s="3"/>
    </row>
    <row r="320" spans="1:70">
      <c r="A320" s="1" t="s">
        <v>70</v>
      </c>
      <c r="B320" s="1" t="s">
        <v>1269</v>
      </c>
      <c r="C320" s="1" t="s">
        <v>6347</v>
      </c>
      <c r="D320" s="1" t="s">
        <v>6348</v>
      </c>
      <c r="E320" s="1" t="s">
        <v>835</v>
      </c>
      <c r="F320" s="1" t="s">
        <v>6349</v>
      </c>
      <c r="G320" s="1" t="s">
        <v>6350</v>
      </c>
      <c r="H320" s="1" t="s">
        <v>6351</v>
      </c>
      <c r="I320" s="1" t="s">
        <v>6352</v>
      </c>
      <c r="J320" s="1">
        <v>9713130520</v>
      </c>
      <c r="K320" s="1" t="s">
        <v>79</v>
      </c>
      <c r="L320" s="1" t="s">
        <v>2255</v>
      </c>
      <c r="M320" s="1" t="s">
        <v>81</v>
      </c>
      <c r="N320" s="1" t="s">
        <v>5040</v>
      </c>
      <c r="O320" s="1"/>
      <c r="P320" s="1" t="s">
        <v>1278</v>
      </c>
      <c r="Q320" s="1" t="s">
        <v>6353</v>
      </c>
      <c r="R320" s="1" t="s">
        <v>6354</v>
      </c>
      <c r="S320" s="1">
        <v>8305210964</v>
      </c>
      <c r="T320" s="1" t="s">
        <v>6355</v>
      </c>
      <c r="U320" s="1" t="s">
        <v>6356</v>
      </c>
      <c r="V320" s="1">
        <v>9981668101</v>
      </c>
      <c r="W320" s="1" t="s">
        <v>932</v>
      </c>
      <c r="X320" s="1" t="s">
        <v>6357</v>
      </c>
      <c r="Y320" s="1" t="s">
        <v>6358</v>
      </c>
      <c r="Z320" s="1" t="s">
        <v>936</v>
      </c>
      <c r="AA320" s="1" t="s">
        <v>6357</v>
      </c>
      <c r="AB320" s="1" t="s">
        <v>6358</v>
      </c>
      <c r="AC320" s="1" t="s">
        <v>936</v>
      </c>
      <c r="AD320" s="1">
        <v>7.8</v>
      </c>
      <c r="AE320" s="1" t="s">
        <v>93</v>
      </c>
      <c r="AF320" s="1" t="s">
        <v>6359</v>
      </c>
      <c r="AG320" s="1" t="s">
        <v>6360</v>
      </c>
      <c r="AH320" s="1" t="s">
        <v>334</v>
      </c>
      <c r="AI320" s="1" t="s">
        <v>308</v>
      </c>
      <c r="AJ320" s="1">
        <v>62.2</v>
      </c>
      <c r="AK320" s="1"/>
      <c r="AL320" s="1" t="s">
        <v>6361</v>
      </c>
      <c r="AM320" s="1" t="s">
        <v>6362</v>
      </c>
      <c r="AN320" s="1" t="s">
        <v>310</v>
      </c>
      <c r="AO320" s="1" t="s">
        <v>506</v>
      </c>
      <c r="AP320" s="1">
        <v>62.2</v>
      </c>
      <c r="AQ320" s="1"/>
      <c r="AR320" s="1"/>
      <c r="AS320" s="1"/>
      <c r="AT320" s="1"/>
      <c r="AU320" s="1"/>
      <c r="AV320" s="1"/>
      <c r="AW320" s="1"/>
      <c r="AX320" s="1" t="s">
        <v>6363</v>
      </c>
      <c r="AY320" s="1" t="s">
        <v>6364</v>
      </c>
      <c r="AZ320" s="1" t="s">
        <v>1051</v>
      </c>
      <c r="BA320" s="1" t="s">
        <v>1714</v>
      </c>
      <c r="BB320" s="1">
        <v>70.9</v>
      </c>
      <c r="BC320" s="1">
        <v>7.09</v>
      </c>
      <c r="BD320" s="1"/>
      <c r="BE320" s="1"/>
      <c r="BF320" s="1"/>
      <c r="BG320" s="1"/>
      <c r="BH320" s="1"/>
      <c r="BI320" s="1"/>
      <c r="BJ320" s="1" t="s">
        <v>1383</v>
      </c>
      <c r="BK320" s="1"/>
      <c r="BL320" s="1"/>
      <c r="BM320" s="1" t="s">
        <v>6365</v>
      </c>
      <c r="BN320" s="1">
        <v>21</v>
      </c>
      <c r="BO320" s="1"/>
      <c r="BP320" s="1" t="str">
        <f>HYPERLINK("https://nconnect.nicmar.ac.in/storage/profile/ProfilePhoto_P25700265_158934.jpg","Download")</f>
        <v>0</v>
      </c>
      <c r="BQ320" s="3"/>
      <c r="BR320" s="3"/>
    </row>
    <row r="321" spans="1:70">
      <c r="A321" s="1" t="s">
        <v>70</v>
      </c>
      <c r="B321" s="1" t="s">
        <v>1269</v>
      </c>
      <c r="C321" s="1" t="s">
        <v>6366</v>
      </c>
      <c r="D321" s="1" t="s">
        <v>6094</v>
      </c>
      <c r="E321" s="1" t="s">
        <v>513</v>
      </c>
      <c r="F321" s="1" t="s">
        <v>795</v>
      </c>
      <c r="G321" s="1" t="s">
        <v>6367</v>
      </c>
      <c r="H321" s="1" t="s">
        <v>6368</v>
      </c>
      <c r="I321" s="1" t="s">
        <v>6369</v>
      </c>
      <c r="J321" s="1">
        <v>8669054183</v>
      </c>
      <c r="K321" s="1" t="s">
        <v>148</v>
      </c>
      <c r="L321" s="1" t="s">
        <v>6370</v>
      </c>
      <c r="M321" s="1" t="s">
        <v>81</v>
      </c>
      <c r="N321" s="1" t="s">
        <v>860</v>
      </c>
      <c r="O321" s="1"/>
      <c r="P321" s="1" t="s">
        <v>2817</v>
      </c>
      <c r="Q321" s="1" t="s">
        <v>6371</v>
      </c>
      <c r="R321" s="1" t="s">
        <v>6372</v>
      </c>
      <c r="S321" s="1">
        <v>8530777150</v>
      </c>
      <c r="T321" s="1" t="s">
        <v>93</v>
      </c>
      <c r="U321" s="1" t="s">
        <v>6373</v>
      </c>
      <c r="V321" s="1">
        <v>8530777150</v>
      </c>
      <c r="W321" s="1" t="s">
        <v>156</v>
      </c>
      <c r="X321" s="1" t="s">
        <v>6374</v>
      </c>
      <c r="Y321" s="1" t="s">
        <v>6375</v>
      </c>
      <c r="Z321" s="1" t="s">
        <v>92</v>
      </c>
      <c r="AA321" s="1" t="s">
        <v>6374</v>
      </c>
      <c r="AB321" s="1" t="s">
        <v>6375</v>
      </c>
      <c r="AC321" s="1" t="s">
        <v>92</v>
      </c>
      <c r="AD321" s="1">
        <v>8.5</v>
      </c>
      <c r="AE321" s="1" t="s">
        <v>93</v>
      </c>
      <c r="AF321" s="1" t="s">
        <v>6376</v>
      </c>
      <c r="AG321" s="1" t="s">
        <v>6377</v>
      </c>
      <c r="AH321" s="1" t="s">
        <v>165</v>
      </c>
      <c r="AI321" s="1" t="s">
        <v>101</v>
      </c>
      <c r="AJ321" s="1">
        <v>79.6</v>
      </c>
      <c r="AK321" s="1"/>
      <c r="AL321" s="1"/>
      <c r="AM321" s="1"/>
      <c r="AN321" s="1"/>
      <c r="AO321" s="1"/>
      <c r="AP321" s="1"/>
      <c r="AQ321" s="1"/>
      <c r="AR321" s="1" t="s">
        <v>434</v>
      </c>
      <c r="AS321" s="1" t="s">
        <v>6378</v>
      </c>
      <c r="AT321" s="1" t="s">
        <v>169</v>
      </c>
      <c r="AU321" s="1" t="s">
        <v>436</v>
      </c>
      <c r="AV321" s="1">
        <v>91.42</v>
      </c>
      <c r="AW321" s="1"/>
      <c r="AX321" s="1" t="s">
        <v>361</v>
      </c>
      <c r="AY321" s="1" t="s">
        <v>6379</v>
      </c>
      <c r="AZ321" s="1" t="s">
        <v>1051</v>
      </c>
      <c r="BA321" s="1" t="s">
        <v>202</v>
      </c>
      <c r="BB321" s="1">
        <v>80.92</v>
      </c>
      <c r="BC321" s="1">
        <v>9.05</v>
      </c>
      <c r="BD321" s="1"/>
      <c r="BE321" s="1"/>
      <c r="BF321" s="1"/>
      <c r="BG321" s="1"/>
      <c r="BH321" s="1"/>
      <c r="BI321" s="1"/>
      <c r="BJ321" s="1" t="s">
        <v>6380</v>
      </c>
      <c r="BK321" s="1"/>
      <c r="BL321" s="1"/>
      <c r="BM321" s="1" t="s">
        <v>6381</v>
      </c>
      <c r="BN321" s="1">
        <v>39</v>
      </c>
      <c r="BO321" s="1" t="s">
        <v>6382</v>
      </c>
      <c r="BP321" s="1" t="str">
        <f>HYPERLINK("https://nconnect.nicmar.ac.in/storage/profile/ProfilePhoto_P25700266_297863.jpg","Download")</f>
        <v>0</v>
      </c>
      <c r="BQ321" s="3"/>
      <c r="BR321" s="3"/>
    </row>
    <row r="322" spans="1:70">
      <c r="A322" s="1" t="s">
        <v>70</v>
      </c>
      <c r="B322" s="1" t="s">
        <v>1269</v>
      </c>
      <c r="C322" s="1" t="s">
        <v>6383</v>
      </c>
      <c r="D322" s="1" t="s">
        <v>2692</v>
      </c>
      <c r="E322" s="1" t="s">
        <v>6384</v>
      </c>
      <c r="F322" s="1" t="s">
        <v>6385</v>
      </c>
      <c r="G322" s="1" t="s">
        <v>6386</v>
      </c>
      <c r="H322" s="1" t="s">
        <v>6387</v>
      </c>
      <c r="I322" s="1" t="s">
        <v>6388</v>
      </c>
      <c r="J322" s="1">
        <v>8485054025</v>
      </c>
      <c r="K322" s="1" t="s">
        <v>79</v>
      </c>
      <c r="L322" s="1" t="s">
        <v>6389</v>
      </c>
      <c r="M322" s="1" t="s">
        <v>81</v>
      </c>
      <c r="N322" s="1" t="s">
        <v>1418</v>
      </c>
      <c r="O322" s="1"/>
      <c r="P322" s="1" t="s">
        <v>1278</v>
      </c>
      <c r="Q322" s="1" t="s">
        <v>6390</v>
      </c>
      <c r="R322" s="1" t="s">
        <v>6384</v>
      </c>
      <c r="S322" s="1">
        <v>9422256949</v>
      </c>
      <c r="T322" s="1" t="s">
        <v>6391</v>
      </c>
      <c r="U322" s="1" t="s">
        <v>3231</v>
      </c>
      <c r="V322" s="1">
        <v>9420690320</v>
      </c>
      <c r="W322" s="1" t="s">
        <v>122</v>
      </c>
      <c r="X322" s="1" t="s">
        <v>6392</v>
      </c>
      <c r="Y322" s="1" t="s">
        <v>1174</v>
      </c>
      <c r="Z322" s="1" t="s">
        <v>92</v>
      </c>
      <c r="AA322" s="1" t="s">
        <v>6392</v>
      </c>
      <c r="AB322" s="1" t="s">
        <v>1174</v>
      </c>
      <c r="AC322" s="1" t="s">
        <v>92</v>
      </c>
      <c r="AD322" s="1">
        <v>7.67</v>
      </c>
      <c r="AE322" s="1" t="s">
        <v>93</v>
      </c>
      <c r="AF322" s="1" t="s">
        <v>6393</v>
      </c>
      <c r="AG322" s="1" t="s">
        <v>544</v>
      </c>
      <c r="AH322" s="1" t="s">
        <v>165</v>
      </c>
      <c r="AI322" s="1" t="s">
        <v>281</v>
      </c>
      <c r="AJ322" s="1">
        <v>87</v>
      </c>
      <c r="AK322" s="1"/>
      <c r="AL322" s="1" t="s">
        <v>6394</v>
      </c>
      <c r="AM322" s="1" t="s">
        <v>544</v>
      </c>
      <c r="AN322" s="1" t="s">
        <v>433</v>
      </c>
      <c r="AO322" s="1" t="s">
        <v>360</v>
      </c>
      <c r="AP322" s="1">
        <v>80.15</v>
      </c>
      <c r="AQ322" s="1"/>
      <c r="AR322" s="1"/>
      <c r="AS322" s="1"/>
      <c r="AT322" s="1"/>
      <c r="AU322" s="1"/>
      <c r="AV322" s="1"/>
      <c r="AW322" s="1"/>
      <c r="AX322" s="1" t="s">
        <v>361</v>
      </c>
      <c r="AY322" s="1" t="s">
        <v>6395</v>
      </c>
      <c r="AZ322" s="1" t="s">
        <v>363</v>
      </c>
      <c r="BA322" s="1" t="s">
        <v>413</v>
      </c>
      <c r="BB322" s="1">
        <v>84.17</v>
      </c>
      <c r="BC322" s="1">
        <v>8.86</v>
      </c>
      <c r="BD322" s="1"/>
      <c r="BE322" s="1"/>
      <c r="BF322" s="1"/>
      <c r="BG322" s="1"/>
      <c r="BH322" s="1"/>
      <c r="BI322" s="1"/>
      <c r="BJ322" s="1" t="s">
        <v>6396</v>
      </c>
      <c r="BK322" s="1"/>
      <c r="BL322" s="1"/>
      <c r="BM322" s="1" t="s">
        <v>6397</v>
      </c>
      <c r="BN322" s="1">
        <v>28</v>
      </c>
      <c r="BO322" s="1" t="s">
        <v>6398</v>
      </c>
      <c r="BP322" s="1" t="str">
        <f>HYPERLINK("https://nconnect.nicmar.ac.in/storage/profile/ProfilePhoto_P25700267_286547.jpg","Download")</f>
        <v>0</v>
      </c>
      <c r="BQ322" s="3"/>
      <c r="BR322" s="3"/>
    </row>
    <row r="323" spans="1:70">
      <c r="A323" s="1" t="s">
        <v>70</v>
      </c>
      <c r="B323" s="1" t="s">
        <v>1269</v>
      </c>
      <c r="C323" s="1" t="s">
        <v>6399</v>
      </c>
      <c r="D323" s="1" t="s">
        <v>6400</v>
      </c>
      <c r="E323" s="1"/>
      <c r="F323" s="1" t="s">
        <v>6401</v>
      </c>
      <c r="G323" s="1" t="s">
        <v>6402</v>
      </c>
      <c r="H323" s="1" t="s">
        <v>6403</v>
      </c>
      <c r="I323" s="1" t="s">
        <v>6404</v>
      </c>
      <c r="J323" s="1">
        <v>9479247569</v>
      </c>
      <c r="K323" s="1" t="s">
        <v>79</v>
      </c>
      <c r="L323" s="1" t="s">
        <v>6405</v>
      </c>
      <c r="M323" s="1" t="s">
        <v>81</v>
      </c>
      <c r="N323" s="1" t="s">
        <v>350</v>
      </c>
      <c r="O323" s="1"/>
      <c r="P323" s="1" t="s">
        <v>1278</v>
      </c>
      <c r="Q323" s="1" t="s">
        <v>6406</v>
      </c>
      <c r="R323" s="1" t="s">
        <v>6407</v>
      </c>
      <c r="S323" s="1">
        <v>9752441310</v>
      </c>
      <c r="T323" s="1" t="s">
        <v>6408</v>
      </c>
      <c r="U323" s="1" t="s">
        <v>6409</v>
      </c>
      <c r="V323" s="1">
        <v>8109302891</v>
      </c>
      <c r="W323" s="1" t="s">
        <v>6410</v>
      </c>
      <c r="X323" s="1" t="s">
        <v>6411</v>
      </c>
      <c r="Y323" s="1" t="s">
        <v>6065</v>
      </c>
      <c r="Z323" s="1" t="s">
        <v>1237</v>
      </c>
      <c r="AA323" s="1" t="s">
        <v>6411</v>
      </c>
      <c r="AB323" s="1" t="s">
        <v>6065</v>
      </c>
      <c r="AC323" s="1" t="s">
        <v>1237</v>
      </c>
      <c r="AD323" s="1">
        <v>7.46</v>
      </c>
      <c r="AE323" s="1" t="s">
        <v>93</v>
      </c>
      <c r="AF323" s="1" t="s">
        <v>6412</v>
      </c>
      <c r="AG323" s="1" t="s">
        <v>6413</v>
      </c>
      <c r="AH323" s="1" t="s">
        <v>457</v>
      </c>
      <c r="AI323" s="1" t="s">
        <v>308</v>
      </c>
      <c r="AJ323" s="1">
        <v>78</v>
      </c>
      <c r="AK323" s="1"/>
      <c r="AL323" s="1" t="s">
        <v>6414</v>
      </c>
      <c r="AM323" s="1" t="s">
        <v>6413</v>
      </c>
      <c r="AN323" s="1" t="s">
        <v>360</v>
      </c>
      <c r="AO323" s="1" t="s">
        <v>506</v>
      </c>
      <c r="AP323" s="1">
        <v>65.8</v>
      </c>
      <c r="AQ323" s="1"/>
      <c r="AR323" s="1"/>
      <c r="AS323" s="1"/>
      <c r="AT323" s="1"/>
      <c r="AU323" s="1"/>
      <c r="AV323" s="1"/>
      <c r="AW323" s="1"/>
      <c r="AX323" s="1" t="s">
        <v>3425</v>
      </c>
      <c r="AY323" s="1" t="s">
        <v>6415</v>
      </c>
      <c r="AZ323" s="1" t="s">
        <v>1051</v>
      </c>
      <c r="BA323" s="1" t="s">
        <v>1714</v>
      </c>
      <c r="BB323" s="1">
        <v>80.4</v>
      </c>
      <c r="BC323" s="1">
        <v>8.04</v>
      </c>
      <c r="BD323" s="1"/>
      <c r="BE323" s="1"/>
      <c r="BF323" s="1"/>
      <c r="BG323" s="1"/>
      <c r="BH323" s="1"/>
      <c r="BI323" s="1"/>
      <c r="BJ323" s="1" t="s">
        <v>4493</v>
      </c>
      <c r="BK323" s="1"/>
      <c r="BL323" s="1"/>
      <c r="BM323" s="1" t="s">
        <v>6416</v>
      </c>
      <c r="BN323" s="1">
        <v>3</v>
      </c>
      <c r="BO323" s="1" t="s">
        <v>6417</v>
      </c>
      <c r="BP323" s="1" t="str">
        <f>HYPERLINK("https://nconnect.nicmar.ac.in/storage/profile/ProfilePhoto_P25700268_169742.jpg","Download")</f>
        <v>0</v>
      </c>
      <c r="BQ323" s="3"/>
      <c r="BR323" s="3"/>
    </row>
    <row r="324" spans="1:70">
      <c r="A324" s="1" t="s">
        <v>70</v>
      </c>
      <c r="B324" s="1" t="s">
        <v>1269</v>
      </c>
      <c r="C324" s="1" t="s">
        <v>6418</v>
      </c>
      <c r="D324" s="1" t="s">
        <v>643</v>
      </c>
      <c r="E324" s="1"/>
      <c r="F324" s="1" t="s">
        <v>3031</v>
      </c>
      <c r="G324" s="1" t="s">
        <v>6419</v>
      </c>
      <c r="H324" s="1" t="s">
        <v>6420</v>
      </c>
      <c r="I324" s="1" t="s">
        <v>6421</v>
      </c>
      <c r="J324" s="1">
        <v>7089670087</v>
      </c>
      <c r="K324" s="1" t="s">
        <v>79</v>
      </c>
      <c r="L324" s="1" t="s">
        <v>6422</v>
      </c>
      <c r="M324" s="1" t="s">
        <v>81</v>
      </c>
      <c r="N324" s="1" t="s">
        <v>5040</v>
      </c>
      <c r="O324" s="1"/>
      <c r="P324" s="1" t="s">
        <v>1278</v>
      </c>
      <c r="Q324" s="1" t="s">
        <v>6423</v>
      </c>
      <c r="R324" s="1" t="s">
        <v>6424</v>
      </c>
      <c r="S324" s="1">
        <v>9893765981</v>
      </c>
      <c r="T324" s="1" t="s">
        <v>1953</v>
      </c>
      <c r="U324" s="1" t="s">
        <v>6425</v>
      </c>
      <c r="V324" s="1">
        <v>8085948592</v>
      </c>
      <c r="W324" s="1" t="s">
        <v>273</v>
      </c>
      <c r="X324" s="1" t="s">
        <v>6426</v>
      </c>
      <c r="Y324" s="1" t="s">
        <v>6065</v>
      </c>
      <c r="Z324" s="1" t="s">
        <v>1237</v>
      </c>
      <c r="AA324" s="1" t="s">
        <v>6426</v>
      </c>
      <c r="AB324" s="1" t="s">
        <v>6065</v>
      </c>
      <c r="AC324" s="1" t="s">
        <v>1237</v>
      </c>
      <c r="AD324" s="1">
        <v>7.95</v>
      </c>
      <c r="AE324" s="1" t="s">
        <v>93</v>
      </c>
      <c r="AF324" s="1" t="s">
        <v>6427</v>
      </c>
      <c r="AG324" s="1" t="s">
        <v>3272</v>
      </c>
      <c r="AH324" s="1" t="s">
        <v>503</v>
      </c>
      <c r="AI324" s="1" t="s">
        <v>527</v>
      </c>
      <c r="AJ324" s="1">
        <v>79.83</v>
      </c>
      <c r="AK324" s="1">
        <v>8.4</v>
      </c>
      <c r="AL324" s="1" t="s">
        <v>6427</v>
      </c>
      <c r="AM324" s="1" t="s">
        <v>3272</v>
      </c>
      <c r="AN324" s="1" t="s">
        <v>678</v>
      </c>
      <c r="AO324" s="1" t="s">
        <v>166</v>
      </c>
      <c r="AP324" s="1">
        <v>61.8</v>
      </c>
      <c r="AQ324" s="1"/>
      <c r="AR324" s="1"/>
      <c r="AS324" s="1"/>
      <c r="AT324" s="1"/>
      <c r="AU324" s="1"/>
      <c r="AV324" s="1"/>
      <c r="AW324" s="1"/>
      <c r="AX324" s="1" t="s">
        <v>6428</v>
      </c>
      <c r="AY324" s="1" t="s">
        <v>6429</v>
      </c>
      <c r="AZ324" s="1" t="s">
        <v>169</v>
      </c>
      <c r="BA324" s="1" t="s">
        <v>1003</v>
      </c>
      <c r="BB324" s="1">
        <v>71.54</v>
      </c>
      <c r="BC324" s="1">
        <v>7.81</v>
      </c>
      <c r="BD324" s="1"/>
      <c r="BE324" s="1"/>
      <c r="BF324" s="1"/>
      <c r="BG324" s="1"/>
      <c r="BH324" s="1"/>
      <c r="BI324" s="1"/>
      <c r="BJ324" s="1" t="s">
        <v>255</v>
      </c>
      <c r="BK324" s="1"/>
      <c r="BL324" s="1"/>
      <c r="BM324" s="1" t="s">
        <v>6430</v>
      </c>
      <c r="BN324" s="1">
        <v>13</v>
      </c>
      <c r="BO324" s="1"/>
      <c r="BP324" s="1" t="str">
        <f>HYPERLINK("https://nconnect.nicmar.ac.in/storage/profile/ProfilePhoto_P25700269_861432.jpg","Download")</f>
        <v>0</v>
      </c>
      <c r="BQ324" s="3"/>
      <c r="BR324" s="3"/>
    </row>
    <row r="325" spans="1:70">
      <c r="A325" s="1" t="s">
        <v>70</v>
      </c>
      <c r="B325" s="1" t="s">
        <v>1269</v>
      </c>
      <c r="C325" s="1" t="s">
        <v>6431</v>
      </c>
      <c r="D325" s="1" t="s">
        <v>6432</v>
      </c>
      <c r="E325" s="1"/>
      <c r="F325" s="1" t="s">
        <v>6433</v>
      </c>
      <c r="G325" s="1" t="s">
        <v>6434</v>
      </c>
      <c r="H325" s="1" t="s">
        <v>6435</v>
      </c>
      <c r="I325" s="1" t="s">
        <v>6436</v>
      </c>
      <c r="J325" s="1">
        <v>6264916607</v>
      </c>
      <c r="K325" s="1" t="s">
        <v>148</v>
      </c>
      <c r="L325" s="1" t="s">
        <v>6437</v>
      </c>
      <c r="M325" s="1" t="s">
        <v>81</v>
      </c>
      <c r="N325" s="1" t="s">
        <v>1395</v>
      </c>
      <c r="O325" s="1"/>
      <c r="P325" s="1" t="s">
        <v>1766</v>
      </c>
      <c r="Q325" s="1" t="s">
        <v>6438</v>
      </c>
      <c r="R325" s="1" t="s">
        <v>6439</v>
      </c>
      <c r="S325" s="1">
        <v>8889944211</v>
      </c>
      <c r="T325" s="1" t="s">
        <v>763</v>
      </c>
      <c r="U325" s="1" t="s">
        <v>6440</v>
      </c>
      <c r="V325" s="1">
        <v>9826056277</v>
      </c>
      <c r="W325" s="1" t="s">
        <v>763</v>
      </c>
      <c r="X325" s="1" t="s">
        <v>6441</v>
      </c>
      <c r="Y325" s="1" t="s">
        <v>6358</v>
      </c>
      <c r="Z325" s="1" t="s">
        <v>936</v>
      </c>
      <c r="AA325" s="1" t="s">
        <v>6441</v>
      </c>
      <c r="AB325" s="1" t="s">
        <v>6358</v>
      </c>
      <c r="AC325" s="1" t="s">
        <v>936</v>
      </c>
      <c r="AD325" s="1">
        <v>7.83</v>
      </c>
      <c r="AE325" s="1" t="s">
        <v>93</v>
      </c>
      <c r="AF325" s="1" t="s">
        <v>6442</v>
      </c>
      <c r="AG325" s="1" t="s">
        <v>6443</v>
      </c>
      <c r="AH325" s="1" t="s">
        <v>166</v>
      </c>
      <c r="AI325" s="1" t="s">
        <v>308</v>
      </c>
      <c r="AJ325" s="1">
        <v>82</v>
      </c>
      <c r="AK325" s="1"/>
      <c r="AL325" s="1" t="s">
        <v>6444</v>
      </c>
      <c r="AM325" s="1" t="s">
        <v>6443</v>
      </c>
      <c r="AN325" s="1" t="s">
        <v>412</v>
      </c>
      <c r="AO325" s="1" t="s">
        <v>506</v>
      </c>
      <c r="AP325" s="1">
        <v>84.4</v>
      </c>
      <c r="AQ325" s="1"/>
      <c r="AR325" s="1"/>
      <c r="AS325" s="1"/>
      <c r="AT325" s="1"/>
      <c r="AU325" s="1"/>
      <c r="AV325" s="1"/>
      <c r="AW325" s="1"/>
      <c r="AX325" s="1" t="s">
        <v>6445</v>
      </c>
      <c r="AY325" s="1" t="s">
        <v>6446</v>
      </c>
      <c r="AZ325" s="1" t="s">
        <v>506</v>
      </c>
      <c r="BA325" s="1" t="s">
        <v>1408</v>
      </c>
      <c r="BB325" s="1">
        <v>87.4</v>
      </c>
      <c r="BC325" s="1">
        <v>8.74</v>
      </c>
      <c r="BD325" s="1"/>
      <c r="BE325" s="1"/>
      <c r="BF325" s="1"/>
      <c r="BG325" s="1"/>
      <c r="BH325" s="1"/>
      <c r="BI325" s="1"/>
      <c r="BJ325" s="1" t="s">
        <v>1715</v>
      </c>
      <c r="BK325" s="1"/>
      <c r="BL325" s="1"/>
      <c r="BM325" s="1" t="s">
        <v>6447</v>
      </c>
      <c r="BN325" s="1">
        <v>11</v>
      </c>
      <c r="BO325" s="1"/>
      <c r="BP325" s="1" t="str">
        <f>HYPERLINK("https://nconnect.nicmar.ac.in/storage/profile/ProfilePhoto_P25700270_194253.jpg","Download")</f>
        <v>0</v>
      </c>
      <c r="BQ325" s="3"/>
      <c r="BR325" s="3"/>
    </row>
    <row r="326" spans="1:70">
      <c r="A326" s="1" t="s">
        <v>70</v>
      </c>
      <c r="B326" s="1" t="s">
        <v>1269</v>
      </c>
      <c r="C326" s="1" t="s">
        <v>6448</v>
      </c>
      <c r="D326" s="1" t="s">
        <v>6449</v>
      </c>
      <c r="E326" s="1" t="s">
        <v>1566</v>
      </c>
      <c r="F326" s="1" t="s">
        <v>2674</v>
      </c>
      <c r="G326" s="1" t="s">
        <v>6450</v>
      </c>
      <c r="H326" s="1" t="s">
        <v>6451</v>
      </c>
      <c r="I326" s="1" t="s">
        <v>6452</v>
      </c>
      <c r="J326" s="1">
        <v>8308814050</v>
      </c>
      <c r="K326" s="1" t="s">
        <v>148</v>
      </c>
      <c r="L326" s="1" t="s">
        <v>6453</v>
      </c>
      <c r="M326" s="1" t="s">
        <v>81</v>
      </c>
      <c r="N326" s="1" t="s">
        <v>469</v>
      </c>
      <c r="O326" s="1"/>
      <c r="P326" s="1" t="s">
        <v>1323</v>
      </c>
      <c r="Q326" s="1" t="s">
        <v>6454</v>
      </c>
      <c r="R326" s="1" t="s">
        <v>6455</v>
      </c>
      <c r="S326" s="1">
        <v>9822089606</v>
      </c>
      <c r="T326" s="1" t="s">
        <v>6456</v>
      </c>
      <c r="U326" s="1" t="s">
        <v>6457</v>
      </c>
      <c r="V326" s="1">
        <v>9623389394</v>
      </c>
      <c r="W326" s="1" t="s">
        <v>156</v>
      </c>
      <c r="X326" s="1" t="s">
        <v>6458</v>
      </c>
      <c r="Y326" s="1" t="s">
        <v>2786</v>
      </c>
      <c r="Z326" s="1" t="s">
        <v>92</v>
      </c>
      <c r="AA326" s="1" t="s">
        <v>6458</v>
      </c>
      <c r="AB326" s="1" t="s">
        <v>2786</v>
      </c>
      <c r="AC326" s="1" t="s">
        <v>92</v>
      </c>
      <c r="AD326" s="1">
        <v>7.33</v>
      </c>
      <c r="AE326" s="1" t="s">
        <v>93</v>
      </c>
      <c r="AF326" s="1" t="s">
        <v>6459</v>
      </c>
      <c r="AG326" s="1" t="s">
        <v>6460</v>
      </c>
      <c r="AH326" s="1" t="s">
        <v>195</v>
      </c>
      <c r="AI326" s="1" t="s">
        <v>281</v>
      </c>
      <c r="AJ326" s="1">
        <v>87.8</v>
      </c>
      <c r="AK326" s="1"/>
      <c r="AL326" s="1" t="s">
        <v>6461</v>
      </c>
      <c r="AM326" s="1" t="s">
        <v>6460</v>
      </c>
      <c r="AN326" s="1" t="s">
        <v>169</v>
      </c>
      <c r="AO326" s="1" t="s">
        <v>173</v>
      </c>
      <c r="AP326" s="1">
        <v>74.15</v>
      </c>
      <c r="AQ326" s="1"/>
      <c r="AR326" s="1"/>
      <c r="AS326" s="1"/>
      <c r="AT326" s="1"/>
      <c r="AU326" s="1"/>
      <c r="AV326" s="1"/>
      <c r="AW326" s="1"/>
      <c r="AX326" s="1" t="s">
        <v>1891</v>
      </c>
      <c r="AY326" s="1" t="s">
        <v>6462</v>
      </c>
      <c r="AZ326" s="1" t="s">
        <v>363</v>
      </c>
      <c r="BA326" s="1" t="s">
        <v>1714</v>
      </c>
      <c r="BB326" s="1">
        <v>72.02</v>
      </c>
      <c r="BC326" s="1">
        <v>7.91</v>
      </c>
      <c r="BD326" s="1"/>
      <c r="BE326" s="1"/>
      <c r="BF326" s="1"/>
      <c r="BG326" s="1"/>
      <c r="BH326" s="1"/>
      <c r="BI326" s="1"/>
      <c r="BJ326" s="1" t="s">
        <v>255</v>
      </c>
      <c r="BK326" s="1"/>
      <c r="BL326" s="1"/>
      <c r="BM326" s="1" t="s">
        <v>6463</v>
      </c>
      <c r="BN326" s="1">
        <v>19</v>
      </c>
      <c r="BO326" s="1"/>
      <c r="BP326" s="1" t="str">
        <f>HYPERLINK("https://nconnect.nicmar.ac.in/storage/profile/ProfilePhoto_P25700271_135978.jpg","Download")</f>
        <v>0</v>
      </c>
      <c r="BQ326" s="3"/>
      <c r="BR326" s="3"/>
    </row>
    <row r="327" spans="1:70">
      <c r="A327" s="1" t="s">
        <v>70</v>
      </c>
      <c r="B327" s="1" t="s">
        <v>1269</v>
      </c>
      <c r="C327" s="1" t="s">
        <v>6464</v>
      </c>
      <c r="D327" s="1" t="s">
        <v>6465</v>
      </c>
      <c r="E327" s="1" t="s">
        <v>6466</v>
      </c>
      <c r="F327" s="1" t="s">
        <v>2674</v>
      </c>
      <c r="G327" s="1" t="s">
        <v>6467</v>
      </c>
      <c r="H327" s="1" t="s">
        <v>6468</v>
      </c>
      <c r="I327" s="1" t="s">
        <v>6469</v>
      </c>
      <c r="J327" s="1">
        <v>7057663329</v>
      </c>
      <c r="K327" s="1" t="s">
        <v>79</v>
      </c>
      <c r="L327" s="1" t="s">
        <v>6470</v>
      </c>
      <c r="M327" s="1" t="s">
        <v>81</v>
      </c>
      <c r="N327" s="1" t="s">
        <v>1418</v>
      </c>
      <c r="O327" s="1"/>
      <c r="P327" s="1" t="s">
        <v>1278</v>
      </c>
      <c r="Q327" s="1" t="s">
        <v>6471</v>
      </c>
      <c r="R327" s="1" t="s">
        <v>6472</v>
      </c>
      <c r="S327" s="1">
        <v>7507599299</v>
      </c>
      <c r="T327" s="1" t="s">
        <v>763</v>
      </c>
      <c r="U327" s="1" t="s">
        <v>6473</v>
      </c>
      <c r="V327" s="1">
        <v>8149732031</v>
      </c>
      <c r="W327" s="1" t="s">
        <v>910</v>
      </c>
      <c r="X327" s="1" t="s">
        <v>6474</v>
      </c>
      <c r="Y327" s="1" t="s">
        <v>191</v>
      </c>
      <c r="Z327" s="1" t="s">
        <v>92</v>
      </c>
      <c r="AA327" s="1" t="s">
        <v>6474</v>
      </c>
      <c r="AB327" s="1" t="s">
        <v>191</v>
      </c>
      <c r="AC327" s="1" t="s">
        <v>92</v>
      </c>
      <c r="AD327" s="1">
        <v>8.52</v>
      </c>
      <c r="AE327" s="1" t="s">
        <v>93</v>
      </c>
      <c r="AF327" s="1" t="s">
        <v>6475</v>
      </c>
      <c r="AG327" s="1" t="s">
        <v>6476</v>
      </c>
      <c r="AH327" s="1" t="s">
        <v>657</v>
      </c>
      <c r="AI327" s="1" t="s">
        <v>409</v>
      </c>
      <c r="AJ327" s="1">
        <v>78.2</v>
      </c>
      <c r="AK327" s="1"/>
      <c r="AL327" s="1"/>
      <c r="AM327" s="1"/>
      <c r="AN327" s="1"/>
      <c r="AO327" s="1"/>
      <c r="AP327" s="1"/>
      <c r="AQ327" s="1"/>
      <c r="AR327" s="1" t="s">
        <v>434</v>
      </c>
      <c r="AS327" s="1" t="s">
        <v>6477</v>
      </c>
      <c r="AT327" s="1" t="s">
        <v>173</v>
      </c>
      <c r="AU327" s="1" t="s">
        <v>481</v>
      </c>
      <c r="AV327" s="1">
        <v>79.53</v>
      </c>
      <c r="AW327" s="1"/>
      <c r="AX327" s="1" t="s">
        <v>361</v>
      </c>
      <c r="AY327" s="1" t="s">
        <v>6478</v>
      </c>
      <c r="AZ327" s="1" t="s">
        <v>2690</v>
      </c>
      <c r="BA327" s="1" t="s">
        <v>1584</v>
      </c>
      <c r="BB327" s="1">
        <v>70.8</v>
      </c>
      <c r="BC327" s="1">
        <v>7.83</v>
      </c>
      <c r="BD327" s="1"/>
      <c r="BE327" s="1"/>
      <c r="BF327" s="1"/>
      <c r="BG327" s="1"/>
      <c r="BH327" s="1"/>
      <c r="BI327" s="1"/>
      <c r="BJ327" s="1" t="s">
        <v>6479</v>
      </c>
      <c r="BK327" s="1"/>
      <c r="BL327" s="1"/>
      <c r="BM327" s="1" t="s">
        <v>6480</v>
      </c>
      <c r="BN327" s="1">
        <v>4</v>
      </c>
      <c r="BO327" s="1" t="s">
        <v>6481</v>
      </c>
      <c r="BP327" s="1" t="str">
        <f>HYPERLINK("https://nconnect.nicmar.ac.in/storage/profile/ProfilePhoto_P25700272_839471.jpg","Download")</f>
        <v>0</v>
      </c>
      <c r="BQ327" s="3"/>
      <c r="BR327" s="3"/>
    </row>
    <row r="328" spans="1:70">
      <c r="A328" s="1" t="s">
        <v>70</v>
      </c>
      <c r="B328" s="1" t="s">
        <v>1269</v>
      </c>
      <c r="C328" s="1" t="s">
        <v>6482</v>
      </c>
      <c r="D328" s="1" t="s">
        <v>6483</v>
      </c>
      <c r="E328" s="1" t="s">
        <v>6484</v>
      </c>
      <c r="F328" s="1" t="s">
        <v>6485</v>
      </c>
      <c r="G328" s="1" t="s">
        <v>6486</v>
      </c>
      <c r="H328" s="1" t="s">
        <v>6487</v>
      </c>
      <c r="I328" s="1" t="s">
        <v>6488</v>
      </c>
      <c r="J328" s="1">
        <v>9786186787</v>
      </c>
      <c r="K328" s="1" t="s">
        <v>79</v>
      </c>
      <c r="L328" s="1" t="s">
        <v>6489</v>
      </c>
      <c r="M328" s="1" t="s">
        <v>81</v>
      </c>
      <c r="N328" s="1" t="s">
        <v>6490</v>
      </c>
      <c r="O328" s="1"/>
      <c r="P328" s="1" t="s">
        <v>1278</v>
      </c>
      <c r="Q328" s="1" t="s">
        <v>6491</v>
      </c>
      <c r="R328" s="1" t="s">
        <v>6492</v>
      </c>
      <c r="S328" s="1">
        <v>9976467906</v>
      </c>
      <c r="T328" s="1" t="s">
        <v>496</v>
      </c>
      <c r="U328" s="1" t="s">
        <v>6493</v>
      </c>
      <c r="V328" s="1">
        <v>9976467955</v>
      </c>
      <c r="W328" s="1" t="s">
        <v>273</v>
      </c>
      <c r="X328" s="1" t="s">
        <v>6494</v>
      </c>
      <c r="Y328" s="1" t="s">
        <v>1690</v>
      </c>
      <c r="Z328" s="1" t="s">
        <v>1377</v>
      </c>
      <c r="AA328" s="1" t="s">
        <v>6494</v>
      </c>
      <c r="AB328" s="1" t="s">
        <v>1690</v>
      </c>
      <c r="AC328" s="1" t="s">
        <v>1377</v>
      </c>
      <c r="AD328" s="1">
        <v>6.92</v>
      </c>
      <c r="AE328" s="1" t="s">
        <v>93</v>
      </c>
      <c r="AF328" s="1" t="s">
        <v>6495</v>
      </c>
      <c r="AG328" s="1" t="s">
        <v>6496</v>
      </c>
      <c r="AH328" s="1" t="s">
        <v>101</v>
      </c>
      <c r="AI328" s="1" t="s">
        <v>308</v>
      </c>
      <c r="AJ328" s="1">
        <v>75.2</v>
      </c>
      <c r="AK328" s="1">
        <v>0</v>
      </c>
      <c r="AL328" s="1" t="s">
        <v>6497</v>
      </c>
      <c r="AM328" s="1" t="s">
        <v>6498</v>
      </c>
      <c r="AN328" s="1" t="s">
        <v>699</v>
      </c>
      <c r="AO328" s="1" t="s">
        <v>1712</v>
      </c>
      <c r="AP328" s="1">
        <v>81.11</v>
      </c>
      <c r="AQ328" s="1">
        <v>0</v>
      </c>
      <c r="AR328" s="1"/>
      <c r="AS328" s="1"/>
      <c r="AT328" s="1"/>
      <c r="AU328" s="1"/>
      <c r="AV328" s="1"/>
      <c r="AW328" s="1"/>
      <c r="AX328" s="1" t="s">
        <v>1381</v>
      </c>
      <c r="AY328" s="1" t="s">
        <v>6499</v>
      </c>
      <c r="AZ328" s="1" t="s">
        <v>436</v>
      </c>
      <c r="BA328" s="1" t="s">
        <v>1408</v>
      </c>
      <c r="BB328" s="1">
        <v>72.2</v>
      </c>
      <c r="BC328" s="1">
        <v>7.22</v>
      </c>
      <c r="BD328" s="1"/>
      <c r="BE328" s="1"/>
      <c r="BF328" s="1"/>
      <c r="BG328" s="1"/>
      <c r="BH328" s="1"/>
      <c r="BI328" s="1"/>
      <c r="BJ328" s="1" t="s">
        <v>2080</v>
      </c>
      <c r="BK328" s="1"/>
      <c r="BL328" s="1"/>
      <c r="BM328" s="1" t="s">
        <v>6500</v>
      </c>
      <c r="BN328" s="1">
        <v>9</v>
      </c>
      <c r="BO328" s="1"/>
      <c r="BP328" s="1" t="str">
        <f>HYPERLINK("https://nconnect.nicmar.ac.in/storage/profile/ProfilePhoto_P25700273_243176.jpg","Download")</f>
        <v>0</v>
      </c>
      <c r="BQ328" s="3"/>
      <c r="BR328" s="3"/>
    </row>
    <row r="329" spans="1:70">
      <c r="A329" s="1" t="s">
        <v>70</v>
      </c>
      <c r="B329" s="1" t="s">
        <v>1269</v>
      </c>
      <c r="C329" s="1" t="s">
        <v>6501</v>
      </c>
      <c r="D329" s="1" t="s">
        <v>6502</v>
      </c>
      <c r="E329" s="1" t="s">
        <v>6503</v>
      </c>
      <c r="F329" s="1" t="s">
        <v>6504</v>
      </c>
      <c r="G329" s="1" t="s">
        <v>6505</v>
      </c>
      <c r="H329" s="1" t="s">
        <v>6506</v>
      </c>
      <c r="I329" s="1" t="s">
        <v>6507</v>
      </c>
      <c r="J329" s="1">
        <v>9156448281</v>
      </c>
      <c r="K329" s="1" t="s">
        <v>148</v>
      </c>
      <c r="L329" s="1" t="s">
        <v>6508</v>
      </c>
      <c r="M329" s="1" t="s">
        <v>81</v>
      </c>
      <c r="N329" s="1" t="s">
        <v>1418</v>
      </c>
      <c r="O329" s="1"/>
      <c r="P329" s="1" t="s">
        <v>1278</v>
      </c>
      <c r="Q329" s="1" t="s">
        <v>6509</v>
      </c>
      <c r="R329" s="1" t="s">
        <v>6510</v>
      </c>
      <c r="S329" s="1">
        <v>9890101818</v>
      </c>
      <c r="T329" s="1" t="s">
        <v>4566</v>
      </c>
      <c r="U329" s="1" t="s">
        <v>6511</v>
      </c>
      <c r="V329" s="1">
        <v>7517420632</v>
      </c>
      <c r="W329" s="1" t="s">
        <v>156</v>
      </c>
      <c r="X329" s="1" t="s">
        <v>6512</v>
      </c>
      <c r="Y329" s="1" t="s">
        <v>5915</v>
      </c>
      <c r="Z329" s="1" t="s">
        <v>92</v>
      </c>
      <c r="AA329" s="1" t="s">
        <v>6512</v>
      </c>
      <c r="AB329" s="1" t="s">
        <v>5915</v>
      </c>
      <c r="AC329" s="1" t="s">
        <v>92</v>
      </c>
      <c r="AD329" s="1">
        <v>8.54</v>
      </c>
      <c r="AE329" s="1" t="s">
        <v>93</v>
      </c>
      <c r="AF329" s="1" t="s">
        <v>6513</v>
      </c>
      <c r="AG329" s="1" t="s">
        <v>160</v>
      </c>
      <c r="AH329" s="1" t="s">
        <v>101</v>
      </c>
      <c r="AI329" s="1" t="s">
        <v>409</v>
      </c>
      <c r="AJ329" s="1">
        <v>90</v>
      </c>
      <c r="AK329" s="1"/>
      <c r="AL329" s="1" t="s">
        <v>6514</v>
      </c>
      <c r="AM329" s="1" t="s">
        <v>160</v>
      </c>
      <c r="AN329" s="1" t="s">
        <v>173</v>
      </c>
      <c r="AO329" s="1" t="s">
        <v>504</v>
      </c>
      <c r="AP329" s="1">
        <v>93.33</v>
      </c>
      <c r="AQ329" s="1"/>
      <c r="AR329" s="1"/>
      <c r="AS329" s="1"/>
      <c r="AT329" s="1"/>
      <c r="AU329" s="1"/>
      <c r="AV329" s="1"/>
      <c r="AW329" s="1"/>
      <c r="AX329" s="1" t="s">
        <v>6515</v>
      </c>
      <c r="AY329" s="1" t="s">
        <v>6516</v>
      </c>
      <c r="AZ329" s="1" t="s">
        <v>897</v>
      </c>
      <c r="BA329" s="1" t="s">
        <v>1584</v>
      </c>
      <c r="BB329" s="1">
        <v>76.7</v>
      </c>
      <c r="BC329" s="1">
        <v>8.17</v>
      </c>
      <c r="BD329" s="1"/>
      <c r="BE329" s="1"/>
      <c r="BF329" s="1"/>
      <c r="BG329" s="1"/>
      <c r="BH329" s="1"/>
      <c r="BI329" s="1"/>
      <c r="BJ329" s="1" t="s">
        <v>6517</v>
      </c>
      <c r="BK329" s="1"/>
      <c r="BL329" s="1"/>
      <c r="BM329" s="1" t="s">
        <v>6518</v>
      </c>
      <c r="BN329" s="1">
        <v>14</v>
      </c>
      <c r="BO329" s="1"/>
      <c r="BP329" s="1" t="str">
        <f>HYPERLINK("https://nconnect.nicmar.ac.in/storage/profile/ProfilePhoto_P25700274_326758.jpg","Download")</f>
        <v>0</v>
      </c>
      <c r="BQ329" s="3"/>
      <c r="BR329" s="3"/>
    </row>
    <row r="330" spans="1:70">
      <c r="A330" s="1" t="s">
        <v>70</v>
      </c>
      <c r="B330" s="1" t="s">
        <v>1269</v>
      </c>
      <c r="C330" s="1" t="s">
        <v>6519</v>
      </c>
      <c r="D330" s="1" t="s">
        <v>6520</v>
      </c>
      <c r="E330" s="1"/>
      <c r="F330" s="1" t="s">
        <v>6521</v>
      </c>
      <c r="G330" s="1" t="s">
        <v>6522</v>
      </c>
      <c r="H330" s="1" t="s">
        <v>6523</v>
      </c>
      <c r="I330" s="1" t="s">
        <v>6524</v>
      </c>
      <c r="J330" s="1">
        <v>9877169590</v>
      </c>
      <c r="K330" s="1" t="s">
        <v>79</v>
      </c>
      <c r="L330" s="1" t="s">
        <v>2600</v>
      </c>
      <c r="M330" s="1" t="s">
        <v>81</v>
      </c>
      <c r="N330" s="1" t="s">
        <v>6525</v>
      </c>
      <c r="O330" s="1"/>
      <c r="P330" s="1" t="s">
        <v>1323</v>
      </c>
      <c r="Q330" s="1" t="s">
        <v>6526</v>
      </c>
      <c r="R330" s="1" t="s">
        <v>6527</v>
      </c>
      <c r="S330" s="1">
        <v>8264724989</v>
      </c>
      <c r="T330" s="1" t="s">
        <v>154</v>
      </c>
      <c r="U330" s="1" t="s">
        <v>6528</v>
      </c>
      <c r="V330" s="1">
        <v>9815911683</v>
      </c>
      <c r="W330" s="1" t="s">
        <v>651</v>
      </c>
      <c r="X330" s="1" t="s">
        <v>6529</v>
      </c>
      <c r="Y330" s="1" t="s">
        <v>6530</v>
      </c>
      <c r="Z330" s="1" t="s">
        <v>1828</v>
      </c>
      <c r="AA330" s="1" t="s">
        <v>6529</v>
      </c>
      <c r="AB330" s="1" t="s">
        <v>6530</v>
      </c>
      <c r="AC330" s="1" t="s">
        <v>1828</v>
      </c>
      <c r="AD330" s="1" t="s">
        <v>93</v>
      </c>
      <c r="AE330" s="1" t="s">
        <v>93</v>
      </c>
      <c r="AF330" s="1" t="s">
        <v>6531</v>
      </c>
      <c r="AG330" s="1" t="s">
        <v>307</v>
      </c>
      <c r="AH330" s="1" t="s">
        <v>279</v>
      </c>
      <c r="AI330" s="1" t="s">
        <v>195</v>
      </c>
      <c r="AJ330" s="1">
        <v>62.7</v>
      </c>
      <c r="AK330" s="1">
        <v>6.6</v>
      </c>
      <c r="AL330" s="1" t="s">
        <v>6532</v>
      </c>
      <c r="AM330" s="1" t="s">
        <v>307</v>
      </c>
      <c r="AN330" s="1" t="s">
        <v>1307</v>
      </c>
      <c r="AO330" s="1" t="s">
        <v>412</v>
      </c>
      <c r="AP330" s="1">
        <v>66</v>
      </c>
      <c r="AQ330" s="1"/>
      <c r="AR330" s="1"/>
      <c r="AS330" s="1"/>
      <c r="AT330" s="1"/>
      <c r="AU330" s="1"/>
      <c r="AV330" s="1"/>
      <c r="AW330" s="1"/>
      <c r="AX330" s="1" t="s">
        <v>6533</v>
      </c>
      <c r="AY330" s="1" t="s">
        <v>6534</v>
      </c>
      <c r="AZ330" s="1" t="s">
        <v>681</v>
      </c>
      <c r="BA330" s="1" t="s">
        <v>1977</v>
      </c>
      <c r="BB330" s="1">
        <v>66</v>
      </c>
      <c r="BC330" s="1">
        <v>6.6</v>
      </c>
      <c r="BD330" s="1"/>
      <c r="BE330" s="1"/>
      <c r="BF330" s="1"/>
      <c r="BG330" s="1"/>
      <c r="BH330" s="1"/>
      <c r="BI330" s="1"/>
      <c r="BJ330" s="1" t="s">
        <v>6535</v>
      </c>
      <c r="BK330" s="1"/>
      <c r="BL330" s="1"/>
      <c r="BM330" s="1" t="s">
        <v>6536</v>
      </c>
      <c r="BN330" s="1">
        <v>14</v>
      </c>
      <c r="BO330" s="1"/>
      <c r="BP330" s="1" t="str">
        <f>HYPERLINK("https://nconnect.nicmar.ac.in/storage/profile/ProfilePhoto_P25700275_563178.jpg","Download")</f>
        <v>0</v>
      </c>
      <c r="BQ330" s="3"/>
      <c r="BR330" s="3"/>
    </row>
    <row r="331" spans="1:70">
      <c r="A331" s="1" t="s">
        <v>70</v>
      </c>
      <c r="B331" s="1" t="s">
        <v>1269</v>
      </c>
      <c r="C331" s="1" t="s">
        <v>6537</v>
      </c>
      <c r="D331" s="1" t="s">
        <v>6538</v>
      </c>
      <c r="E331" s="1"/>
      <c r="F331" s="1" t="s">
        <v>111</v>
      </c>
      <c r="G331" s="1" t="s">
        <v>6539</v>
      </c>
      <c r="H331" s="1" t="s">
        <v>6540</v>
      </c>
      <c r="I331" s="1" t="s">
        <v>6541</v>
      </c>
      <c r="J331" s="1">
        <v>8075372847</v>
      </c>
      <c r="K331" s="1" t="s">
        <v>79</v>
      </c>
      <c r="L331" s="1" t="s">
        <v>6542</v>
      </c>
      <c r="M331" s="1" t="s">
        <v>81</v>
      </c>
      <c r="N331" s="1" t="s">
        <v>1395</v>
      </c>
      <c r="O331" s="1"/>
      <c r="P331" s="1" t="s">
        <v>1323</v>
      </c>
      <c r="Q331" s="1" t="s">
        <v>6543</v>
      </c>
      <c r="R331" s="1" t="s">
        <v>6544</v>
      </c>
      <c r="S331" s="1">
        <v>9387014966</v>
      </c>
      <c r="T331" s="1" t="s">
        <v>496</v>
      </c>
      <c r="U331" s="1" t="s">
        <v>6545</v>
      </c>
      <c r="V331" s="1">
        <v>9562443953</v>
      </c>
      <c r="W331" s="1" t="s">
        <v>273</v>
      </c>
      <c r="X331" s="1" t="s">
        <v>6546</v>
      </c>
      <c r="Y331" s="1" t="s">
        <v>6044</v>
      </c>
      <c r="Z331" s="1" t="s">
        <v>125</v>
      </c>
      <c r="AA331" s="1" t="s">
        <v>6546</v>
      </c>
      <c r="AB331" s="1" t="s">
        <v>6044</v>
      </c>
      <c r="AC331" s="1" t="s">
        <v>125</v>
      </c>
      <c r="AD331" s="1">
        <v>8.21</v>
      </c>
      <c r="AE331" s="1" t="s">
        <v>93</v>
      </c>
      <c r="AF331" s="1" t="s">
        <v>6547</v>
      </c>
      <c r="AG331" s="1" t="s">
        <v>6548</v>
      </c>
      <c r="AH331" s="1" t="s">
        <v>130</v>
      </c>
      <c r="AI331" s="1" t="s">
        <v>503</v>
      </c>
      <c r="AJ331" s="1">
        <v>87.4</v>
      </c>
      <c r="AK331" s="1">
        <v>9.2</v>
      </c>
      <c r="AL331" s="1" t="s">
        <v>6547</v>
      </c>
      <c r="AM331" s="1" t="s">
        <v>6547</v>
      </c>
      <c r="AN331" s="1" t="s">
        <v>733</v>
      </c>
      <c r="AO331" s="1" t="s">
        <v>195</v>
      </c>
      <c r="AP331" s="1">
        <v>83.4</v>
      </c>
      <c r="AQ331" s="1"/>
      <c r="AR331" s="1"/>
      <c r="AS331" s="1"/>
      <c r="AT331" s="1"/>
      <c r="AU331" s="1"/>
      <c r="AV331" s="1"/>
      <c r="AW331" s="1"/>
      <c r="AX331" s="1" t="s">
        <v>6549</v>
      </c>
      <c r="AY331" s="1" t="s">
        <v>6550</v>
      </c>
      <c r="AZ331" s="1" t="s">
        <v>636</v>
      </c>
      <c r="BA331" s="1" t="s">
        <v>481</v>
      </c>
      <c r="BB331" s="1">
        <v>66.2</v>
      </c>
      <c r="BC331" s="1">
        <v>6.62</v>
      </c>
      <c r="BD331" s="1"/>
      <c r="BE331" s="1"/>
      <c r="BF331" s="1"/>
      <c r="BG331" s="1"/>
      <c r="BH331" s="1"/>
      <c r="BI331" s="1"/>
      <c r="BJ331" s="1" t="s">
        <v>1383</v>
      </c>
      <c r="BK331" s="1" t="s">
        <v>6551</v>
      </c>
      <c r="BL331" s="1" t="s">
        <v>340</v>
      </c>
      <c r="BM331" s="1"/>
      <c r="BN331" s="1"/>
      <c r="BO331" s="1"/>
      <c r="BP331" s="1" t="str">
        <f>HYPERLINK("https://nconnect.nicmar.ac.in/storage/profile/ProfilePhoto_P25700277_438956.jpg","Download")</f>
        <v>0</v>
      </c>
      <c r="BQ331" s="3"/>
      <c r="BR331" s="3"/>
    </row>
    <row r="332" spans="1:70">
      <c r="A332" s="1" t="s">
        <v>70</v>
      </c>
      <c r="B332" s="1" t="s">
        <v>1269</v>
      </c>
      <c r="C332" s="1" t="s">
        <v>6552</v>
      </c>
      <c r="D332" s="1" t="s">
        <v>4980</v>
      </c>
      <c r="E332" s="1" t="s">
        <v>6553</v>
      </c>
      <c r="F332" s="1" t="s">
        <v>6554</v>
      </c>
      <c r="G332" s="1" t="s">
        <v>6555</v>
      </c>
      <c r="H332" s="1" t="s">
        <v>6556</v>
      </c>
      <c r="I332" s="1" t="s">
        <v>6557</v>
      </c>
      <c r="J332" s="1">
        <v>9579941848</v>
      </c>
      <c r="K332" s="1" t="s">
        <v>79</v>
      </c>
      <c r="L332" s="1" t="s">
        <v>5457</v>
      </c>
      <c r="M332" s="1" t="s">
        <v>81</v>
      </c>
      <c r="N332" s="1" t="s">
        <v>6558</v>
      </c>
      <c r="O332" s="1"/>
      <c r="P332" s="1" t="s">
        <v>1323</v>
      </c>
      <c r="Q332" s="1" t="s">
        <v>6559</v>
      </c>
      <c r="R332" s="1" t="s">
        <v>6560</v>
      </c>
      <c r="S332" s="1">
        <v>8412868888</v>
      </c>
      <c r="T332" s="1" t="s">
        <v>496</v>
      </c>
      <c r="U332" s="1" t="s">
        <v>6561</v>
      </c>
      <c r="V332" s="1">
        <v>8668700298</v>
      </c>
      <c r="W332" s="1" t="s">
        <v>156</v>
      </c>
      <c r="X332" s="1" t="s">
        <v>6562</v>
      </c>
      <c r="Y332" s="1" t="s">
        <v>158</v>
      </c>
      <c r="Z332" s="1" t="s">
        <v>92</v>
      </c>
      <c r="AA332" s="1" t="s">
        <v>6563</v>
      </c>
      <c r="AB332" s="1" t="s">
        <v>158</v>
      </c>
      <c r="AC332" s="1" t="s">
        <v>92</v>
      </c>
      <c r="AD332" s="1" t="s">
        <v>93</v>
      </c>
      <c r="AE332" s="1" t="s">
        <v>93</v>
      </c>
      <c r="AF332" s="1" t="s">
        <v>6564</v>
      </c>
      <c r="AG332" s="1" t="s">
        <v>6565</v>
      </c>
      <c r="AH332" s="1" t="s">
        <v>166</v>
      </c>
      <c r="AI332" s="1" t="s">
        <v>409</v>
      </c>
      <c r="AJ332" s="1">
        <v>69.4</v>
      </c>
      <c r="AK332" s="1"/>
      <c r="AL332" s="1" t="s">
        <v>6566</v>
      </c>
      <c r="AM332" s="1" t="s">
        <v>6567</v>
      </c>
      <c r="AN332" s="1" t="s">
        <v>941</v>
      </c>
      <c r="AO332" s="1" t="s">
        <v>3081</v>
      </c>
      <c r="AP332" s="1">
        <v>72.33</v>
      </c>
      <c r="AQ332" s="1"/>
      <c r="AR332" s="1"/>
      <c r="AS332" s="1"/>
      <c r="AT332" s="1"/>
      <c r="AU332" s="1"/>
      <c r="AV332" s="1"/>
      <c r="AW332" s="1"/>
      <c r="AX332" s="1" t="s">
        <v>6568</v>
      </c>
      <c r="AY332" s="1" t="s">
        <v>6569</v>
      </c>
      <c r="AZ332" s="1" t="s">
        <v>1131</v>
      </c>
      <c r="BA332" s="1" t="s">
        <v>1361</v>
      </c>
      <c r="BB332" s="1">
        <v>71.07</v>
      </c>
      <c r="BC332" s="1">
        <v>8.26</v>
      </c>
      <c r="BD332" s="1"/>
      <c r="BE332" s="1"/>
      <c r="BF332" s="1"/>
      <c r="BG332" s="1"/>
      <c r="BH332" s="1"/>
      <c r="BI332" s="1"/>
      <c r="BJ332" s="1" t="s">
        <v>6570</v>
      </c>
      <c r="BK332" s="1"/>
      <c r="BL332" s="1"/>
      <c r="BM332" s="1" t="s">
        <v>6571</v>
      </c>
      <c r="BN332" s="1">
        <v>8</v>
      </c>
      <c r="BO332" s="1" t="s">
        <v>6572</v>
      </c>
      <c r="BP332" s="1" t="str">
        <f>HYPERLINK("https://nconnect.nicmar.ac.in/storage/profile/ProfilePhoto_P25700278_937126.jpg","Download")</f>
        <v>0</v>
      </c>
      <c r="BQ332" s="3"/>
      <c r="BR332" s="3"/>
    </row>
    <row r="333" spans="1:70">
      <c r="A333" s="1" t="s">
        <v>70</v>
      </c>
      <c r="B333" s="1" t="s">
        <v>1269</v>
      </c>
      <c r="C333" s="1" t="s">
        <v>6573</v>
      </c>
      <c r="D333" s="1" t="s">
        <v>6574</v>
      </c>
      <c r="E333" s="1" t="s">
        <v>1390</v>
      </c>
      <c r="F333" s="1" t="s">
        <v>6575</v>
      </c>
      <c r="G333" s="1" t="s">
        <v>6576</v>
      </c>
      <c r="H333" s="1" t="s">
        <v>6577</v>
      </c>
      <c r="I333" s="1" t="s">
        <v>6578</v>
      </c>
      <c r="J333" s="1">
        <v>9567563482</v>
      </c>
      <c r="K333" s="1" t="s">
        <v>79</v>
      </c>
      <c r="L333" s="1" t="s">
        <v>6579</v>
      </c>
      <c r="M333" s="1" t="s">
        <v>81</v>
      </c>
      <c r="N333" s="1" t="s">
        <v>6580</v>
      </c>
      <c r="O333" s="1"/>
      <c r="P333" s="1" t="s">
        <v>1323</v>
      </c>
      <c r="Q333" s="1" t="s">
        <v>6581</v>
      </c>
      <c r="R333" s="1" t="s">
        <v>6582</v>
      </c>
      <c r="S333" s="1">
        <v>9447043944</v>
      </c>
      <c r="T333" s="1" t="s">
        <v>5637</v>
      </c>
      <c r="U333" s="1" t="s">
        <v>6583</v>
      </c>
      <c r="V333" s="1">
        <v>9497088960</v>
      </c>
      <c r="W333" s="1" t="s">
        <v>273</v>
      </c>
      <c r="X333" s="1" t="s">
        <v>6584</v>
      </c>
      <c r="Y333" s="1" t="s">
        <v>6585</v>
      </c>
      <c r="Z333" s="1" t="s">
        <v>125</v>
      </c>
      <c r="AA333" s="1" t="s">
        <v>6584</v>
      </c>
      <c r="AB333" s="1" t="s">
        <v>6585</v>
      </c>
      <c r="AC333" s="1" t="s">
        <v>125</v>
      </c>
      <c r="AD333" s="1">
        <v>8.92</v>
      </c>
      <c r="AE333" s="1" t="s">
        <v>93</v>
      </c>
      <c r="AF333" s="1" t="s">
        <v>6586</v>
      </c>
      <c r="AG333" s="1" t="s">
        <v>1152</v>
      </c>
      <c r="AH333" s="1" t="s">
        <v>165</v>
      </c>
      <c r="AI333" s="1" t="s">
        <v>166</v>
      </c>
      <c r="AJ333" s="1">
        <v>87.5</v>
      </c>
      <c r="AK333" s="1"/>
      <c r="AL333" s="1" t="s">
        <v>6587</v>
      </c>
      <c r="AM333" s="1" t="s">
        <v>3514</v>
      </c>
      <c r="AN333" s="1" t="s">
        <v>433</v>
      </c>
      <c r="AO333" s="1" t="s">
        <v>173</v>
      </c>
      <c r="AP333" s="1">
        <v>93.17</v>
      </c>
      <c r="AQ333" s="1"/>
      <c r="AR333" s="1"/>
      <c r="AS333" s="1"/>
      <c r="AT333" s="1"/>
      <c r="AU333" s="1"/>
      <c r="AV333" s="1"/>
      <c r="AW333" s="1"/>
      <c r="AX333" s="1" t="s">
        <v>6588</v>
      </c>
      <c r="AY333" s="1" t="s">
        <v>3328</v>
      </c>
      <c r="AZ333" s="1" t="s">
        <v>681</v>
      </c>
      <c r="BA333" s="1" t="s">
        <v>413</v>
      </c>
      <c r="BB333" s="1">
        <v>79.7</v>
      </c>
      <c r="BC333" s="1">
        <v>7.97</v>
      </c>
      <c r="BD333" s="1"/>
      <c r="BE333" s="1"/>
      <c r="BF333" s="1"/>
      <c r="BG333" s="1"/>
      <c r="BH333" s="1"/>
      <c r="BI333" s="1"/>
      <c r="BJ333" s="1" t="s">
        <v>6589</v>
      </c>
      <c r="BK333" s="1"/>
      <c r="BL333" s="1"/>
      <c r="BM333" s="1" t="s">
        <v>6590</v>
      </c>
      <c r="BN333" s="1">
        <v>61</v>
      </c>
      <c r="BO333" s="1" t="s">
        <v>6591</v>
      </c>
      <c r="BP333" s="1" t="str">
        <f>HYPERLINK("https://nconnect.nicmar.ac.in/storage/profile/ProfilePhoto_P25700280_693247.jpg","Download")</f>
        <v>0</v>
      </c>
      <c r="BQ333" s="3"/>
      <c r="BR333" s="3"/>
    </row>
    <row r="334" spans="1:70">
      <c r="A334" s="1" t="s">
        <v>70</v>
      </c>
      <c r="B334" s="1" t="s">
        <v>1269</v>
      </c>
      <c r="C334" s="1" t="s">
        <v>6592</v>
      </c>
      <c r="D334" s="1" t="s">
        <v>6593</v>
      </c>
      <c r="E334" s="1" t="s">
        <v>111</v>
      </c>
      <c r="F334" s="1" t="s">
        <v>6594</v>
      </c>
      <c r="G334" s="1" t="s">
        <v>6595</v>
      </c>
      <c r="H334" s="1" t="s">
        <v>6596</v>
      </c>
      <c r="I334" s="1" t="s">
        <v>6597</v>
      </c>
      <c r="J334" s="1">
        <v>9745629192</v>
      </c>
      <c r="K334" s="1" t="s">
        <v>148</v>
      </c>
      <c r="L334" s="1" t="s">
        <v>1985</v>
      </c>
      <c r="M334" s="1" t="s">
        <v>81</v>
      </c>
      <c r="N334" s="1" t="s">
        <v>6598</v>
      </c>
      <c r="O334" s="1"/>
      <c r="P334" s="1" t="s">
        <v>1298</v>
      </c>
      <c r="Q334" s="1" t="s">
        <v>6599</v>
      </c>
      <c r="R334" s="1" t="s">
        <v>6600</v>
      </c>
      <c r="S334" s="1">
        <v>9446529192</v>
      </c>
      <c r="T334" s="1" t="s">
        <v>496</v>
      </c>
      <c r="U334" s="1" t="s">
        <v>6601</v>
      </c>
      <c r="V334" s="1">
        <v>9495929192</v>
      </c>
      <c r="W334" s="1" t="s">
        <v>273</v>
      </c>
      <c r="X334" s="1" t="s">
        <v>6602</v>
      </c>
      <c r="Y334" s="1" t="s">
        <v>1260</v>
      </c>
      <c r="Z334" s="1" t="s">
        <v>125</v>
      </c>
      <c r="AA334" s="1" t="s">
        <v>6602</v>
      </c>
      <c r="AB334" s="1" t="s">
        <v>1260</v>
      </c>
      <c r="AC334" s="1" t="s">
        <v>125</v>
      </c>
      <c r="AD334" s="1">
        <v>8.28</v>
      </c>
      <c r="AE334" s="1" t="s">
        <v>93</v>
      </c>
      <c r="AF334" s="1" t="s">
        <v>6547</v>
      </c>
      <c r="AG334" s="1" t="s">
        <v>307</v>
      </c>
      <c r="AH334" s="1" t="s">
        <v>479</v>
      </c>
      <c r="AI334" s="1" t="s">
        <v>281</v>
      </c>
      <c r="AJ334" s="1">
        <v>79</v>
      </c>
      <c r="AK334" s="1">
        <v>0</v>
      </c>
      <c r="AL334" s="1" t="s">
        <v>6603</v>
      </c>
      <c r="AM334" s="1" t="s">
        <v>6604</v>
      </c>
      <c r="AN334" s="1" t="s">
        <v>433</v>
      </c>
      <c r="AO334" s="1" t="s">
        <v>941</v>
      </c>
      <c r="AP334" s="1">
        <v>78.5</v>
      </c>
      <c r="AQ334" s="1">
        <v>0</v>
      </c>
      <c r="AR334" s="1"/>
      <c r="AS334" s="1"/>
      <c r="AT334" s="1"/>
      <c r="AU334" s="1"/>
      <c r="AV334" s="1"/>
      <c r="AW334" s="1"/>
      <c r="AX334" s="1" t="s">
        <v>132</v>
      </c>
      <c r="AY334" s="1" t="s">
        <v>6605</v>
      </c>
      <c r="AZ334" s="1" t="s">
        <v>135</v>
      </c>
      <c r="BA334" s="1" t="s">
        <v>1408</v>
      </c>
      <c r="BB334" s="1">
        <v>74</v>
      </c>
      <c r="BC334" s="1">
        <v>7.4</v>
      </c>
      <c r="BD334" s="1"/>
      <c r="BE334" s="1"/>
      <c r="BF334" s="1"/>
      <c r="BG334" s="1"/>
      <c r="BH334" s="1"/>
      <c r="BI334" s="1"/>
      <c r="BJ334" s="1" t="s">
        <v>364</v>
      </c>
      <c r="BK334" s="1"/>
      <c r="BL334" s="1"/>
      <c r="BM334" s="1" t="s">
        <v>6606</v>
      </c>
      <c r="BN334" s="1">
        <v>8</v>
      </c>
      <c r="BO334" s="1" t="s">
        <v>6607</v>
      </c>
      <c r="BP334" s="1" t="str">
        <f>HYPERLINK("https://nconnect.nicmar.ac.in/storage/profile/ProfilePhoto_P25700282_942538.jpg","Download")</f>
        <v>0</v>
      </c>
      <c r="BQ334" s="3"/>
      <c r="BR334" s="3"/>
    </row>
    <row r="335" spans="1:70">
      <c r="A335" s="1" t="s">
        <v>70</v>
      </c>
      <c r="B335" s="1" t="s">
        <v>1269</v>
      </c>
      <c r="C335" s="1" t="s">
        <v>6608</v>
      </c>
      <c r="D335" s="1" t="s">
        <v>3244</v>
      </c>
      <c r="E335" s="1" t="s">
        <v>6609</v>
      </c>
      <c r="F335" s="1" t="s">
        <v>6610</v>
      </c>
      <c r="G335" s="1" t="s">
        <v>6611</v>
      </c>
      <c r="H335" s="1" t="s">
        <v>6612</v>
      </c>
      <c r="I335" s="1" t="s">
        <v>6613</v>
      </c>
      <c r="J335" s="1">
        <v>8010828770</v>
      </c>
      <c r="K335" s="1" t="s">
        <v>79</v>
      </c>
      <c r="L335" s="1" t="s">
        <v>6614</v>
      </c>
      <c r="M335" s="1" t="s">
        <v>81</v>
      </c>
      <c r="N335" s="1" t="s">
        <v>1765</v>
      </c>
      <c r="O335" s="1"/>
      <c r="P335" s="1" t="s">
        <v>6615</v>
      </c>
      <c r="Q335" s="1" t="s">
        <v>6616</v>
      </c>
      <c r="R335" s="1" t="s">
        <v>6617</v>
      </c>
      <c r="S335" s="1">
        <v>9527956934</v>
      </c>
      <c r="T335" s="1" t="s">
        <v>122</v>
      </c>
      <c r="U335" s="1" t="s">
        <v>6618</v>
      </c>
      <c r="V335" s="1">
        <v>9763979784</v>
      </c>
      <c r="W335" s="1" t="s">
        <v>156</v>
      </c>
      <c r="X335" s="1" t="s">
        <v>6619</v>
      </c>
      <c r="Y335" s="1" t="s">
        <v>191</v>
      </c>
      <c r="Z335" s="1" t="s">
        <v>92</v>
      </c>
      <c r="AA335" s="1" t="s">
        <v>6620</v>
      </c>
      <c r="AB335" s="1" t="s">
        <v>6621</v>
      </c>
      <c r="AC335" s="1" t="s">
        <v>92</v>
      </c>
      <c r="AD335" s="1">
        <v>8.28</v>
      </c>
      <c r="AE335" s="1" t="s">
        <v>93</v>
      </c>
      <c r="AF335" s="1" t="s">
        <v>6622</v>
      </c>
      <c r="AG335" s="1" t="s">
        <v>6623</v>
      </c>
      <c r="AH335" s="1" t="s">
        <v>162</v>
      </c>
      <c r="AI335" s="1" t="s">
        <v>165</v>
      </c>
      <c r="AJ335" s="1">
        <v>78.2</v>
      </c>
      <c r="AK335" s="1"/>
      <c r="AL335" s="1" t="s">
        <v>6624</v>
      </c>
      <c r="AM335" s="1" t="s">
        <v>6625</v>
      </c>
      <c r="AN335" s="1" t="s">
        <v>383</v>
      </c>
      <c r="AO335" s="1" t="s">
        <v>941</v>
      </c>
      <c r="AP335" s="1">
        <v>77.85</v>
      </c>
      <c r="AQ335" s="1"/>
      <c r="AR335" s="1"/>
      <c r="AS335" s="1"/>
      <c r="AT335" s="1"/>
      <c r="AU335" s="1"/>
      <c r="AV335" s="1"/>
      <c r="AW335" s="1"/>
      <c r="AX335" s="1" t="s">
        <v>361</v>
      </c>
      <c r="AY335" s="1" t="s">
        <v>6626</v>
      </c>
      <c r="AZ335" s="1" t="s">
        <v>363</v>
      </c>
      <c r="BA335" s="1" t="s">
        <v>202</v>
      </c>
      <c r="BB335" s="1">
        <v>74.6</v>
      </c>
      <c r="BC335" s="1">
        <v>8.3</v>
      </c>
      <c r="BD335" s="1"/>
      <c r="BE335" s="1"/>
      <c r="BF335" s="1"/>
      <c r="BG335" s="1"/>
      <c r="BH335" s="1"/>
      <c r="BI335" s="1"/>
      <c r="BJ335" s="1" t="s">
        <v>6627</v>
      </c>
      <c r="BK335" s="1"/>
      <c r="BL335" s="1"/>
      <c r="BM335" s="1" t="s">
        <v>6628</v>
      </c>
      <c r="BN335" s="1">
        <v>8</v>
      </c>
      <c r="BO335" s="1" t="s">
        <v>6629</v>
      </c>
      <c r="BP335" s="1" t="str">
        <f>HYPERLINK("https://nconnect.nicmar.ac.in/storage/profile/ProfilePhoto_P25700283_529847.jpg","Download")</f>
        <v>0</v>
      </c>
      <c r="BQ335" s="3"/>
      <c r="BR335" s="3"/>
    </row>
    <row r="336" spans="1:70">
      <c r="A336" s="1" t="s">
        <v>70</v>
      </c>
      <c r="B336" s="1" t="s">
        <v>1269</v>
      </c>
      <c r="C336" s="1" t="s">
        <v>6630</v>
      </c>
      <c r="D336" s="1" t="s">
        <v>6631</v>
      </c>
      <c r="E336" s="1" t="s">
        <v>6632</v>
      </c>
      <c r="F336" s="1" t="s">
        <v>6633</v>
      </c>
      <c r="G336" s="1" t="s">
        <v>6634</v>
      </c>
      <c r="H336" s="1" t="s">
        <v>6635</v>
      </c>
      <c r="I336" s="1" t="s">
        <v>6636</v>
      </c>
      <c r="J336" s="1">
        <v>7620490959</v>
      </c>
      <c r="K336" s="1" t="s">
        <v>79</v>
      </c>
      <c r="L336" s="1" t="s">
        <v>6637</v>
      </c>
      <c r="M336" s="1" t="s">
        <v>81</v>
      </c>
      <c r="N336" s="1" t="s">
        <v>1950</v>
      </c>
      <c r="O336" s="1"/>
      <c r="P336" s="1" t="s">
        <v>1323</v>
      </c>
      <c r="Q336" s="1" t="s">
        <v>6638</v>
      </c>
      <c r="R336" s="1" t="s">
        <v>6639</v>
      </c>
      <c r="S336" s="1">
        <v>8999192909</v>
      </c>
      <c r="T336" s="1" t="s">
        <v>496</v>
      </c>
      <c r="U336" s="1" t="s">
        <v>6640</v>
      </c>
      <c r="V336" s="1">
        <v>7020057963</v>
      </c>
      <c r="W336" s="1" t="s">
        <v>156</v>
      </c>
      <c r="X336" s="1" t="s">
        <v>6641</v>
      </c>
      <c r="Y336" s="1" t="s">
        <v>191</v>
      </c>
      <c r="Z336" s="1" t="s">
        <v>92</v>
      </c>
      <c r="AA336" s="1" t="s">
        <v>6642</v>
      </c>
      <c r="AB336" s="1" t="s">
        <v>405</v>
      </c>
      <c r="AC336" s="1" t="s">
        <v>92</v>
      </c>
      <c r="AD336" s="1">
        <v>8.07</v>
      </c>
      <c r="AE336" s="1" t="s">
        <v>93</v>
      </c>
      <c r="AF336" s="1" t="s">
        <v>6643</v>
      </c>
      <c r="AG336" s="1" t="s">
        <v>358</v>
      </c>
      <c r="AH336" s="1" t="s">
        <v>165</v>
      </c>
      <c r="AI336" s="1" t="s">
        <v>281</v>
      </c>
      <c r="AJ336" s="1">
        <v>89.8</v>
      </c>
      <c r="AK336" s="1"/>
      <c r="AL336" s="1" t="s">
        <v>6644</v>
      </c>
      <c r="AM336" s="1" t="s">
        <v>358</v>
      </c>
      <c r="AN336" s="1" t="s">
        <v>433</v>
      </c>
      <c r="AO336" s="1" t="s">
        <v>699</v>
      </c>
      <c r="AP336" s="1">
        <v>71.69</v>
      </c>
      <c r="AQ336" s="1"/>
      <c r="AR336" s="1"/>
      <c r="AS336" s="1"/>
      <c r="AT336" s="1"/>
      <c r="AU336" s="1"/>
      <c r="AV336" s="1"/>
      <c r="AW336" s="1"/>
      <c r="AX336" s="1" t="s">
        <v>410</v>
      </c>
      <c r="AY336" s="1" t="s">
        <v>6645</v>
      </c>
      <c r="AZ336" s="1" t="s">
        <v>173</v>
      </c>
      <c r="BA336" s="1" t="s">
        <v>202</v>
      </c>
      <c r="BB336" s="1">
        <v>73</v>
      </c>
      <c r="BC336" s="1">
        <v>8.05</v>
      </c>
      <c r="BD336" s="1"/>
      <c r="BE336" s="1"/>
      <c r="BF336" s="1"/>
      <c r="BG336" s="1"/>
      <c r="BH336" s="1"/>
      <c r="BI336" s="1"/>
      <c r="BJ336" s="1" t="s">
        <v>6646</v>
      </c>
      <c r="BK336" s="1"/>
      <c r="BL336" s="1"/>
      <c r="BM336" s="1" t="s">
        <v>6647</v>
      </c>
      <c r="BN336" s="1">
        <v>40</v>
      </c>
      <c r="BO336" s="1" t="s">
        <v>6648</v>
      </c>
      <c r="BP336" s="1" t="str">
        <f>HYPERLINK("https://nconnect.nicmar.ac.in/storage/profile/ProfilePhoto_P25700284_724851.jpg","Download")</f>
        <v>0</v>
      </c>
      <c r="BQ336" s="3"/>
      <c r="BR336" s="3"/>
    </row>
    <row r="337" spans="1:70">
      <c r="A337" s="1" t="s">
        <v>70</v>
      </c>
      <c r="B337" s="1" t="s">
        <v>1269</v>
      </c>
      <c r="C337" s="1" t="s">
        <v>6649</v>
      </c>
      <c r="D337" s="1" t="s">
        <v>5563</v>
      </c>
      <c r="E337" s="1" t="s">
        <v>1032</v>
      </c>
      <c r="F337" s="1" t="s">
        <v>6650</v>
      </c>
      <c r="G337" s="1" t="s">
        <v>6651</v>
      </c>
      <c r="H337" s="1" t="s">
        <v>6652</v>
      </c>
      <c r="I337" s="1" t="s">
        <v>6653</v>
      </c>
      <c r="J337" s="1">
        <v>9137909715</v>
      </c>
      <c r="K337" s="1" t="s">
        <v>79</v>
      </c>
      <c r="L337" s="1" t="s">
        <v>6654</v>
      </c>
      <c r="M337" s="1" t="s">
        <v>81</v>
      </c>
      <c r="N337" s="1" t="s">
        <v>3864</v>
      </c>
      <c r="O337" s="1"/>
      <c r="P337" s="1" t="s">
        <v>1278</v>
      </c>
      <c r="Q337" s="1" t="s">
        <v>6655</v>
      </c>
      <c r="R337" s="1" t="s">
        <v>6656</v>
      </c>
      <c r="S337" s="1">
        <v>9004413615</v>
      </c>
      <c r="T337" s="1" t="s">
        <v>6657</v>
      </c>
      <c r="U337" s="1" t="s">
        <v>6658</v>
      </c>
      <c r="V337" s="1">
        <v>9137909715</v>
      </c>
      <c r="W337" s="1" t="s">
        <v>6659</v>
      </c>
      <c r="X337" s="1" t="s">
        <v>6660</v>
      </c>
      <c r="Y337" s="1" t="s">
        <v>1623</v>
      </c>
      <c r="Z337" s="1" t="s">
        <v>92</v>
      </c>
      <c r="AA337" s="1" t="s">
        <v>6660</v>
      </c>
      <c r="AB337" s="1" t="s">
        <v>1623</v>
      </c>
      <c r="AC337" s="1" t="s">
        <v>92</v>
      </c>
      <c r="AD337" s="1">
        <v>8.2</v>
      </c>
      <c r="AE337" s="1" t="s">
        <v>93</v>
      </c>
      <c r="AF337" s="1" t="s">
        <v>6661</v>
      </c>
      <c r="AG337" s="1" t="s">
        <v>6662</v>
      </c>
      <c r="AH337" s="1" t="s">
        <v>101</v>
      </c>
      <c r="AI337" s="1" t="s">
        <v>308</v>
      </c>
      <c r="AJ337" s="1">
        <v>61.8</v>
      </c>
      <c r="AK337" s="1">
        <v>0</v>
      </c>
      <c r="AL337" s="1"/>
      <c r="AM337" s="1"/>
      <c r="AN337" s="1"/>
      <c r="AO337" s="1"/>
      <c r="AP337" s="1"/>
      <c r="AQ337" s="1"/>
      <c r="AR337" s="1" t="s">
        <v>98</v>
      </c>
      <c r="AS337" s="1" t="s">
        <v>6663</v>
      </c>
      <c r="AT337" s="1" t="s">
        <v>310</v>
      </c>
      <c r="AU337" s="1" t="s">
        <v>105</v>
      </c>
      <c r="AV337" s="1">
        <v>90.16</v>
      </c>
      <c r="AW337" s="1">
        <v>0</v>
      </c>
      <c r="AX337" s="1" t="s">
        <v>253</v>
      </c>
      <c r="AY337" s="1" t="s">
        <v>6664</v>
      </c>
      <c r="AZ337" s="1" t="s">
        <v>2690</v>
      </c>
      <c r="BA337" s="1" t="s">
        <v>1584</v>
      </c>
      <c r="BB337" s="1">
        <v>66.65</v>
      </c>
      <c r="BC337" s="1">
        <v>7.32</v>
      </c>
      <c r="BD337" s="1"/>
      <c r="BE337" s="1"/>
      <c r="BF337" s="1"/>
      <c r="BG337" s="1"/>
      <c r="BH337" s="1"/>
      <c r="BI337" s="1"/>
      <c r="BJ337" s="1" t="s">
        <v>1383</v>
      </c>
      <c r="BK337" s="1"/>
      <c r="BL337" s="1"/>
      <c r="BM337" s="1" t="s">
        <v>6665</v>
      </c>
      <c r="BN337" s="1">
        <v>26</v>
      </c>
      <c r="BO337" s="1" t="s">
        <v>6666</v>
      </c>
      <c r="BP337" s="1" t="str">
        <f>HYPERLINK("https://nconnect.nicmar.ac.in/storage/profile/ProfilePhoto_P25700285_743596.jpg","Download")</f>
        <v>0</v>
      </c>
      <c r="BQ337" s="3"/>
      <c r="BR337" s="3"/>
    </row>
    <row r="338" spans="1:70">
      <c r="A338" s="1" t="s">
        <v>70</v>
      </c>
      <c r="B338" s="1" t="s">
        <v>1269</v>
      </c>
      <c r="C338" s="1" t="s">
        <v>6667</v>
      </c>
      <c r="D338" s="1" t="s">
        <v>4124</v>
      </c>
      <c r="E338" s="1" t="s">
        <v>6668</v>
      </c>
      <c r="F338" s="1" t="s">
        <v>1390</v>
      </c>
      <c r="G338" s="1" t="s">
        <v>6669</v>
      </c>
      <c r="H338" s="1" t="s">
        <v>6670</v>
      </c>
      <c r="I338" s="1" t="s">
        <v>6671</v>
      </c>
      <c r="J338" s="1">
        <v>8139045033</v>
      </c>
      <c r="K338" s="1" t="s">
        <v>79</v>
      </c>
      <c r="L338" s="1" t="s">
        <v>6672</v>
      </c>
      <c r="M338" s="1" t="s">
        <v>81</v>
      </c>
      <c r="N338" s="1" t="s">
        <v>3318</v>
      </c>
      <c r="O338" s="1"/>
      <c r="P338" s="1" t="s">
        <v>1323</v>
      </c>
      <c r="Q338" s="1" t="s">
        <v>6673</v>
      </c>
      <c r="R338" s="1" t="s">
        <v>6674</v>
      </c>
      <c r="S338" s="1">
        <v>9447453418</v>
      </c>
      <c r="T338" s="1" t="s">
        <v>6675</v>
      </c>
      <c r="U338" s="1" t="s">
        <v>6676</v>
      </c>
      <c r="V338" s="1">
        <v>6282314227</v>
      </c>
      <c r="W338" s="1" t="s">
        <v>6677</v>
      </c>
      <c r="X338" s="1" t="s">
        <v>6678</v>
      </c>
      <c r="Y338" s="1" t="s">
        <v>1260</v>
      </c>
      <c r="Z338" s="1" t="s">
        <v>125</v>
      </c>
      <c r="AA338" s="1" t="s">
        <v>6678</v>
      </c>
      <c r="AB338" s="1" t="s">
        <v>1260</v>
      </c>
      <c r="AC338" s="1" t="s">
        <v>125</v>
      </c>
      <c r="AD338" s="1">
        <v>9.07</v>
      </c>
      <c r="AE338" s="1" t="s">
        <v>93</v>
      </c>
      <c r="AF338" s="1" t="s">
        <v>6679</v>
      </c>
      <c r="AG338" s="1" t="s">
        <v>6680</v>
      </c>
      <c r="AH338" s="1" t="s">
        <v>281</v>
      </c>
      <c r="AI338" s="1" t="s">
        <v>308</v>
      </c>
      <c r="AJ338" s="1">
        <v>91</v>
      </c>
      <c r="AK338" s="1"/>
      <c r="AL338" s="1" t="s">
        <v>6679</v>
      </c>
      <c r="AM338" s="1" t="s">
        <v>6681</v>
      </c>
      <c r="AN338" s="1" t="s">
        <v>941</v>
      </c>
      <c r="AO338" s="1" t="s">
        <v>506</v>
      </c>
      <c r="AP338" s="1">
        <v>98.66</v>
      </c>
      <c r="AQ338" s="1"/>
      <c r="AR338" s="1"/>
      <c r="AS338" s="1"/>
      <c r="AT338" s="1"/>
      <c r="AU338" s="1"/>
      <c r="AV338" s="1"/>
      <c r="AW338" s="1"/>
      <c r="AX338" s="1" t="s">
        <v>132</v>
      </c>
      <c r="AY338" s="1" t="s">
        <v>6682</v>
      </c>
      <c r="AZ338" s="1" t="s">
        <v>135</v>
      </c>
      <c r="BA338" s="1" t="s">
        <v>1714</v>
      </c>
      <c r="BB338" s="1">
        <v>83.9</v>
      </c>
      <c r="BC338" s="1"/>
      <c r="BD338" s="1"/>
      <c r="BE338" s="1"/>
      <c r="BF338" s="1"/>
      <c r="BG338" s="1"/>
      <c r="BH338" s="1"/>
      <c r="BI338" s="1"/>
      <c r="BJ338" s="1" t="s">
        <v>1383</v>
      </c>
      <c r="BK338" s="1"/>
      <c r="BL338" s="1"/>
      <c r="BM338" s="1" t="s">
        <v>6683</v>
      </c>
      <c r="BN338" s="1">
        <v>7</v>
      </c>
      <c r="BO338" s="1" t="s">
        <v>6607</v>
      </c>
      <c r="BP338" s="1" t="str">
        <f>HYPERLINK("https://nconnect.nicmar.ac.in/storage/profile/ProfilePhoto_P25700286_398214.jpg","Download")</f>
        <v>0</v>
      </c>
      <c r="BQ338" s="3"/>
      <c r="BR338" s="3"/>
    </row>
    <row r="339" spans="1:70">
      <c r="A339" s="1" t="s">
        <v>70</v>
      </c>
      <c r="B339" s="1" t="s">
        <v>1269</v>
      </c>
      <c r="C339" s="1" t="s">
        <v>6684</v>
      </c>
      <c r="D339" s="1" t="s">
        <v>5595</v>
      </c>
      <c r="E339" s="1" t="s">
        <v>6685</v>
      </c>
      <c r="F339" s="1" t="s">
        <v>6686</v>
      </c>
      <c r="G339" s="1" t="s">
        <v>6687</v>
      </c>
      <c r="H339" s="1" t="s">
        <v>6688</v>
      </c>
      <c r="I339" s="1" t="s">
        <v>6689</v>
      </c>
      <c r="J339" s="1">
        <v>9834762330</v>
      </c>
      <c r="K339" s="1" t="s">
        <v>79</v>
      </c>
      <c r="L339" s="1" t="s">
        <v>6690</v>
      </c>
      <c r="M339" s="1" t="s">
        <v>81</v>
      </c>
      <c r="N339" s="1" t="s">
        <v>860</v>
      </c>
      <c r="O339" s="1"/>
      <c r="P339" s="1" t="s">
        <v>1278</v>
      </c>
      <c r="Q339" s="1" t="s">
        <v>6691</v>
      </c>
      <c r="R339" s="1" t="s">
        <v>6692</v>
      </c>
      <c r="S339" s="1">
        <v>9421510620</v>
      </c>
      <c r="T339" s="1" t="s">
        <v>122</v>
      </c>
      <c r="U339" s="1" t="s">
        <v>6693</v>
      </c>
      <c r="V339" s="1">
        <v>9423114762</v>
      </c>
      <c r="W339" s="1" t="s">
        <v>122</v>
      </c>
      <c r="X339" s="1" t="s">
        <v>6694</v>
      </c>
      <c r="Y339" s="1" t="s">
        <v>1174</v>
      </c>
      <c r="Z339" s="1" t="s">
        <v>92</v>
      </c>
      <c r="AA339" s="1" t="s">
        <v>6694</v>
      </c>
      <c r="AB339" s="1" t="s">
        <v>1174</v>
      </c>
      <c r="AC339" s="1" t="s">
        <v>92</v>
      </c>
      <c r="AD339" s="1">
        <v>8.08</v>
      </c>
      <c r="AE339" s="1" t="s">
        <v>93</v>
      </c>
      <c r="AF339" s="1" t="s">
        <v>6695</v>
      </c>
      <c r="AG339" s="1" t="s">
        <v>476</v>
      </c>
      <c r="AH339" s="1" t="s">
        <v>999</v>
      </c>
      <c r="AI339" s="1" t="s">
        <v>97</v>
      </c>
      <c r="AJ339" s="1">
        <v>85.8</v>
      </c>
      <c r="AK339" s="1"/>
      <c r="AL339" s="1" t="s">
        <v>6695</v>
      </c>
      <c r="AM339" s="1" t="s">
        <v>476</v>
      </c>
      <c r="AN339" s="1" t="s">
        <v>1001</v>
      </c>
      <c r="AO339" s="1" t="s">
        <v>1332</v>
      </c>
      <c r="AP339" s="1">
        <v>72</v>
      </c>
      <c r="AQ339" s="1"/>
      <c r="AR339" s="1"/>
      <c r="AS339" s="1"/>
      <c r="AT339" s="1"/>
      <c r="AU339" s="1"/>
      <c r="AV339" s="1"/>
      <c r="AW339" s="1"/>
      <c r="AX339" s="1" t="s">
        <v>361</v>
      </c>
      <c r="AY339" s="1" t="s">
        <v>6696</v>
      </c>
      <c r="AZ339" s="1" t="s">
        <v>2906</v>
      </c>
      <c r="BA339" s="1" t="s">
        <v>1712</v>
      </c>
      <c r="BB339" s="1">
        <v>63.7</v>
      </c>
      <c r="BC339" s="1">
        <v>7.12</v>
      </c>
      <c r="BD339" s="1"/>
      <c r="BE339" s="1"/>
      <c r="BF339" s="1"/>
      <c r="BG339" s="1"/>
      <c r="BH339" s="1"/>
      <c r="BI339" s="1"/>
      <c r="BJ339" s="1" t="s">
        <v>4493</v>
      </c>
      <c r="BK339" s="1" t="s">
        <v>6697</v>
      </c>
      <c r="BL339" s="1" t="s">
        <v>1385</v>
      </c>
      <c r="BM339" s="1" t="s">
        <v>6698</v>
      </c>
      <c r="BN339" s="1">
        <v>57</v>
      </c>
      <c r="BO339" s="1" t="s">
        <v>6699</v>
      </c>
      <c r="BP339" s="1" t="str">
        <f>HYPERLINK("https://nconnect.nicmar.ac.in/storage/profile/ProfilePhoto_P25700287_896372.jpg","Download")</f>
        <v>0</v>
      </c>
      <c r="BQ339" s="3"/>
      <c r="BR339" s="3"/>
    </row>
    <row r="340" spans="1:70">
      <c r="A340" s="1" t="s">
        <v>70</v>
      </c>
      <c r="B340" s="1" t="s">
        <v>1269</v>
      </c>
      <c r="C340" s="1" t="s">
        <v>6700</v>
      </c>
      <c r="D340" s="1" t="s">
        <v>1455</v>
      </c>
      <c r="E340" s="1"/>
      <c r="F340" s="1" t="s">
        <v>6701</v>
      </c>
      <c r="G340" s="1" t="s">
        <v>6702</v>
      </c>
      <c r="H340" s="1" t="s">
        <v>6703</v>
      </c>
      <c r="I340" s="1" t="s">
        <v>6704</v>
      </c>
      <c r="J340" s="1">
        <v>7980380083</v>
      </c>
      <c r="K340" s="1" t="s">
        <v>79</v>
      </c>
      <c r="L340" s="1" t="s">
        <v>6705</v>
      </c>
      <c r="M340" s="1" t="s">
        <v>81</v>
      </c>
      <c r="N340" s="1" t="s">
        <v>2067</v>
      </c>
      <c r="O340" s="1"/>
      <c r="P340" s="1" t="s">
        <v>1323</v>
      </c>
      <c r="Q340" s="1" t="s">
        <v>6706</v>
      </c>
      <c r="R340" s="1" t="s">
        <v>6707</v>
      </c>
      <c r="S340" s="1">
        <v>9831075337</v>
      </c>
      <c r="T340" s="1" t="s">
        <v>216</v>
      </c>
      <c r="U340" s="1" t="s">
        <v>6708</v>
      </c>
      <c r="V340" s="1">
        <v>9831735275</v>
      </c>
      <c r="W340" s="1" t="s">
        <v>89</v>
      </c>
      <c r="X340" s="1" t="s">
        <v>6709</v>
      </c>
      <c r="Y340" s="1" t="s">
        <v>2072</v>
      </c>
      <c r="Z340" s="1" t="s">
        <v>783</v>
      </c>
      <c r="AA340" s="1" t="s">
        <v>6709</v>
      </c>
      <c r="AB340" s="1" t="s">
        <v>2072</v>
      </c>
      <c r="AC340" s="1" t="s">
        <v>783</v>
      </c>
      <c r="AD340" s="1">
        <v>8.84</v>
      </c>
      <c r="AE340" s="1" t="s">
        <v>93</v>
      </c>
      <c r="AF340" s="1" t="s">
        <v>6710</v>
      </c>
      <c r="AG340" s="1" t="s">
        <v>6711</v>
      </c>
      <c r="AH340" s="1" t="s">
        <v>131</v>
      </c>
      <c r="AI340" s="1" t="s">
        <v>527</v>
      </c>
      <c r="AJ340" s="1">
        <v>77.9</v>
      </c>
      <c r="AK340" s="1">
        <v>8.2</v>
      </c>
      <c r="AL340" s="1" t="s">
        <v>6710</v>
      </c>
      <c r="AM340" s="1" t="s">
        <v>6711</v>
      </c>
      <c r="AN340" s="1" t="s">
        <v>166</v>
      </c>
      <c r="AO340" s="1" t="s">
        <v>308</v>
      </c>
      <c r="AP340" s="1">
        <v>63.67</v>
      </c>
      <c r="AQ340" s="1"/>
      <c r="AR340" s="1"/>
      <c r="AS340" s="1"/>
      <c r="AT340" s="1"/>
      <c r="AU340" s="1"/>
      <c r="AV340" s="1"/>
      <c r="AW340" s="1"/>
      <c r="AX340" s="1" t="s">
        <v>2078</v>
      </c>
      <c r="AY340" s="1" t="s">
        <v>6712</v>
      </c>
      <c r="AZ340" s="1" t="s">
        <v>201</v>
      </c>
      <c r="BA340" s="1" t="s">
        <v>229</v>
      </c>
      <c r="BB340" s="1">
        <v>73.9</v>
      </c>
      <c r="BC340" s="1">
        <v>8.14</v>
      </c>
      <c r="BD340" s="1"/>
      <c r="BE340" s="1"/>
      <c r="BF340" s="1"/>
      <c r="BG340" s="1"/>
      <c r="BH340" s="1"/>
      <c r="BI340" s="1"/>
      <c r="BJ340" s="1" t="s">
        <v>6713</v>
      </c>
      <c r="BK340" s="1" t="s">
        <v>6714</v>
      </c>
      <c r="BL340" s="1" t="s">
        <v>2303</v>
      </c>
      <c r="BM340" s="1" t="s">
        <v>6715</v>
      </c>
      <c r="BN340" s="1">
        <v>4</v>
      </c>
      <c r="BO340" s="1" t="s">
        <v>6716</v>
      </c>
      <c r="BP340" s="1" t="str">
        <f>HYPERLINK("https://nconnect.nicmar.ac.in/storage/profile/ProfilePhoto_P25700288_156498.jpg","Download")</f>
        <v>0</v>
      </c>
      <c r="BQ340" s="3"/>
      <c r="BR340" s="3"/>
    </row>
    <row r="341" spans="1:70">
      <c r="A341" s="1" t="s">
        <v>70</v>
      </c>
      <c r="B341" s="1" t="s">
        <v>1269</v>
      </c>
      <c r="C341" s="1" t="s">
        <v>6717</v>
      </c>
      <c r="D341" s="1" t="s">
        <v>6718</v>
      </c>
      <c r="E341" s="1" t="s">
        <v>6719</v>
      </c>
      <c r="F341" s="1" t="s">
        <v>6720</v>
      </c>
      <c r="G341" s="1" t="s">
        <v>6721</v>
      </c>
      <c r="H341" s="1" t="s">
        <v>6722</v>
      </c>
      <c r="I341" s="1" t="s">
        <v>6723</v>
      </c>
      <c r="J341" s="1">
        <v>9689670454</v>
      </c>
      <c r="K341" s="1" t="s">
        <v>148</v>
      </c>
      <c r="L341" s="1" t="s">
        <v>6724</v>
      </c>
      <c r="M341" s="1" t="s">
        <v>81</v>
      </c>
      <c r="N341" s="1" t="s">
        <v>1418</v>
      </c>
      <c r="O341" s="1"/>
      <c r="P341" s="1" t="s">
        <v>1323</v>
      </c>
      <c r="Q341" s="1" t="s">
        <v>6725</v>
      </c>
      <c r="R341" s="1" t="s">
        <v>2483</v>
      </c>
      <c r="S341" s="1">
        <v>9823494139</v>
      </c>
      <c r="T341" s="1" t="s">
        <v>6726</v>
      </c>
      <c r="U341" s="1" t="s">
        <v>6727</v>
      </c>
      <c r="V341" s="1">
        <v>9158976637</v>
      </c>
      <c r="W341" s="1" t="s">
        <v>156</v>
      </c>
      <c r="X341" s="1" t="s">
        <v>6728</v>
      </c>
      <c r="Y341" s="1" t="s">
        <v>405</v>
      </c>
      <c r="Z341" s="1" t="s">
        <v>92</v>
      </c>
      <c r="AA341" s="1" t="s">
        <v>6728</v>
      </c>
      <c r="AB341" s="1" t="s">
        <v>405</v>
      </c>
      <c r="AC341" s="1" t="s">
        <v>92</v>
      </c>
      <c r="AD341" s="1">
        <v>8.16</v>
      </c>
      <c r="AE341" s="1" t="s">
        <v>93</v>
      </c>
      <c r="AF341" s="1" t="s">
        <v>6729</v>
      </c>
      <c r="AG341" s="1" t="s">
        <v>476</v>
      </c>
      <c r="AH341" s="1" t="s">
        <v>161</v>
      </c>
      <c r="AI341" s="1" t="s">
        <v>162</v>
      </c>
      <c r="AJ341" s="1">
        <v>96</v>
      </c>
      <c r="AK341" s="1"/>
      <c r="AL341" s="1" t="s">
        <v>6730</v>
      </c>
      <c r="AM341" s="1" t="s">
        <v>476</v>
      </c>
      <c r="AN341" s="1" t="s">
        <v>165</v>
      </c>
      <c r="AO341" s="1" t="s">
        <v>457</v>
      </c>
      <c r="AP341" s="1">
        <v>74</v>
      </c>
      <c r="AQ341" s="1"/>
      <c r="AR341" s="1"/>
      <c r="AS341" s="1"/>
      <c r="AT341" s="1"/>
      <c r="AU341" s="1"/>
      <c r="AV341" s="1"/>
      <c r="AW341" s="1"/>
      <c r="AX341" s="1" t="s">
        <v>547</v>
      </c>
      <c r="AY341" s="1" t="s">
        <v>6184</v>
      </c>
      <c r="AZ341" s="1" t="s">
        <v>636</v>
      </c>
      <c r="BA341" s="1" t="s">
        <v>229</v>
      </c>
      <c r="BB341" s="1">
        <v>66.2</v>
      </c>
      <c r="BC341" s="1">
        <v>7.37</v>
      </c>
      <c r="BD341" s="1" t="s">
        <v>6731</v>
      </c>
      <c r="BE341" s="1" t="s">
        <v>6732</v>
      </c>
      <c r="BF341" s="1" t="s">
        <v>386</v>
      </c>
      <c r="BG341" s="1" t="s">
        <v>1361</v>
      </c>
      <c r="BH341" s="1">
        <v>58</v>
      </c>
      <c r="BI341" s="1"/>
      <c r="BJ341" s="1" t="s">
        <v>6733</v>
      </c>
      <c r="BK341" s="1"/>
      <c r="BL341" s="1"/>
      <c r="BM341" s="1" t="s">
        <v>6734</v>
      </c>
      <c r="BN341" s="1">
        <v>13</v>
      </c>
      <c r="BO341" s="1" t="s">
        <v>1499</v>
      </c>
      <c r="BP341" s="1" t="str">
        <f>HYPERLINK("https://nconnect.nicmar.ac.in/storage/profile/ProfilePhoto_P25700289_126498.jpg","Download")</f>
        <v>0</v>
      </c>
      <c r="BQ341" s="3"/>
      <c r="BR341" s="3"/>
    </row>
    <row r="342" spans="1:70">
      <c r="A342" s="1" t="s">
        <v>70</v>
      </c>
      <c r="B342" s="1" t="s">
        <v>1269</v>
      </c>
      <c r="C342" s="1" t="s">
        <v>6735</v>
      </c>
      <c r="D342" s="1" t="s">
        <v>6465</v>
      </c>
      <c r="E342" s="1" t="s">
        <v>1924</v>
      </c>
      <c r="F342" s="1" t="s">
        <v>6736</v>
      </c>
      <c r="G342" s="1" t="s">
        <v>6737</v>
      </c>
      <c r="H342" s="1" t="s">
        <v>6738</v>
      </c>
      <c r="I342" s="1" t="s">
        <v>6739</v>
      </c>
      <c r="J342" s="1">
        <v>9404709592</v>
      </c>
      <c r="K342" s="1" t="s">
        <v>79</v>
      </c>
      <c r="L342" s="1" t="s">
        <v>6740</v>
      </c>
      <c r="M342" s="1" t="s">
        <v>81</v>
      </c>
      <c r="N342" s="1" t="s">
        <v>1418</v>
      </c>
      <c r="O342" s="1"/>
      <c r="P342" s="1" t="s">
        <v>1323</v>
      </c>
      <c r="Q342" s="1" t="s">
        <v>6741</v>
      </c>
      <c r="R342" s="1" t="s">
        <v>6742</v>
      </c>
      <c r="S342" s="1">
        <v>9423669295</v>
      </c>
      <c r="T342" s="1" t="s">
        <v>154</v>
      </c>
      <c r="U342" s="1" t="s">
        <v>6743</v>
      </c>
      <c r="V342" s="1">
        <v>9373981479</v>
      </c>
      <c r="W342" s="1" t="s">
        <v>273</v>
      </c>
      <c r="X342" s="1" t="s">
        <v>6744</v>
      </c>
      <c r="Y342" s="1" t="s">
        <v>191</v>
      </c>
      <c r="Z342" s="1" t="s">
        <v>92</v>
      </c>
      <c r="AA342" s="1" t="s">
        <v>6745</v>
      </c>
      <c r="AB342" s="1" t="s">
        <v>405</v>
      </c>
      <c r="AC342" s="1" t="s">
        <v>92</v>
      </c>
      <c r="AD342" s="1">
        <v>8.27</v>
      </c>
      <c r="AE342" s="1" t="s">
        <v>93</v>
      </c>
      <c r="AF342" s="1" t="s">
        <v>6746</v>
      </c>
      <c r="AG342" s="1" t="s">
        <v>939</v>
      </c>
      <c r="AH342" s="1" t="s">
        <v>96</v>
      </c>
      <c r="AI342" s="1" t="s">
        <v>131</v>
      </c>
      <c r="AJ342" s="1">
        <v>70.3</v>
      </c>
      <c r="AK342" s="1">
        <v>7.4</v>
      </c>
      <c r="AL342" s="1" t="s">
        <v>1153</v>
      </c>
      <c r="AM342" s="1" t="s">
        <v>6323</v>
      </c>
      <c r="AN342" s="1" t="s">
        <v>337</v>
      </c>
      <c r="AO342" s="1" t="s">
        <v>195</v>
      </c>
      <c r="AP342" s="1">
        <v>84.2</v>
      </c>
      <c r="AQ342" s="1"/>
      <c r="AR342" s="1"/>
      <c r="AS342" s="1"/>
      <c r="AT342" s="1"/>
      <c r="AU342" s="1"/>
      <c r="AV342" s="1"/>
      <c r="AW342" s="1"/>
      <c r="AX342" s="1" t="s">
        <v>410</v>
      </c>
      <c r="AY342" s="1" t="s">
        <v>6747</v>
      </c>
      <c r="AZ342" s="1" t="s">
        <v>383</v>
      </c>
      <c r="BA342" s="1" t="s">
        <v>1712</v>
      </c>
      <c r="BB342" s="1">
        <v>70.8</v>
      </c>
      <c r="BC342" s="1">
        <v>7.83</v>
      </c>
      <c r="BD342" s="1"/>
      <c r="BE342" s="1"/>
      <c r="BF342" s="1"/>
      <c r="BG342" s="1"/>
      <c r="BH342" s="1"/>
      <c r="BI342" s="1"/>
      <c r="BJ342" s="1" t="s">
        <v>6748</v>
      </c>
      <c r="BK342" s="1" t="s">
        <v>6749</v>
      </c>
      <c r="BL342" s="1" t="s">
        <v>2186</v>
      </c>
      <c r="BM342" s="1" t="s">
        <v>6750</v>
      </c>
      <c r="BN342" s="1">
        <v>66</v>
      </c>
      <c r="BO342" s="1"/>
      <c r="BP342" s="1" t="str">
        <f>HYPERLINK("https://nconnect.nicmar.ac.in/storage/profile/ProfilePhoto_P25700290_567841.jpg","Download")</f>
        <v>0</v>
      </c>
      <c r="BQ342" s="3"/>
      <c r="BR342" s="3"/>
    </row>
    <row r="343" spans="1:70">
      <c r="A343" s="1" t="s">
        <v>70</v>
      </c>
      <c r="B343" s="1" t="s">
        <v>1269</v>
      </c>
      <c r="C343" s="1" t="s">
        <v>6751</v>
      </c>
      <c r="D343" s="1" t="s">
        <v>1799</v>
      </c>
      <c r="E343" s="1" t="s">
        <v>5452</v>
      </c>
      <c r="F343" s="1" t="s">
        <v>6752</v>
      </c>
      <c r="G343" s="1" t="s">
        <v>6753</v>
      </c>
      <c r="H343" s="1" t="s">
        <v>6754</v>
      </c>
      <c r="I343" s="1" t="s">
        <v>6755</v>
      </c>
      <c r="J343" s="1">
        <v>7768806989</v>
      </c>
      <c r="K343" s="1" t="s">
        <v>79</v>
      </c>
      <c r="L343" s="1" t="s">
        <v>6756</v>
      </c>
      <c r="M343" s="1" t="s">
        <v>81</v>
      </c>
      <c r="N343" s="1" t="s">
        <v>6757</v>
      </c>
      <c r="O343" s="1"/>
      <c r="P343" s="1" t="s">
        <v>1278</v>
      </c>
      <c r="Q343" s="1" t="s">
        <v>6758</v>
      </c>
      <c r="R343" s="1" t="s">
        <v>5452</v>
      </c>
      <c r="S343" s="1">
        <v>9730033322</v>
      </c>
      <c r="T343" s="1" t="s">
        <v>496</v>
      </c>
      <c r="U343" s="1" t="s">
        <v>6759</v>
      </c>
      <c r="V343" s="1">
        <v>7588714571</v>
      </c>
      <c r="W343" s="1" t="s">
        <v>156</v>
      </c>
      <c r="X343" s="1" t="s">
        <v>6760</v>
      </c>
      <c r="Y343" s="1" t="s">
        <v>1018</v>
      </c>
      <c r="Z343" s="1" t="s">
        <v>92</v>
      </c>
      <c r="AA343" s="1" t="s">
        <v>6760</v>
      </c>
      <c r="AB343" s="1" t="s">
        <v>1018</v>
      </c>
      <c r="AC343" s="1" t="s">
        <v>92</v>
      </c>
      <c r="AD343" s="1">
        <v>8.77</v>
      </c>
      <c r="AE343" s="1" t="s">
        <v>93</v>
      </c>
      <c r="AF343" s="1" t="s">
        <v>6761</v>
      </c>
      <c r="AG343" s="1" t="s">
        <v>6762</v>
      </c>
      <c r="AH343" s="1" t="s">
        <v>162</v>
      </c>
      <c r="AI343" s="1" t="s">
        <v>195</v>
      </c>
      <c r="AJ343" s="1">
        <v>81.6</v>
      </c>
      <c r="AK343" s="1">
        <v>0</v>
      </c>
      <c r="AL343" s="1"/>
      <c r="AM343" s="1"/>
      <c r="AN343" s="1"/>
      <c r="AO343" s="1"/>
      <c r="AP343" s="1"/>
      <c r="AQ343" s="1"/>
      <c r="AR343" s="1" t="s">
        <v>434</v>
      </c>
      <c r="AS343" s="1" t="s">
        <v>3405</v>
      </c>
      <c r="AT343" s="1" t="s">
        <v>383</v>
      </c>
      <c r="AU343" s="1" t="s">
        <v>412</v>
      </c>
      <c r="AV343" s="1">
        <v>95.44</v>
      </c>
      <c r="AW343" s="1">
        <v>0</v>
      </c>
      <c r="AX343" s="1" t="s">
        <v>253</v>
      </c>
      <c r="AY343" s="1" t="s">
        <v>6763</v>
      </c>
      <c r="AZ343" s="1" t="s">
        <v>173</v>
      </c>
      <c r="BA343" s="1" t="s">
        <v>682</v>
      </c>
      <c r="BB343" s="1">
        <v>80.73</v>
      </c>
      <c r="BC343" s="1">
        <v>9.15</v>
      </c>
      <c r="BD343" s="1"/>
      <c r="BE343" s="1"/>
      <c r="BF343" s="1"/>
      <c r="BG343" s="1"/>
      <c r="BH343" s="1"/>
      <c r="BI343" s="1"/>
      <c r="BJ343" s="1" t="s">
        <v>6764</v>
      </c>
      <c r="BK343" s="1" t="s">
        <v>6765</v>
      </c>
      <c r="BL343" s="1" t="s">
        <v>1497</v>
      </c>
      <c r="BM343" s="1" t="s">
        <v>6766</v>
      </c>
      <c r="BN343" s="1">
        <v>83</v>
      </c>
      <c r="BO343" s="1"/>
      <c r="BP343" s="1" t="str">
        <f>HYPERLINK("https://nconnect.nicmar.ac.in/storage/profile/ProfilePhoto_P25700291_245196.jpg","Download")</f>
        <v>0</v>
      </c>
      <c r="BQ343" s="3"/>
      <c r="BR343" s="3"/>
    </row>
    <row r="344" spans="1:70">
      <c r="A344" s="1" t="s">
        <v>70</v>
      </c>
      <c r="B344" s="1" t="s">
        <v>1269</v>
      </c>
      <c r="C344" s="1" t="s">
        <v>6767</v>
      </c>
      <c r="D344" s="1" t="s">
        <v>6768</v>
      </c>
      <c r="E344" s="1"/>
      <c r="F344" s="1" t="s">
        <v>3335</v>
      </c>
      <c r="G344" s="1" t="s">
        <v>6769</v>
      </c>
      <c r="H344" s="1" t="s">
        <v>6770</v>
      </c>
      <c r="I344" s="1" t="s">
        <v>6771</v>
      </c>
      <c r="J344" s="1">
        <v>8085206366</v>
      </c>
      <c r="K344" s="1" t="s">
        <v>148</v>
      </c>
      <c r="L344" s="1" t="s">
        <v>6772</v>
      </c>
      <c r="M344" s="1" t="s">
        <v>81</v>
      </c>
      <c r="N344" s="1" t="s">
        <v>350</v>
      </c>
      <c r="O344" s="1"/>
      <c r="P344" s="1" t="s">
        <v>1278</v>
      </c>
      <c r="Q344" s="1" t="s">
        <v>6773</v>
      </c>
      <c r="R344" s="1" t="s">
        <v>6774</v>
      </c>
      <c r="S344" s="1">
        <v>8085189955</v>
      </c>
      <c r="T344" s="1" t="s">
        <v>4188</v>
      </c>
      <c r="U344" s="1" t="s">
        <v>6775</v>
      </c>
      <c r="V344" s="1">
        <v>9752997968</v>
      </c>
      <c r="W344" s="1" t="s">
        <v>156</v>
      </c>
      <c r="X344" s="1" t="s">
        <v>6776</v>
      </c>
      <c r="Y344" s="1" t="s">
        <v>6777</v>
      </c>
      <c r="Z344" s="1" t="s">
        <v>1237</v>
      </c>
      <c r="AA344" s="1" t="s">
        <v>6776</v>
      </c>
      <c r="AB344" s="1" t="s">
        <v>6777</v>
      </c>
      <c r="AC344" s="1" t="s">
        <v>1237</v>
      </c>
      <c r="AD344" s="1">
        <v>8.25</v>
      </c>
      <c r="AE344" s="1" t="s">
        <v>93</v>
      </c>
      <c r="AF344" s="1" t="s">
        <v>6778</v>
      </c>
      <c r="AG344" s="1" t="s">
        <v>6779</v>
      </c>
      <c r="AH344" s="1" t="s">
        <v>195</v>
      </c>
      <c r="AI344" s="1" t="s">
        <v>166</v>
      </c>
      <c r="AJ344" s="1">
        <v>86.2</v>
      </c>
      <c r="AK344" s="1"/>
      <c r="AL344" s="1" t="s">
        <v>6780</v>
      </c>
      <c r="AM344" s="1" t="s">
        <v>6781</v>
      </c>
      <c r="AN344" s="1" t="s">
        <v>409</v>
      </c>
      <c r="AO344" s="1" t="s">
        <v>173</v>
      </c>
      <c r="AP344" s="1">
        <v>78</v>
      </c>
      <c r="AQ344" s="1"/>
      <c r="AR344" s="1"/>
      <c r="AS344" s="1"/>
      <c r="AT344" s="1"/>
      <c r="AU344" s="1"/>
      <c r="AV344" s="1"/>
      <c r="AW344" s="1"/>
      <c r="AX344" s="1" t="s">
        <v>1243</v>
      </c>
      <c r="AY344" s="1" t="s">
        <v>6782</v>
      </c>
      <c r="AZ344" s="1" t="s">
        <v>173</v>
      </c>
      <c r="BA344" s="1" t="s">
        <v>202</v>
      </c>
      <c r="BB344" s="1">
        <v>76.71</v>
      </c>
      <c r="BC344" s="1"/>
      <c r="BD344" s="1"/>
      <c r="BE344" s="1"/>
      <c r="BF344" s="1"/>
      <c r="BG344" s="1"/>
      <c r="BH344" s="1"/>
      <c r="BI344" s="1"/>
      <c r="BJ344" s="1" t="s">
        <v>6783</v>
      </c>
      <c r="BK344" s="1"/>
      <c r="BL344" s="1"/>
      <c r="BM344" s="1" t="s">
        <v>6784</v>
      </c>
      <c r="BN344" s="1">
        <v>8</v>
      </c>
      <c r="BO344" s="1"/>
      <c r="BP344" s="1" t="str">
        <f>HYPERLINK("https://nconnect.nicmar.ac.in/storage/profile/ProfilePhoto_P25700292_526814.jpg","Download")</f>
        <v>0</v>
      </c>
      <c r="BQ344" s="3"/>
      <c r="BR344" s="3"/>
    </row>
    <row r="345" spans="1:70">
      <c r="A345" s="1" t="s">
        <v>70</v>
      </c>
      <c r="B345" s="1" t="s">
        <v>1269</v>
      </c>
      <c r="C345" s="1" t="s">
        <v>6785</v>
      </c>
      <c r="D345" s="1" t="s">
        <v>143</v>
      </c>
      <c r="E345" s="1" t="s">
        <v>6786</v>
      </c>
      <c r="F345" s="1" t="s">
        <v>6787</v>
      </c>
      <c r="G345" s="1" t="s">
        <v>6788</v>
      </c>
      <c r="H345" s="1" t="s">
        <v>6789</v>
      </c>
      <c r="I345" s="1" t="s">
        <v>6790</v>
      </c>
      <c r="J345" s="1">
        <v>8767880915</v>
      </c>
      <c r="K345" s="1" t="s">
        <v>148</v>
      </c>
      <c r="L345" s="1" t="s">
        <v>6791</v>
      </c>
      <c r="M345" s="1" t="s">
        <v>81</v>
      </c>
      <c r="N345" s="1" t="s">
        <v>6792</v>
      </c>
      <c r="O345" s="1"/>
      <c r="P345" s="1" t="s">
        <v>1278</v>
      </c>
      <c r="Q345" s="1" t="s">
        <v>6793</v>
      </c>
      <c r="R345" s="1" t="s">
        <v>6786</v>
      </c>
      <c r="S345" s="1">
        <v>9823049607</v>
      </c>
      <c r="T345" s="1" t="s">
        <v>496</v>
      </c>
      <c r="U345" s="1" t="s">
        <v>6794</v>
      </c>
      <c r="V345" s="1">
        <v>7798726230</v>
      </c>
      <c r="W345" s="1" t="s">
        <v>156</v>
      </c>
      <c r="X345" s="1" t="s">
        <v>6795</v>
      </c>
      <c r="Y345" s="1" t="s">
        <v>191</v>
      </c>
      <c r="Z345" s="1" t="s">
        <v>92</v>
      </c>
      <c r="AA345" s="1" t="s">
        <v>6796</v>
      </c>
      <c r="AB345" s="1" t="s">
        <v>5915</v>
      </c>
      <c r="AC345" s="1" t="s">
        <v>92</v>
      </c>
      <c r="AD345" s="1">
        <v>8.98</v>
      </c>
      <c r="AE345" s="1" t="s">
        <v>93</v>
      </c>
      <c r="AF345" s="1" t="s">
        <v>6797</v>
      </c>
      <c r="AG345" s="1" t="s">
        <v>6798</v>
      </c>
      <c r="AH345" s="1" t="s">
        <v>162</v>
      </c>
      <c r="AI345" s="1" t="s">
        <v>195</v>
      </c>
      <c r="AJ345" s="1">
        <v>81</v>
      </c>
      <c r="AK345" s="1"/>
      <c r="AL345" s="1" t="s">
        <v>6799</v>
      </c>
      <c r="AM345" s="1" t="s">
        <v>6798</v>
      </c>
      <c r="AN345" s="1" t="s">
        <v>101</v>
      </c>
      <c r="AO345" s="1" t="s">
        <v>198</v>
      </c>
      <c r="AP345" s="1">
        <v>66.77</v>
      </c>
      <c r="AQ345" s="1"/>
      <c r="AR345" s="1"/>
      <c r="AS345" s="1"/>
      <c r="AT345" s="1"/>
      <c r="AU345" s="1"/>
      <c r="AV345" s="1"/>
      <c r="AW345" s="1"/>
      <c r="AX345" s="1" t="s">
        <v>361</v>
      </c>
      <c r="AY345" s="1" t="s">
        <v>6800</v>
      </c>
      <c r="AZ345" s="1" t="s">
        <v>201</v>
      </c>
      <c r="BA345" s="1" t="s">
        <v>229</v>
      </c>
      <c r="BB345" s="1">
        <v>79.65</v>
      </c>
      <c r="BC345" s="1">
        <v>8.95</v>
      </c>
      <c r="BD345" s="1"/>
      <c r="BE345" s="1"/>
      <c r="BF345" s="1"/>
      <c r="BG345" s="1"/>
      <c r="BH345" s="1"/>
      <c r="BI345" s="1"/>
      <c r="BJ345" s="1" t="s">
        <v>6801</v>
      </c>
      <c r="BK345" s="1"/>
      <c r="BL345" s="1"/>
      <c r="BM345" s="1" t="s">
        <v>6802</v>
      </c>
      <c r="BN345" s="1">
        <v>43</v>
      </c>
      <c r="BO345" s="1"/>
      <c r="BP345" s="1" t="str">
        <f>HYPERLINK("https://nconnect.nicmar.ac.in/storage/profile/ProfilePhoto_P25700293_417563.jpg","Download")</f>
        <v>0</v>
      </c>
      <c r="BQ345" s="3"/>
      <c r="BR345" s="3"/>
    </row>
    <row r="346" spans="1:70">
      <c r="A346" s="1" t="s">
        <v>70</v>
      </c>
      <c r="B346" s="1" t="s">
        <v>1269</v>
      </c>
      <c r="C346" s="1" t="s">
        <v>6803</v>
      </c>
      <c r="D346" s="1" t="s">
        <v>6804</v>
      </c>
      <c r="E346" s="1" t="s">
        <v>6805</v>
      </c>
      <c r="F346" s="1" t="s">
        <v>6806</v>
      </c>
      <c r="G346" s="1" t="s">
        <v>6807</v>
      </c>
      <c r="H346" s="1" t="s">
        <v>6808</v>
      </c>
      <c r="I346" s="1" t="s">
        <v>6809</v>
      </c>
      <c r="J346" s="1">
        <v>7993688799</v>
      </c>
      <c r="K346" s="1" t="s">
        <v>79</v>
      </c>
      <c r="L346" s="1" t="s">
        <v>6810</v>
      </c>
      <c r="M346" s="1" t="s">
        <v>81</v>
      </c>
      <c r="N346" s="1" t="s">
        <v>6811</v>
      </c>
      <c r="O346" s="1"/>
      <c r="P346" s="1" t="s">
        <v>1278</v>
      </c>
      <c r="Q346" s="1" t="s">
        <v>6812</v>
      </c>
      <c r="R346" s="1" t="s">
        <v>6805</v>
      </c>
      <c r="S346" s="1">
        <v>8412995054</v>
      </c>
      <c r="T346" s="1" t="s">
        <v>1351</v>
      </c>
      <c r="U346" s="1" t="s">
        <v>6813</v>
      </c>
      <c r="V346" s="1">
        <v>8412995054</v>
      </c>
      <c r="W346" s="1" t="s">
        <v>651</v>
      </c>
      <c r="X346" s="1" t="s">
        <v>6814</v>
      </c>
      <c r="Y346" s="1" t="s">
        <v>191</v>
      </c>
      <c r="Z346" s="1" t="s">
        <v>92</v>
      </c>
      <c r="AA346" s="1" t="s">
        <v>6814</v>
      </c>
      <c r="AB346" s="1" t="s">
        <v>191</v>
      </c>
      <c r="AC346" s="1" t="s">
        <v>92</v>
      </c>
      <c r="AD346" s="1">
        <v>9.07</v>
      </c>
      <c r="AE346" s="1" t="s">
        <v>93</v>
      </c>
      <c r="AF346" s="1" t="s">
        <v>6815</v>
      </c>
      <c r="AG346" s="1" t="s">
        <v>6816</v>
      </c>
      <c r="AH346" s="1" t="s">
        <v>678</v>
      </c>
      <c r="AI346" s="1" t="s">
        <v>166</v>
      </c>
      <c r="AJ346" s="1">
        <v>75.8</v>
      </c>
      <c r="AK346" s="1"/>
      <c r="AL346" s="1" t="s">
        <v>612</v>
      </c>
      <c r="AM346" s="1" t="s">
        <v>613</v>
      </c>
      <c r="AN346" s="1" t="s">
        <v>1065</v>
      </c>
      <c r="AO346" s="1" t="s">
        <v>699</v>
      </c>
      <c r="AP346" s="1">
        <v>86</v>
      </c>
      <c r="AQ346" s="1"/>
      <c r="AR346" s="1"/>
      <c r="AS346" s="1"/>
      <c r="AT346" s="1"/>
      <c r="AU346" s="1"/>
      <c r="AV346" s="1"/>
      <c r="AW346" s="1"/>
      <c r="AX346" s="1" t="s">
        <v>3425</v>
      </c>
      <c r="AY346" s="1" t="s">
        <v>6817</v>
      </c>
      <c r="AZ346" s="1" t="s">
        <v>2461</v>
      </c>
      <c r="BA346" s="1" t="s">
        <v>413</v>
      </c>
      <c r="BB346" s="1">
        <v>92.9</v>
      </c>
      <c r="BC346" s="1"/>
      <c r="BD346" s="1"/>
      <c r="BE346" s="1"/>
      <c r="BF346" s="1"/>
      <c r="BG346" s="1"/>
      <c r="BH346" s="1"/>
      <c r="BI346" s="1"/>
      <c r="BJ346" s="1" t="s">
        <v>6818</v>
      </c>
      <c r="BK346" s="1" t="s">
        <v>6819</v>
      </c>
      <c r="BL346" s="1" t="s">
        <v>287</v>
      </c>
      <c r="BM346" s="1" t="s">
        <v>6820</v>
      </c>
      <c r="BN346" s="1">
        <v>4</v>
      </c>
      <c r="BO346" s="1"/>
      <c r="BP346" s="1" t="str">
        <f>HYPERLINK("https://nconnect.nicmar.ac.in/storage/profile/ProfilePhoto_P25700294_947681.jpg","Download")</f>
        <v>0</v>
      </c>
      <c r="BQ346" s="3"/>
      <c r="BR346" s="3"/>
    </row>
    <row r="347" spans="1:70">
      <c r="A347" s="1" t="s">
        <v>70</v>
      </c>
      <c r="B347" s="1" t="s">
        <v>1269</v>
      </c>
      <c r="C347" s="1" t="s">
        <v>6821</v>
      </c>
      <c r="D347" s="1" t="s">
        <v>2149</v>
      </c>
      <c r="E347" s="1" t="s">
        <v>6822</v>
      </c>
      <c r="F347" s="1" t="s">
        <v>236</v>
      </c>
      <c r="G347" s="1" t="s">
        <v>6823</v>
      </c>
      <c r="H347" s="1" t="s">
        <v>6824</v>
      </c>
      <c r="I347" s="1" t="s">
        <v>6825</v>
      </c>
      <c r="J347" s="1">
        <v>7620520360</v>
      </c>
      <c r="K347" s="1" t="s">
        <v>79</v>
      </c>
      <c r="L347" s="1" t="s">
        <v>6826</v>
      </c>
      <c r="M347" s="1" t="s">
        <v>81</v>
      </c>
      <c r="N347" s="1" t="s">
        <v>1418</v>
      </c>
      <c r="O347" s="1"/>
      <c r="P347" s="1" t="s">
        <v>1278</v>
      </c>
      <c r="Q347" s="1" t="s">
        <v>6827</v>
      </c>
      <c r="R347" s="1" t="s">
        <v>6828</v>
      </c>
      <c r="S347" s="1">
        <v>9923345160</v>
      </c>
      <c r="T347" s="1" t="s">
        <v>6829</v>
      </c>
      <c r="U347" s="1" t="s">
        <v>6830</v>
      </c>
      <c r="V347" s="1">
        <v>9403031440</v>
      </c>
      <c r="W347" s="1" t="s">
        <v>156</v>
      </c>
      <c r="X347" s="1" t="s">
        <v>6831</v>
      </c>
      <c r="Y347" s="1" t="s">
        <v>6832</v>
      </c>
      <c r="Z347" s="1" t="s">
        <v>92</v>
      </c>
      <c r="AA347" s="1" t="s">
        <v>6831</v>
      </c>
      <c r="AB347" s="1" t="s">
        <v>6832</v>
      </c>
      <c r="AC347" s="1" t="s">
        <v>92</v>
      </c>
      <c r="AD347" s="1">
        <v>8.56</v>
      </c>
      <c r="AE347" s="1" t="s">
        <v>93</v>
      </c>
      <c r="AF347" s="1" t="s">
        <v>6833</v>
      </c>
      <c r="AG347" s="1" t="s">
        <v>160</v>
      </c>
      <c r="AH347" s="1" t="s">
        <v>165</v>
      </c>
      <c r="AI347" s="1" t="s">
        <v>281</v>
      </c>
      <c r="AJ347" s="1">
        <v>90.6</v>
      </c>
      <c r="AK347" s="1"/>
      <c r="AL347" s="1"/>
      <c r="AM347" s="1"/>
      <c r="AN347" s="1"/>
      <c r="AO347" s="1"/>
      <c r="AP347" s="1"/>
      <c r="AQ347" s="1"/>
      <c r="AR347" s="1" t="s">
        <v>98</v>
      </c>
      <c r="AS347" s="1" t="s">
        <v>6834</v>
      </c>
      <c r="AT347" s="1" t="s">
        <v>636</v>
      </c>
      <c r="AU347" s="1" t="s">
        <v>436</v>
      </c>
      <c r="AV347" s="1">
        <v>92.47</v>
      </c>
      <c r="AW347" s="1"/>
      <c r="AX347" s="1" t="s">
        <v>253</v>
      </c>
      <c r="AY347" s="1" t="s">
        <v>6835</v>
      </c>
      <c r="AZ347" s="1" t="s">
        <v>897</v>
      </c>
      <c r="BA347" s="1" t="s">
        <v>1938</v>
      </c>
      <c r="BB347" s="1">
        <v>60.13</v>
      </c>
      <c r="BC347" s="1"/>
      <c r="BD347" s="1"/>
      <c r="BE347" s="1"/>
      <c r="BF347" s="1"/>
      <c r="BG347" s="1"/>
      <c r="BH347" s="1"/>
      <c r="BI347" s="1"/>
      <c r="BJ347" s="1" t="s">
        <v>364</v>
      </c>
      <c r="BK347" s="1" t="s">
        <v>6836</v>
      </c>
      <c r="BL347" s="1" t="s">
        <v>484</v>
      </c>
      <c r="BM347" s="1"/>
      <c r="BN347" s="1"/>
      <c r="BO347" s="1"/>
      <c r="BP347" s="1" t="str">
        <f>HYPERLINK("https://nconnect.nicmar.ac.in/storage/profile/ProfilePhoto_P25700295_417832.jpg","Download")</f>
        <v>0</v>
      </c>
      <c r="BQ347" s="3"/>
      <c r="BR347" s="3"/>
    </row>
    <row r="348" spans="1:70">
      <c r="A348" s="1" t="s">
        <v>70</v>
      </c>
      <c r="B348" s="1" t="s">
        <v>1269</v>
      </c>
      <c r="C348" s="1" t="s">
        <v>6837</v>
      </c>
      <c r="D348" s="1" t="s">
        <v>816</v>
      </c>
      <c r="E348" s="1" t="s">
        <v>6466</v>
      </c>
      <c r="F348" s="1" t="s">
        <v>6838</v>
      </c>
      <c r="G348" s="1" t="s">
        <v>6839</v>
      </c>
      <c r="H348" s="1" t="s">
        <v>6840</v>
      </c>
      <c r="I348" s="1" t="s">
        <v>6841</v>
      </c>
      <c r="J348" s="1">
        <v>8317281697</v>
      </c>
      <c r="K348" s="1" t="s">
        <v>79</v>
      </c>
      <c r="L348" s="1" t="s">
        <v>6842</v>
      </c>
      <c r="M348" s="1" t="s">
        <v>81</v>
      </c>
      <c r="N348" s="1" t="s">
        <v>1929</v>
      </c>
      <c r="O348" s="1"/>
      <c r="P348" s="1" t="s">
        <v>1278</v>
      </c>
      <c r="Q348" s="1" t="s">
        <v>6843</v>
      </c>
      <c r="R348" s="1" t="s">
        <v>6844</v>
      </c>
      <c r="S348" s="1">
        <v>9422459072</v>
      </c>
      <c r="T348" s="1" t="s">
        <v>4566</v>
      </c>
      <c r="U348" s="1" t="s">
        <v>6845</v>
      </c>
      <c r="V348" s="1">
        <v>7057241917</v>
      </c>
      <c r="W348" s="1" t="s">
        <v>273</v>
      </c>
      <c r="X348" s="1" t="s">
        <v>6846</v>
      </c>
      <c r="Y348" s="1" t="s">
        <v>405</v>
      </c>
      <c r="Z348" s="1" t="s">
        <v>92</v>
      </c>
      <c r="AA348" s="1" t="s">
        <v>6846</v>
      </c>
      <c r="AB348" s="1" t="s">
        <v>405</v>
      </c>
      <c r="AC348" s="1" t="s">
        <v>92</v>
      </c>
      <c r="AD348" s="1">
        <v>8.2</v>
      </c>
      <c r="AE348" s="1" t="s">
        <v>93</v>
      </c>
      <c r="AF348" s="1" t="s">
        <v>6847</v>
      </c>
      <c r="AG348" s="1" t="s">
        <v>160</v>
      </c>
      <c r="AH348" s="1" t="s">
        <v>166</v>
      </c>
      <c r="AI348" s="1" t="s">
        <v>433</v>
      </c>
      <c r="AJ348" s="1">
        <v>73.2</v>
      </c>
      <c r="AK348" s="1">
        <v>0</v>
      </c>
      <c r="AL348" s="1"/>
      <c r="AM348" s="1"/>
      <c r="AN348" s="1"/>
      <c r="AO348" s="1"/>
      <c r="AP348" s="1"/>
      <c r="AQ348" s="1"/>
      <c r="AR348" s="1" t="s">
        <v>223</v>
      </c>
      <c r="AS348" s="1" t="s">
        <v>6848</v>
      </c>
      <c r="AT348" s="1" t="s">
        <v>310</v>
      </c>
      <c r="AU348" s="1" t="s">
        <v>481</v>
      </c>
      <c r="AV348" s="1">
        <v>75.95</v>
      </c>
      <c r="AW348" s="1">
        <v>0</v>
      </c>
      <c r="AX348" s="1" t="s">
        <v>361</v>
      </c>
      <c r="AY348" s="1" t="s">
        <v>6849</v>
      </c>
      <c r="AZ348" s="1" t="s">
        <v>2690</v>
      </c>
      <c r="BA348" s="1" t="s">
        <v>1714</v>
      </c>
      <c r="BB348" s="1">
        <v>68.8</v>
      </c>
      <c r="BC348" s="1">
        <v>7.63</v>
      </c>
      <c r="BD348" s="1"/>
      <c r="BE348" s="1"/>
      <c r="BF348" s="1"/>
      <c r="BG348" s="1"/>
      <c r="BH348" s="1"/>
      <c r="BI348" s="1"/>
      <c r="BJ348" s="1" t="s">
        <v>6850</v>
      </c>
      <c r="BK348" s="1"/>
      <c r="BL348" s="1"/>
      <c r="BM348" s="1" t="s">
        <v>6851</v>
      </c>
      <c r="BN348" s="1">
        <v>3</v>
      </c>
      <c r="BO348" s="1"/>
      <c r="BP348" s="1" t="str">
        <f>HYPERLINK("https://nconnect.nicmar.ac.in/storage/profile/ProfilePhoto_P25700296_392684.jpg","Download")</f>
        <v>0</v>
      </c>
      <c r="BQ348" s="3"/>
      <c r="BR348" s="3"/>
    </row>
    <row r="349" spans="1:70">
      <c r="A349" s="1" t="s">
        <v>70</v>
      </c>
      <c r="B349" s="1" t="s">
        <v>1269</v>
      </c>
      <c r="C349" s="1" t="s">
        <v>6852</v>
      </c>
      <c r="D349" s="1" t="s">
        <v>6853</v>
      </c>
      <c r="E349" s="1"/>
      <c r="F349" s="1" t="s">
        <v>6854</v>
      </c>
      <c r="G349" s="1" t="s">
        <v>6855</v>
      </c>
      <c r="H349" s="1" t="s">
        <v>6856</v>
      </c>
      <c r="I349" s="1" t="s">
        <v>6857</v>
      </c>
      <c r="J349" s="1">
        <v>8919304008</v>
      </c>
      <c r="K349" s="1" t="s">
        <v>79</v>
      </c>
      <c r="L349" s="1" t="s">
        <v>6858</v>
      </c>
      <c r="M349" s="1" t="s">
        <v>81</v>
      </c>
      <c r="N349" s="1" t="s">
        <v>6245</v>
      </c>
      <c r="O349" s="1"/>
      <c r="P349" s="1" t="s">
        <v>1323</v>
      </c>
      <c r="Q349" s="1" t="s">
        <v>6859</v>
      </c>
      <c r="R349" s="1" t="s">
        <v>6860</v>
      </c>
      <c r="S349" s="1">
        <v>9866349968</v>
      </c>
      <c r="T349" s="1" t="s">
        <v>6861</v>
      </c>
      <c r="U349" s="1" t="s">
        <v>6862</v>
      </c>
      <c r="V349" s="1">
        <v>9491222511</v>
      </c>
      <c r="W349" s="1" t="s">
        <v>651</v>
      </c>
      <c r="X349" s="1" t="s">
        <v>6863</v>
      </c>
      <c r="Y349" s="1" t="s">
        <v>608</v>
      </c>
      <c r="Z349" s="1" t="s">
        <v>609</v>
      </c>
      <c r="AA349" s="1" t="s">
        <v>6864</v>
      </c>
      <c r="AB349" s="1" t="s">
        <v>608</v>
      </c>
      <c r="AC349" s="1" t="s">
        <v>609</v>
      </c>
      <c r="AD349" s="1">
        <v>8.59</v>
      </c>
      <c r="AE349" s="1" t="s">
        <v>93</v>
      </c>
      <c r="AF349" s="1" t="s">
        <v>6865</v>
      </c>
      <c r="AG349" s="1" t="s">
        <v>6866</v>
      </c>
      <c r="AH349" s="1" t="s">
        <v>101</v>
      </c>
      <c r="AI349" s="1" t="s">
        <v>308</v>
      </c>
      <c r="AJ349" s="1">
        <v>82</v>
      </c>
      <c r="AK349" s="1">
        <v>8.2</v>
      </c>
      <c r="AL349" s="1" t="s">
        <v>6867</v>
      </c>
      <c r="AM349" s="1" t="s">
        <v>6866</v>
      </c>
      <c r="AN349" s="1" t="s">
        <v>699</v>
      </c>
      <c r="AO349" s="1" t="s">
        <v>1131</v>
      </c>
      <c r="AP349" s="1">
        <v>81.4</v>
      </c>
      <c r="AQ349" s="1">
        <v>8.14</v>
      </c>
      <c r="AR349" s="1"/>
      <c r="AS349" s="1"/>
      <c r="AT349" s="1"/>
      <c r="AU349" s="1"/>
      <c r="AV349" s="1"/>
      <c r="AW349" s="1"/>
      <c r="AX349" s="1" t="s">
        <v>6868</v>
      </c>
      <c r="AY349" s="1" t="s">
        <v>6869</v>
      </c>
      <c r="AZ349" s="1" t="s">
        <v>1131</v>
      </c>
      <c r="BA349" s="1" t="s">
        <v>1361</v>
      </c>
      <c r="BB349" s="1">
        <v>71.2</v>
      </c>
      <c r="BC349" s="1">
        <v>7.12</v>
      </c>
      <c r="BD349" s="1"/>
      <c r="BE349" s="1"/>
      <c r="BF349" s="1"/>
      <c r="BG349" s="1"/>
      <c r="BH349" s="1"/>
      <c r="BI349" s="1"/>
      <c r="BJ349" s="1" t="s">
        <v>6870</v>
      </c>
      <c r="BK349" s="1"/>
      <c r="BL349" s="1"/>
      <c r="BM349" s="1" t="s">
        <v>6871</v>
      </c>
      <c r="BN349" s="1">
        <v>11</v>
      </c>
      <c r="BO349" s="1" t="s">
        <v>6872</v>
      </c>
      <c r="BP349" s="1" t="str">
        <f>HYPERLINK("https://nconnect.nicmar.ac.in/storage/profile/ProfilePhoto_P25700297_213596.jpg","Download")</f>
        <v>0</v>
      </c>
      <c r="BQ349" s="3"/>
      <c r="BR349" s="3"/>
    </row>
    <row r="350" spans="1:70">
      <c r="A350" s="1" t="s">
        <v>70</v>
      </c>
      <c r="B350" s="1" t="s">
        <v>1269</v>
      </c>
      <c r="C350" s="1" t="s">
        <v>6873</v>
      </c>
      <c r="D350" s="1" t="s">
        <v>5972</v>
      </c>
      <c r="E350" s="1" t="s">
        <v>6874</v>
      </c>
      <c r="F350" s="1" t="s">
        <v>4445</v>
      </c>
      <c r="G350" s="1" t="s">
        <v>6875</v>
      </c>
      <c r="H350" s="1" t="s">
        <v>6876</v>
      </c>
      <c r="I350" s="1" t="s">
        <v>6877</v>
      </c>
      <c r="J350" s="1">
        <v>8956224681</v>
      </c>
      <c r="K350" s="1" t="s">
        <v>148</v>
      </c>
      <c r="L350" s="1" t="s">
        <v>6878</v>
      </c>
      <c r="M350" s="1" t="s">
        <v>81</v>
      </c>
      <c r="N350" s="1" t="s">
        <v>6879</v>
      </c>
      <c r="O350" s="1"/>
      <c r="P350" s="1" t="s">
        <v>1323</v>
      </c>
      <c r="Q350" s="1" t="s">
        <v>6880</v>
      </c>
      <c r="R350" s="1" t="s">
        <v>6874</v>
      </c>
      <c r="S350" s="1">
        <v>7387747887</v>
      </c>
      <c r="T350" s="1" t="s">
        <v>496</v>
      </c>
      <c r="U350" s="1" t="s">
        <v>6881</v>
      </c>
      <c r="V350" s="1">
        <v>9890140647</v>
      </c>
      <c r="W350" s="1" t="s">
        <v>156</v>
      </c>
      <c r="X350" s="1" t="s">
        <v>6882</v>
      </c>
      <c r="Y350" s="1" t="s">
        <v>91</v>
      </c>
      <c r="Z350" s="1" t="s">
        <v>92</v>
      </c>
      <c r="AA350" s="1" t="s">
        <v>6882</v>
      </c>
      <c r="AB350" s="1" t="s">
        <v>91</v>
      </c>
      <c r="AC350" s="1" t="s">
        <v>92</v>
      </c>
      <c r="AD350" s="1">
        <v>7.91</v>
      </c>
      <c r="AE350" s="1" t="s">
        <v>93</v>
      </c>
      <c r="AF350" s="1" t="s">
        <v>6883</v>
      </c>
      <c r="AG350" s="1" t="s">
        <v>194</v>
      </c>
      <c r="AH350" s="1" t="s">
        <v>678</v>
      </c>
      <c r="AI350" s="1" t="s">
        <v>281</v>
      </c>
      <c r="AJ350" s="1">
        <v>90.2</v>
      </c>
      <c r="AK350" s="1">
        <v>0</v>
      </c>
      <c r="AL350" s="1" t="s">
        <v>6884</v>
      </c>
      <c r="AM350" s="1" t="s">
        <v>197</v>
      </c>
      <c r="AN350" s="1" t="s">
        <v>359</v>
      </c>
      <c r="AO350" s="1" t="s">
        <v>360</v>
      </c>
      <c r="AP350" s="1">
        <v>66.92</v>
      </c>
      <c r="AQ350" s="1">
        <v>0</v>
      </c>
      <c r="AR350" s="1"/>
      <c r="AS350" s="1"/>
      <c r="AT350" s="1"/>
      <c r="AU350" s="1"/>
      <c r="AV350" s="1"/>
      <c r="AW350" s="1"/>
      <c r="AX350" s="1" t="s">
        <v>5032</v>
      </c>
      <c r="AY350" s="1" t="s">
        <v>6885</v>
      </c>
      <c r="AZ350" s="1" t="s">
        <v>1833</v>
      </c>
      <c r="BA350" s="1" t="s">
        <v>413</v>
      </c>
      <c r="BB350" s="1">
        <v>71.53</v>
      </c>
      <c r="BC350" s="1">
        <v>7.15</v>
      </c>
      <c r="BD350" s="1"/>
      <c r="BE350" s="1"/>
      <c r="BF350" s="1"/>
      <c r="BG350" s="1"/>
      <c r="BH350" s="1"/>
      <c r="BI350" s="1"/>
      <c r="BJ350" s="1" t="s">
        <v>6886</v>
      </c>
      <c r="BK350" s="1" t="s">
        <v>6887</v>
      </c>
      <c r="BL350" s="1" t="s">
        <v>2888</v>
      </c>
      <c r="BM350" s="1" t="s">
        <v>6888</v>
      </c>
      <c r="BN350" s="1">
        <v>21</v>
      </c>
      <c r="BO350" s="1" t="s">
        <v>6889</v>
      </c>
      <c r="BP350" s="1" t="str">
        <f>HYPERLINK("https://nconnect.nicmar.ac.in/storage/profile/ProfilePhoto_P25700298_589421.jpg","Download")</f>
        <v>0</v>
      </c>
      <c r="BQ350" s="3"/>
      <c r="BR350" s="3"/>
    </row>
    <row r="351" spans="1:70">
      <c r="A351" s="1" t="s">
        <v>70</v>
      </c>
      <c r="B351" s="1" t="s">
        <v>1269</v>
      </c>
      <c r="C351" s="1" t="s">
        <v>6890</v>
      </c>
      <c r="D351" s="1" t="s">
        <v>443</v>
      </c>
      <c r="E351" s="1"/>
      <c r="F351" s="1" t="s">
        <v>5629</v>
      </c>
      <c r="G351" s="1" t="s">
        <v>6891</v>
      </c>
      <c r="H351" s="1" t="s">
        <v>6892</v>
      </c>
      <c r="I351" s="1" t="s">
        <v>6893</v>
      </c>
      <c r="J351" s="1">
        <v>9881045980</v>
      </c>
      <c r="K351" s="1" t="s">
        <v>79</v>
      </c>
      <c r="L351" s="1" t="s">
        <v>4350</v>
      </c>
      <c r="M351" s="1" t="s">
        <v>81</v>
      </c>
      <c r="N351" s="1" t="s">
        <v>6894</v>
      </c>
      <c r="O351" s="1"/>
      <c r="P351" s="1" t="s">
        <v>1323</v>
      </c>
      <c r="Q351" s="1" t="s">
        <v>6895</v>
      </c>
      <c r="R351" s="1" t="s">
        <v>6384</v>
      </c>
      <c r="S351" s="1">
        <v>9422531010</v>
      </c>
      <c r="T351" s="1" t="s">
        <v>842</v>
      </c>
      <c r="U351" s="1" t="s">
        <v>6896</v>
      </c>
      <c r="V351" s="1">
        <v>7522952032</v>
      </c>
      <c r="W351" s="1" t="s">
        <v>89</v>
      </c>
      <c r="X351" s="1" t="s">
        <v>6897</v>
      </c>
      <c r="Y351" s="1" t="s">
        <v>191</v>
      </c>
      <c r="Z351" s="1" t="s">
        <v>92</v>
      </c>
      <c r="AA351" s="1" t="s">
        <v>6898</v>
      </c>
      <c r="AB351" s="1" t="s">
        <v>91</v>
      </c>
      <c r="AC351" s="1" t="s">
        <v>92</v>
      </c>
      <c r="AD351" s="1">
        <v>7.9</v>
      </c>
      <c r="AE351" s="1" t="s">
        <v>93</v>
      </c>
      <c r="AF351" s="1" t="s">
        <v>6899</v>
      </c>
      <c r="AG351" s="1" t="s">
        <v>6900</v>
      </c>
      <c r="AH351" s="1" t="s">
        <v>101</v>
      </c>
      <c r="AI351" s="1" t="s">
        <v>308</v>
      </c>
      <c r="AJ351" s="1">
        <v>88.4</v>
      </c>
      <c r="AK351" s="1">
        <v>0</v>
      </c>
      <c r="AL351" s="1" t="s">
        <v>6901</v>
      </c>
      <c r="AM351" s="1" t="s">
        <v>160</v>
      </c>
      <c r="AN351" s="1" t="s">
        <v>699</v>
      </c>
      <c r="AO351" s="1" t="s">
        <v>1712</v>
      </c>
      <c r="AP351" s="1">
        <v>91.17</v>
      </c>
      <c r="AQ351" s="1">
        <v>0</v>
      </c>
      <c r="AR351" s="1"/>
      <c r="AS351" s="1"/>
      <c r="AT351" s="1"/>
      <c r="AU351" s="1"/>
      <c r="AV351" s="1"/>
      <c r="AW351" s="1"/>
      <c r="AX351" s="1" t="s">
        <v>6902</v>
      </c>
      <c r="AY351" s="1" t="s">
        <v>6903</v>
      </c>
      <c r="AZ351" s="1" t="s">
        <v>897</v>
      </c>
      <c r="BA351" s="1" t="s">
        <v>1714</v>
      </c>
      <c r="BB351" s="1">
        <v>66.19</v>
      </c>
      <c r="BC351" s="1">
        <v>6.61</v>
      </c>
      <c r="BD351" s="1"/>
      <c r="BE351" s="1"/>
      <c r="BF351" s="1"/>
      <c r="BG351" s="1"/>
      <c r="BH351" s="1"/>
      <c r="BI351" s="1"/>
      <c r="BJ351" s="1" t="s">
        <v>364</v>
      </c>
      <c r="BK351" s="1"/>
      <c r="BL351" s="1"/>
      <c r="BM351" s="1"/>
      <c r="BN351" s="1"/>
      <c r="BO351" s="1"/>
      <c r="BP351" s="1" t="str">
        <f>HYPERLINK("https://nconnect.nicmar.ac.in/storage/profile/ProfilePhoto_P25700299_148926.jpg","Download")</f>
        <v>0</v>
      </c>
      <c r="BQ351" s="3"/>
      <c r="BR351" s="3"/>
    </row>
    <row r="352" spans="1:70">
      <c r="A352" s="1" t="s">
        <v>70</v>
      </c>
      <c r="B352" s="1" t="s">
        <v>1269</v>
      </c>
      <c r="C352" s="1" t="s">
        <v>6904</v>
      </c>
      <c r="D352" s="1" t="s">
        <v>6905</v>
      </c>
      <c r="E352" s="1" t="s">
        <v>6906</v>
      </c>
      <c r="F352" s="1" t="s">
        <v>6907</v>
      </c>
      <c r="G352" s="1" t="s">
        <v>6908</v>
      </c>
      <c r="H352" s="1" t="s">
        <v>6909</v>
      </c>
      <c r="I352" s="1" t="s">
        <v>6910</v>
      </c>
      <c r="J352" s="1">
        <v>7249391222</v>
      </c>
      <c r="K352" s="1" t="s">
        <v>79</v>
      </c>
      <c r="L352" s="1" t="s">
        <v>6911</v>
      </c>
      <c r="M352" s="1" t="s">
        <v>81</v>
      </c>
      <c r="N352" s="1" t="s">
        <v>1418</v>
      </c>
      <c r="O352" s="1"/>
      <c r="P352" s="1" t="s">
        <v>1278</v>
      </c>
      <c r="Q352" s="1" t="s">
        <v>6912</v>
      </c>
      <c r="R352" s="1" t="s">
        <v>6906</v>
      </c>
      <c r="S352" s="1">
        <v>9028294000</v>
      </c>
      <c r="T352" s="1" t="s">
        <v>496</v>
      </c>
      <c r="U352" s="1" t="s">
        <v>6913</v>
      </c>
      <c r="V352" s="1">
        <v>9421836969</v>
      </c>
      <c r="W352" s="1" t="s">
        <v>156</v>
      </c>
      <c r="X352" s="1" t="s">
        <v>6914</v>
      </c>
      <c r="Y352" s="1" t="s">
        <v>328</v>
      </c>
      <c r="Z352" s="1" t="s">
        <v>92</v>
      </c>
      <c r="AA352" s="1" t="s">
        <v>6914</v>
      </c>
      <c r="AB352" s="1" t="s">
        <v>328</v>
      </c>
      <c r="AC352" s="1" t="s">
        <v>92</v>
      </c>
      <c r="AD352" s="1">
        <v>7.58</v>
      </c>
      <c r="AE352" s="1" t="s">
        <v>93</v>
      </c>
      <c r="AF352" s="1" t="s">
        <v>6915</v>
      </c>
      <c r="AG352" s="1" t="s">
        <v>160</v>
      </c>
      <c r="AH352" s="1" t="s">
        <v>998</v>
      </c>
      <c r="AI352" s="1" t="s">
        <v>433</v>
      </c>
      <c r="AJ352" s="1">
        <v>78.2</v>
      </c>
      <c r="AK352" s="1"/>
      <c r="AL352" s="1" t="s">
        <v>6916</v>
      </c>
      <c r="AM352" s="1" t="s">
        <v>160</v>
      </c>
      <c r="AN352" s="1" t="s">
        <v>310</v>
      </c>
      <c r="AO352" s="1" t="s">
        <v>436</v>
      </c>
      <c r="AP352" s="1">
        <v>94.5</v>
      </c>
      <c r="AQ352" s="1"/>
      <c r="AR352" s="1"/>
      <c r="AS352" s="1"/>
      <c r="AT352" s="1"/>
      <c r="AU352" s="1"/>
      <c r="AV352" s="1"/>
      <c r="AW352" s="1"/>
      <c r="AX352" s="1" t="s">
        <v>6917</v>
      </c>
      <c r="AY352" s="1" t="s">
        <v>6918</v>
      </c>
      <c r="AZ352" s="1" t="s">
        <v>897</v>
      </c>
      <c r="BA352" s="1" t="s">
        <v>1584</v>
      </c>
      <c r="BB352" s="1">
        <v>70.29</v>
      </c>
      <c r="BC352" s="1">
        <v>8.07</v>
      </c>
      <c r="BD352" s="1"/>
      <c r="BE352" s="1"/>
      <c r="BF352" s="1"/>
      <c r="BG352" s="1"/>
      <c r="BH352" s="1"/>
      <c r="BI352" s="1"/>
      <c r="BJ352" s="1" t="s">
        <v>6919</v>
      </c>
      <c r="BK352" s="1"/>
      <c r="BL352" s="1"/>
      <c r="BM352" s="1" t="s">
        <v>6920</v>
      </c>
      <c r="BN352" s="1">
        <v>11</v>
      </c>
      <c r="BO352" s="1" t="s">
        <v>6921</v>
      </c>
      <c r="BP352" s="1" t="str">
        <f>HYPERLINK("https://nconnect.nicmar.ac.in/storage/profile/ProfilePhoto_P25700300_153649.jpg","Download")</f>
        <v>0</v>
      </c>
      <c r="BQ352" s="3"/>
      <c r="BR352" s="3"/>
    </row>
    <row r="353" spans="1:70">
      <c r="A353" s="1" t="s">
        <v>70</v>
      </c>
      <c r="B353" s="1" t="s">
        <v>1269</v>
      </c>
      <c r="C353" s="1" t="s">
        <v>6922</v>
      </c>
      <c r="D353" s="1" t="s">
        <v>6923</v>
      </c>
      <c r="E353" s="1"/>
      <c r="F353" s="1" t="s">
        <v>835</v>
      </c>
      <c r="G353" s="1" t="s">
        <v>6924</v>
      </c>
      <c r="H353" s="1" t="s">
        <v>6925</v>
      </c>
      <c r="I353" s="1" t="s">
        <v>6926</v>
      </c>
      <c r="J353" s="1">
        <v>7078578902</v>
      </c>
      <c r="K353" s="1" t="s">
        <v>79</v>
      </c>
      <c r="L353" s="1" t="s">
        <v>6927</v>
      </c>
      <c r="M353" s="1" t="s">
        <v>81</v>
      </c>
      <c r="N353" s="1" t="s">
        <v>241</v>
      </c>
      <c r="O353" s="1"/>
      <c r="P353" s="1" t="s">
        <v>1278</v>
      </c>
      <c r="Q353" s="1" t="s">
        <v>6928</v>
      </c>
      <c r="R353" s="1" t="s">
        <v>6929</v>
      </c>
      <c r="S353" s="1">
        <v>7500947699</v>
      </c>
      <c r="T353" s="1" t="s">
        <v>4672</v>
      </c>
      <c r="U353" s="1" t="s">
        <v>6930</v>
      </c>
      <c r="V353" s="1">
        <v>7906433225</v>
      </c>
      <c r="W353" s="1" t="s">
        <v>156</v>
      </c>
      <c r="X353" s="1" t="s">
        <v>6931</v>
      </c>
      <c r="Y353" s="1" t="s">
        <v>6932</v>
      </c>
      <c r="Z353" s="1" t="s">
        <v>1355</v>
      </c>
      <c r="AA353" s="1" t="s">
        <v>6931</v>
      </c>
      <c r="AB353" s="1" t="s">
        <v>6932</v>
      </c>
      <c r="AC353" s="1" t="s">
        <v>1355</v>
      </c>
      <c r="AD353" s="1">
        <v>9.18</v>
      </c>
      <c r="AE353" s="1" t="s">
        <v>93</v>
      </c>
      <c r="AF353" s="1" t="s">
        <v>6933</v>
      </c>
      <c r="AG353" s="1" t="s">
        <v>6934</v>
      </c>
      <c r="AH353" s="1" t="s">
        <v>281</v>
      </c>
      <c r="AI353" s="1" t="s">
        <v>308</v>
      </c>
      <c r="AJ353" s="1">
        <v>86.4</v>
      </c>
      <c r="AK353" s="1"/>
      <c r="AL353" s="1" t="s">
        <v>6935</v>
      </c>
      <c r="AM353" s="1" t="s">
        <v>6934</v>
      </c>
      <c r="AN353" s="1" t="s">
        <v>1833</v>
      </c>
      <c r="AO353" s="1" t="s">
        <v>506</v>
      </c>
      <c r="AP353" s="1">
        <v>84.16</v>
      </c>
      <c r="AQ353" s="1"/>
      <c r="AR353" s="1"/>
      <c r="AS353" s="1"/>
      <c r="AT353" s="1"/>
      <c r="AU353" s="1"/>
      <c r="AV353" s="1"/>
      <c r="AW353" s="1"/>
      <c r="AX353" s="1" t="s">
        <v>1834</v>
      </c>
      <c r="AY353" s="1" t="s">
        <v>6936</v>
      </c>
      <c r="AZ353" s="1" t="s">
        <v>436</v>
      </c>
      <c r="BA353" s="1" t="s">
        <v>1361</v>
      </c>
      <c r="BB353" s="1">
        <v>86.9</v>
      </c>
      <c r="BC353" s="1">
        <v>8.69</v>
      </c>
      <c r="BD353" s="1"/>
      <c r="BE353" s="1"/>
      <c r="BF353" s="1"/>
      <c r="BG353" s="1"/>
      <c r="BH353" s="1"/>
      <c r="BI353" s="1"/>
      <c r="BJ353" s="1" t="s">
        <v>6937</v>
      </c>
      <c r="BK353" s="1"/>
      <c r="BL353" s="1"/>
      <c r="BM353" s="1" t="s">
        <v>6938</v>
      </c>
      <c r="BN353" s="1">
        <v>13</v>
      </c>
      <c r="BO353" s="1" t="s">
        <v>6939</v>
      </c>
      <c r="BP353" s="1" t="str">
        <f>HYPERLINK("https://nconnect.nicmar.ac.in/storage/profile/ProfilePhoto_P25700301_346981.jpg","Download")</f>
        <v>0</v>
      </c>
      <c r="BQ353" s="3"/>
      <c r="BR353" s="3"/>
    </row>
    <row r="354" spans="1:70">
      <c r="A354" s="1" t="s">
        <v>70</v>
      </c>
      <c r="B354" s="1" t="s">
        <v>1269</v>
      </c>
      <c r="C354" s="1" t="s">
        <v>6940</v>
      </c>
      <c r="D354" s="1" t="s">
        <v>6941</v>
      </c>
      <c r="E354" s="1" t="s">
        <v>6942</v>
      </c>
      <c r="F354" s="1" t="s">
        <v>2595</v>
      </c>
      <c r="G354" s="1" t="s">
        <v>6943</v>
      </c>
      <c r="H354" s="1" t="s">
        <v>6944</v>
      </c>
      <c r="I354" s="1" t="s">
        <v>6945</v>
      </c>
      <c r="J354" s="1">
        <v>7972098689</v>
      </c>
      <c r="K354" s="1" t="s">
        <v>79</v>
      </c>
      <c r="L354" s="1" t="s">
        <v>6946</v>
      </c>
      <c r="M354" s="1" t="s">
        <v>81</v>
      </c>
      <c r="N354" s="1" t="s">
        <v>6947</v>
      </c>
      <c r="O354" s="1"/>
      <c r="P354" s="1" t="s">
        <v>1323</v>
      </c>
      <c r="Q354" s="1" t="s">
        <v>6948</v>
      </c>
      <c r="R354" s="1" t="s">
        <v>2595</v>
      </c>
      <c r="S354" s="1">
        <v>7972098689</v>
      </c>
      <c r="T354" s="1" t="s">
        <v>154</v>
      </c>
      <c r="U354" s="1" t="s">
        <v>4352</v>
      </c>
      <c r="V354" s="1">
        <v>7972098689</v>
      </c>
      <c r="W354" s="1" t="s">
        <v>156</v>
      </c>
      <c r="X354" s="1" t="s">
        <v>6949</v>
      </c>
      <c r="Y354" s="1" t="s">
        <v>191</v>
      </c>
      <c r="Z354" s="1" t="s">
        <v>92</v>
      </c>
      <c r="AA354" s="1" t="s">
        <v>6950</v>
      </c>
      <c r="AB354" s="1" t="s">
        <v>1018</v>
      </c>
      <c r="AC354" s="1" t="s">
        <v>92</v>
      </c>
      <c r="AD354" s="1">
        <v>8.43</v>
      </c>
      <c r="AE354" s="1" t="s">
        <v>93</v>
      </c>
      <c r="AF354" s="1" t="s">
        <v>6951</v>
      </c>
      <c r="AG354" s="1" t="s">
        <v>6952</v>
      </c>
      <c r="AH354" s="1" t="s">
        <v>657</v>
      </c>
      <c r="AI354" s="1" t="s">
        <v>128</v>
      </c>
      <c r="AJ354" s="1">
        <v>81.27</v>
      </c>
      <c r="AK354" s="1"/>
      <c r="AL354" s="1" t="s">
        <v>6953</v>
      </c>
      <c r="AM354" s="1" t="s">
        <v>6954</v>
      </c>
      <c r="AN354" s="1" t="s">
        <v>2401</v>
      </c>
      <c r="AO354" s="1" t="s">
        <v>96</v>
      </c>
      <c r="AP354" s="1">
        <v>66.31</v>
      </c>
      <c r="AQ354" s="1"/>
      <c r="AR354" s="1"/>
      <c r="AS354" s="1"/>
      <c r="AT354" s="1"/>
      <c r="AU354" s="1"/>
      <c r="AV354" s="1"/>
      <c r="AW354" s="1"/>
      <c r="AX354" s="1" t="s">
        <v>361</v>
      </c>
      <c r="AY354" s="1" t="s">
        <v>6955</v>
      </c>
      <c r="AZ354" s="1" t="s">
        <v>130</v>
      </c>
      <c r="BA354" s="1" t="s">
        <v>169</v>
      </c>
      <c r="BB354" s="1">
        <v>65.54</v>
      </c>
      <c r="BC354" s="1"/>
      <c r="BD354" s="1"/>
      <c r="BE354" s="1"/>
      <c r="BF354" s="1"/>
      <c r="BG354" s="1"/>
      <c r="BH354" s="1"/>
      <c r="BI354" s="1"/>
      <c r="BJ354" s="1" t="s">
        <v>364</v>
      </c>
      <c r="BK354" s="1" t="s">
        <v>6956</v>
      </c>
      <c r="BL354" s="1" t="s">
        <v>6957</v>
      </c>
      <c r="BM354" s="1" t="s">
        <v>6958</v>
      </c>
      <c r="BN354" s="1">
        <v>9</v>
      </c>
      <c r="BO354" s="1" t="s">
        <v>6959</v>
      </c>
      <c r="BP354" s="1" t="str">
        <f>HYPERLINK("https://nconnect.nicmar.ac.in/storage/profile/ProfilePhoto_P25700302_214356.jpg","Download")</f>
        <v>0</v>
      </c>
      <c r="BQ354" s="3"/>
      <c r="BR354" s="3"/>
    </row>
    <row r="355" spans="1:70">
      <c r="A355" s="1" t="s">
        <v>70</v>
      </c>
      <c r="B355" s="1" t="s">
        <v>1269</v>
      </c>
      <c r="C355" s="1" t="s">
        <v>6960</v>
      </c>
      <c r="D355" s="1" t="s">
        <v>3447</v>
      </c>
      <c r="E355" s="1" t="s">
        <v>6157</v>
      </c>
      <c r="F355" s="1" t="s">
        <v>4429</v>
      </c>
      <c r="G355" s="1" t="s">
        <v>6961</v>
      </c>
      <c r="H355" s="1" t="s">
        <v>6962</v>
      </c>
      <c r="I355" s="1" t="s">
        <v>6963</v>
      </c>
      <c r="J355" s="1">
        <v>9704344140</v>
      </c>
      <c r="K355" s="1" t="s">
        <v>79</v>
      </c>
      <c r="L355" s="1" t="s">
        <v>1845</v>
      </c>
      <c r="M355" s="1" t="s">
        <v>81</v>
      </c>
      <c r="N355" s="1" t="s">
        <v>6964</v>
      </c>
      <c r="O355" s="1"/>
      <c r="P355" s="1" t="s">
        <v>1298</v>
      </c>
      <c r="Q355" s="1" t="s">
        <v>6965</v>
      </c>
      <c r="R355" s="1" t="s">
        <v>6966</v>
      </c>
      <c r="S355" s="1">
        <v>8919045993</v>
      </c>
      <c r="T355" s="1" t="s">
        <v>496</v>
      </c>
      <c r="U355" s="1" t="s">
        <v>6967</v>
      </c>
      <c r="V355" s="1">
        <v>9618089886</v>
      </c>
      <c r="W355" s="1" t="s">
        <v>651</v>
      </c>
      <c r="X355" s="1" t="s">
        <v>6968</v>
      </c>
      <c r="Y355" s="1" t="s">
        <v>4621</v>
      </c>
      <c r="Z355" s="1" t="s">
        <v>276</v>
      </c>
      <c r="AA355" s="1" t="s">
        <v>6968</v>
      </c>
      <c r="AB355" s="1" t="s">
        <v>4621</v>
      </c>
      <c r="AC355" s="1" t="s">
        <v>276</v>
      </c>
      <c r="AD355" s="1">
        <v>8.26</v>
      </c>
      <c r="AE355" s="1" t="s">
        <v>93</v>
      </c>
      <c r="AF355" s="1" t="s">
        <v>6969</v>
      </c>
      <c r="AG355" s="1" t="s">
        <v>6970</v>
      </c>
      <c r="AH355" s="1" t="s">
        <v>195</v>
      </c>
      <c r="AI355" s="1" t="s">
        <v>166</v>
      </c>
      <c r="AJ355" s="1">
        <v>86</v>
      </c>
      <c r="AK355" s="1"/>
      <c r="AL355" s="1" t="s">
        <v>6971</v>
      </c>
      <c r="AM355" s="1" t="s">
        <v>6972</v>
      </c>
      <c r="AN355" s="1" t="s">
        <v>101</v>
      </c>
      <c r="AO355" s="1" t="s">
        <v>699</v>
      </c>
      <c r="AP355" s="1">
        <v>84.3</v>
      </c>
      <c r="AQ355" s="1">
        <v>8.86</v>
      </c>
      <c r="AR355" s="1"/>
      <c r="AS355" s="1"/>
      <c r="AT355" s="1"/>
      <c r="AU355" s="1"/>
      <c r="AV355" s="1"/>
      <c r="AW355" s="1"/>
      <c r="AX355" s="1" t="s">
        <v>282</v>
      </c>
      <c r="AY355" s="1" t="s">
        <v>6973</v>
      </c>
      <c r="AZ355" s="1" t="s">
        <v>681</v>
      </c>
      <c r="BA355" s="1" t="s">
        <v>1938</v>
      </c>
      <c r="BB355" s="1">
        <v>72.82</v>
      </c>
      <c r="BC355" s="1">
        <v>7.76</v>
      </c>
      <c r="BD355" s="1"/>
      <c r="BE355" s="1"/>
      <c r="BF355" s="1"/>
      <c r="BG355" s="1"/>
      <c r="BH355" s="1"/>
      <c r="BI355" s="1"/>
      <c r="BJ355" s="1" t="s">
        <v>2729</v>
      </c>
      <c r="BK355" s="1"/>
      <c r="BL355" s="1"/>
      <c r="BM355" s="1" t="s">
        <v>6974</v>
      </c>
      <c r="BN355" s="1">
        <v>30</v>
      </c>
      <c r="BO355" s="1"/>
      <c r="BP355" s="1" t="str">
        <f>HYPERLINK("https://nconnect.nicmar.ac.in/storage/profile/ProfilePhoto_P25700303_641892.jpg","Download")</f>
        <v>0</v>
      </c>
      <c r="BQ355" s="3"/>
      <c r="BR355" s="3"/>
    </row>
    <row r="356" spans="1:70">
      <c r="A356" s="1" t="s">
        <v>70</v>
      </c>
      <c r="B356" s="1" t="s">
        <v>1269</v>
      </c>
      <c r="C356" s="1" t="s">
        <v>6975</v>
      </c>
      <c r="D356" s="1" t="s">
        <v>6976</v>
      </c>
      <c r="E356" s="1" t="s">
        <v>6977</v>
      </c>
      <c r="F356" s="1" t="s">
        <v>6978</v>
      </c>
      <c r="G356" s="1" t="s">
        <v>6979</v>
      </c>
      <c r="H356" s="1" t="s">
        <v>6980</v>
      </c>
      <c r="I356" s="1" t="s">
        <v>6981</v>
      </c>
      <c r="J356" s="1">
        <v>9494842354</v>
      </c>
      <c r="K356" s="1" t="s">
        <v>79</v>
      </c>
      <c r="L356" s="1" t="s">
        <v>6982</v>
      </c>
      <c r="M356" s="1" t="s">
        <v>81</v>
      </c>
      <c r="N356" s="1" t="s">
        <v>5583</v>
      </c>
      <c r="O356" s="1"/>
      <c r="P356" s="1" t="s">
        <v>1278</v>
      </c>
      <c r="Q356" s="1" t="s">
        <v>6983</v>
      </c>
      <c r="R356" s="1" t="s">
        <v>6984</v>
      </c>
      <c r="S356" s="1">
        <v>9948281111</v>
      </c>
      <c r="T356" s="1" t="s">
        <v>154</v>
      </c>
      <c r="U356" s="1" t="s">
        <v>6985</v>
      </c>
      <c r="V356" s="1">
        <v>9000911266</v>
      </c>
      <c r="W356" s="1" t="s">
        <v>273</v>
      </c>
      <c r="X356" s="1" t="s">
        <v>6986</v>
      </c>
      <c r="Y356" s="1" t="s">
        <v>4306</v>
      </c>
      <c r="Z356" s="1" t="s">
        <v>276</v>
      </c>
      <c r="AA356" s="1" t="s">
        <v>6986</v>
      </c>
      <c r="AB356" s="1" t="s">
        <v>4306</v>
      </c>
      <c r="AC356" s="1" t="s">
        <v>276</v>
      </c>
      <c r="AD356" s="1">
        <v>9.07</v>
      </c>
      <c r="AE356" s="1" t="s">
        <v>93</v>
      </c>
      <c r="AF356" s="1" t="s">
        <v>6987</v>
      </c>
      <c r="AG356" s="1" t="s">
        <v>6988</v>
      </c>
      <c r="AH356" s="1" t="s">
        <v>165</v>
      </c>
      <c r="AI356" s="1" t="s">
        <v>281</v>
      </c>
      <c r="AJ356" s="1">
        <v>95</v>
      </c>
      <c r="AK356" s="1">
        <v>9.5</v>
      </c>
      <c r="AL356" s="1" t="s">
        <v>6989</v>
      </c>
      <c r="AM356" s="1" t="s">
        <v>2245</v>
      </c>
      <c r="AN356" s="1" t="s">
        <v>101</v>
      </c>
      <c r="AO356" s="1" t="s">
        <v>941</v>
      </c>
      <c r="AP356" s="1">
        <v>89.9</v>
      </c>
      <c r="AQ356" s="1">
        <v>9.29</v>
      </c>
      <c r="AR356" s="1"/>
      <c r="AS356" s="1"/>
      <c r="AT356" s="1"/>
      <c r="AU356" s="1"/>
      <c r="AV356" s="1"/>
      <c r="AW356" s="1"/>
      <c r="AX356" s="1" t="s">
        <v>3460</v>
      </c>
      <c r="AY356" s="1" t="s">
        <v>6990</v>
      </c>
      <c r="AZ356" s="1" t="s">
        <v>699</v>
      </c>
      <c r="BA356" s="1" t="s">
        <v>702</v>
      </c>
      <c r="BB356" s="1">
        <v>75.3</v>
      </c>
      <c r="BC356" s="1">
        <v>8.28</v>
      </c>
      <c r="BD356" s="1"/>
      <c r="BE356" s="1"/>
      <c r="BF356" s="1"/>
      <c r="BG356" s="1"/>
      <c r="BH356" s="1"/>
      <c r="BI356" s="1"/>
      <c r="BJ356" s="1" t="s">
        <v>364</v>
      </c>
      <c r="BK356" s="1"/>
      <c r="BL356" s="1"/>
      <c r="BM356" s="1" t="s">
        <v>6991</v>
      </c>
      <c r="BN356" s="1">
        <v>17</v>
      </c>
      <c r="BO356" s="1"/>
      <c r="BP356" s="1" t="str">
        <f>HYPERLINK("https://nconnect.nicmar.ac.in/storage/profile/ProfilePhoto_P25700304_328576.jpg","Download")</f>
        <v>0</v>
      </c>
      <c r="BQ356" s="3"/>
      <c r="BR356" s="3"/>
    </row>
    <row r="357" spans="1:70">
      <c r="A357" s="1" t="s">
        <v>70</v>
      </c>
      <c r="B357" s="1" t="s">
        <v>1269</v>
      </c>
      <c r="C357" s="1" t="s">
        <v>6992</v>
      </c>
      <c r="D357" s="1" t="s">
        <v>533</v>
      </c>
      <c r="E357" s="1" t="s">
        <v>6993</v>
      </c>
      <c r="F357" s="1" t="s">
        <v>6994</v>
      </c>
      <c r="G357" s="1" t="s">
        <v>6995</v>
      </c>
      <c r="H357" s="1" t="s">
        <v>6996</v>
      </c>
      <c r="I357" s="1" t="s">
        <v>6997</v>
      </c>
      <c r="J357" s="1">
        <v>9325587022</v>
      </c>
      <c r="K357" s="1" t="s">
        <v>79</v>
      </c>
      <c r="L357" s="1" t="s">
        <v>4749</v>
      </c>
      <c r="M357" s="1" t="s">
        <v>81</v>
      </c>
      <c r="N357" s="1" t="s">
        <v>1765</v>
      </c>
      <c r="O357" s="1"/>
      <c r="P357" s="1" t="s">
        <v>1278</v>
      </c>
      <c r="Q357" s="1" t="s">
        <v>6998</v>
      </c>
      <c r="R357" s="1" t="s">
        <v>6999</v>
      </c>
      <c r="S357" s="1">
        <v>9158878170</v>
      </c>
      <c r="T357" s="1" t="s">
        <v>154</v>
      </c>
      <c r="U357" s="1" t="s">
        <v>7000</v>
      </c>
      <c r="V357" s="1">
        <v>9158878170</v>
      </c>
      <c r="W357" s="1" t="s">
        <v>156</v>
      </c>
      <c r="X357" s="1" t="s">
        <v>7001</v>
      </c>
      <c r="Y357" s="1" t="s">
        <v>523</v>
      </c>
      <c r="Z357" s="1" t="s">
        <v>92</v>
      </c>
      <c r="AA357" s="1" t="s">
        <v>7001</v>
      </c>
      <c r="AB357" s="1" t="s">
        <v>523</v>
      </c>
      <c r="AC357" s="1" t="s">
        <v>92</v>
      </c>
      <c r="AD357" s="1">
        <v>7.25</v>
      </c>
      <c r="AE357" s="1" t="s">
        <v>93</v>
      </c>
      <c r="AF357" s="1" t="s">
        <v>7002</v>
      </c>
      <c r="AG357" s="1" t="s">
        <v>7003</v>
      </c>
      <c r="AH357" s="1" t="s">
        <v>162</v>
      </c>
      <c r="AI357" s="1" t="s">
        <v>195</v>
      </c>
      <c r="AJ357" s="1">
        <v>70.6</v>
      </c>
      <c r="AK357" s="1">
        <v>0</v>
      </c>
      <c r="AL357" s="1" t="s">
        <v>7004</v>
      </c>
      <c r="AM357" s="1" t="s">
        <v>7005</v>
      </c>
      <c r="AN357" s="1" t="s">
        <v>101</v>
      </c>
      <c r="AO357" s="1" t="s">
        <v>198</v>
      </c>
      <c r="AP357" s="1">
        <v>50.31</v>
      </c>
      <c r="AQ357" s="1">
        <v>0</v>
      </c>
      <c r="AR357" s="1" t="s">
        <v>98</v>
      </c>
      <c r="AS357" s="1" t="s">
        <v>7006</v>
      </c>
      <c r="AT357" s="1" t="s">
        <v>433</v>
      </c>
      <c r="AU357" s="1" t="s">
        <v>1712</v>
      </c>
      <c r="AV357" s="1">
        <v>81.89</v>
      </c>
      <c r="AW357" s="1">
        <v>0</v>
      </c>
      <c r="AX357" s="1" t="s">
        <v>361</v>
      </c>
      <c r="AY357" s="1" t="s">
        <v>7007</v>
      </c>
      <c r="AZ357" s="1" t="s">
        <v>897</v>
      </c>
      <c r="BA357" s="1" t="s">
        <v>413</v>
      </c>
      <c r="BB357" s="1">
        <v>60.4</v>
      </c>
      <c r="BC357" s="1">
        <v>6.79</v>
      </c>
      <c r="BD357" s="1"/>
      <c r="BE357" s="1"/>
      <c r="BF357" s="1"/>
      <c r="BG357" s="1"/>
      <c r="BH357" s="1"/>
      <c r="BI357" s="1"/>
      <c r="BJ357" s="1" t="s">
        <v>7008</v>
      </c>
      <c r="BK357" s="1" t="s">
        <v>7009</v>
      </c>
      <c r="BL357" s="1" t="s">
        <v>1895</v>
      </c>
      <c r="BM357" s="1"/>
      <c r="BN357" s="1"/>
      <c r="BO357" s="1" t="s">
        <v>7010</v>
      </c>
      <c r="BP357" s="1" t="str">
        <f>HYPERLINK("https://nconnect.nicmar.ac.in/storage/profile/ProfilePhoto_P25700305_358149.jpg","Download")</f>
        <v>0</v>
      </c>
      <c r="BQ357" s="3"/>
      <c r="BR357" s="3"/>
    </row>
    <row r="358" spans="1:70">
      <c r="A358" s="1" t="s">
        <v>70</v>
      </c>
      <c r="B358" s="1" t="s">
        <v>1269</v>
      </c>
      <c r="C358" s="1" t="s">
        <v>7011</v>
      </c>
      <c r="D358" s="1" t="s">
        <v>7012</v>
      </c>
      <c r="E358" s="1"/>
      <c r="F358" s="1" t="s">
        <v>7013</v>
      </c>
      <c r="G358" s="1" t="s">
        <v>7014</v>
      </c>
      <c r="H358" s="1" t="s">
        <v>7015</v>
      </c>
      <c r="I358" s="1" t="s">
        <v>7016</v>
      </c>
      <c r="J358" s="1">
        <v>9249411028</v>
      </c>
      <c r="K358" s="1" t="s">
        <v>79</v>
      </c>
      <c r="L358" s="1" t="s">
        <v>7017</v>
      </c>
      <c r="M358" s="1" t="s">
        <v>81</v>
      </c>
      <c r="N358" s="1" t="s">
        <v>1395</v>
      </c>
      <c r="O358" s="1"/>
      <c r="P358" s="1" t="s">
        <v>1323</v>
      </c>
      <c r="Q358" s="1" t="s">
        <v>7018</v>
      </c>
      <c r="R358" s="1" t="s">
        <v>7019</v>
      </c>
      <c r="S358" s="1">
        <v>9847281242</v>
      </c>
      <c r="T358" s="1" t="s">
        <v>496</v>
      </c>
      <c r="U358" s="1" t="s">
        <v>7020</v>
      </c>
      <c r="V358" s="1">
        <v>8089122440</v>
      </c>
      <c r="W358" s="1" t="s">
        <v>496</v>
      </c>
      <c r="X358" s="1" t="s">
        <v>7021</v>
      </c>
      <c r="Y358" s="1" t="s">
        <v>1491</v>
      </c>
      <c r="Z358" s="1" t="s">
        <v>125</v>
      </c>
      <c r="AA358" s="1" t="s">
        <v>7021</v>
      </c>
      <c r="AB358" s="1" t="s">
        <v>1491</v>
      </c>
      <c r="AC358" s="1" t="s">
        <v>125</v>
      </c>
      <c r="AD358" s="1">
        <v>8.61</v>
      </c>
      <c r="AE358" s="1" t="s">
        <v>93</v>
      </c>
      <c r="AF358" s="1" t="s">
        <v>7022</v>
      </c>
      <c r="AG358" s="1" t="s">
        <v>939</v>
      </c>
      <c r="AH358" s="1" t="s">
        <v>161</v>
      </c>
      <c r="AI358" s="1" t="s">
        <v>131</v>
      </c>
      <c r="AJ358" s="1">
        <v>83.6</v>
      </c>
      <c r="AK358" s="1">
        <v>8.8</v>
      </c>
      <c r="AL358" s="1" t="s">
        <v>7022</v>
      </c>
      <c r="AM358" s="1" t="s">
        <v>939</v>
      </c>
      <c r="AN358" s="1" t="s">
        <v>162</v>
      </c>
      <c r="AO358" s="1" t="s">
        <v>479</v>
      </c>
      <c r="AP358" s="1">
        <v>85.8</v>
      </c>
      <c r="AQ358" s="1">
        <v>0</v>
      </c>
      <c r="AR358" s="1"/>
      <c r="AS358" s="1"/>
      <c r="AT358" s="1"/>
      <c r="AU358" s="1"/>
      <c r="AV358" s="1"/>
      <c r="AW358" s="1"/>
      <c r="AX358" s="1" t="s">
        <v>7023</v>
      </c>
      <c r="AY358" s="1" t="s">
        <v>7024</v>
      </c>
      <c r="AZ358" s="1" t="s">
        <v>225</v>
      </c>
      <c r="BA358" s="1" t="s">
        <v>575</v>
      </c>
      <c r="BB358" s="1">
        <v>65.9</v>
      </c>
      <c r="BC358" s="1">
        <v>6.59</v>
      </c>
      <c r="BD358" s="1"/>
      <c r="BE358" s="1"/>
      <c r="BF358" s="1"/>
      <c r="BG358" s="1"/>
      <c r="BH358" s="1"/>
      <c r="BI358" s="1"/>
      <c r="BJ358" s="1" t="s">
        <v>7025</v>
      </c>
      <c r="BK358" s="1" t="s">
        <v>7026</v>
      </c>
      <c r="BL358" s="1" t="s">
        <v>4917</v>
      </c>
      <c r="BM358" s="1" t="s">
        <v>7027</v>
      </c>
      <c r="BN358" s="1">
        <v>70</v>
      </c>
      <c r="BO358" s="1"/>
      <c r="BP358" s="1" t="str">
        <f>HYPERLINK("https://nconnect.nicmar.ac.in/storage/profile/ProfilePhoto_P25700306_128963.jpg","Download")</f>
        <v>0</v>
      </c>
      <c r="BQ358" s="3"/>
      <c r="BR358" s="3"/>
    </row>
    <row r="359" spans="1:70">
      <c r="A359" s="1" t="s">
        <v>70</v>
      </c>
      <c r="B359" s="1" t="s">
        <v>1269</v>
      </c>
      <c r="C359" s="1" t="s">
        <v>7028</v>
      </c>
      <c r="D359" s="1" t="s">
        <v>7029</v>
      </c>
      <c r="E359" s="1" t="s">
        <v>7030</v>
      </c>
      <c r="F359" s="1" t="s">
        <v>7031</v>
      </c>
      <c r="G359" s="1" t="s">
        <v>7032</v>
      </c>
      <c r="H359" s="1" t="s">
        <v>7033</v>
      </c>
      <c r="I359" s="1" t="s">
        <v>7034</v>
      </c>
      <c r="J359" s="1">
        <v>8605723457</v>
      </c>
      <c r="K359" s="1" t="s">
        <v>79</v>
      </c>
      <c r="L359" s="1" t="s">
        <v>7035</v>
      </c>
      <c r="M359" s="1" t="s">
        <v>81</v>
      </c>
      <c r="N359" s="1" t="s">
        <v>1418</v>
      </c>
      <c r="O359" s="1"/>
      <c r="P359" s="1" t="s">
        <v>1298</v>
      </c>
      <c r="Q359" s="1" t="s">
        <v>7036</v>
      </c>
      <c r="R359" s="1" t="s">
        <v>7030</v>
      </c>
      <c r="S359" s="1">
        <v>8605723457</v>
      </c>
      <c r="T359" s="1" t="s">
        <v>93</v>
      </c>
      <c r="U359" s="1" t="s">
        <v>7037</v>
      </c>
      <c r="V359" s="1">
        <v>8862021135</v>
      </c>
      <c r="W359" s="1" t="s">
        <v>2333</v>
      </c>
      <c r="X359" s="1" t="s">
        <v>7038</v>
      </c>
      <c r="Y359" s="1" t="s">
        <v>191</v>
      </c>
      <c r="Z359" s="1" t="s">
        <v>92</v>
      </c>
      <c r="AA359" s="1" t="s">
        <v>7038</v>
      </c>
      <c r="AB359" s="1" t="s">
        <v>191</v>
      </c>
      <c r="AC359" s="1" t="s">
        <v>92</v>
      </c>
      <c r="AD359" s="1">
        <v>8.36</v>
      </c>
      <c r="AE359" s="1" t="s">
        <v>93</v>
      </c>
      <c r="AF359" s="1" t="s">
        <v>7039</v>
      </c>
      <c r="AG359" s="1" t="s">
        <v>160</v>
      </c>
      <c r="AH359" s="1" t="s">
        <v>161</v>
      </c>
      <c r="AI359" s="1" t="s">
        <v>162</v>
      </c>
      <c r="AJ359" s="1">
        <v>86.4</v>
      </c>
      <c r="AK359" s="1">
        <v>0</v>
      </c>
      <c r="AL359" s="1"/>
      <c r="AM359" s="1"/>
      <c r="AN359" s="1"/>
      <c r="AO359" s="1"/>
      <c r="AP359" s="1"/>
      <c r="AQ359" s="1"/>
      <c r="AR359" s="1" t="s">
        <v>98</v>
      </c>
      <c r="AS359" s="1" t="s">
        <v>7040</v>
      </c>
      <c r="AT359" s="1" t="s">
        <v>162</v>
      </c>
      <c r="AU359" s="1" t="s">
        <v>433</v>
      </c>
      <c r="AV359" s="1">
        <v>84.3</v>
      </c>
      <c r="AW359" s="1">
        <v>0</v>
      </c>
      <c r="AX359" s="1" t="s">
        <v>361</v>
      </c>
      <c r="AY359" s="1" t="s">
        <v>7041</v>
      </c>
      <c r="AZ359" s="1" t="s">
        <v>433</v>
      </c>
      <c r="BA359" s="1" t="s">
        <v>105</v>
      </c>
      <c r="BB359" s="1">
        <v>84.68</v>
      </c>
      <c r="BC359" s="1">
        <v>9.14</v>
      </c>
      <c r="BD359" s="1"/>
      <c r="BE359" s="1"/>
      <c r="BF359" s="1"/>
      <c r="BG359" s="1"/>
      <c r="BH359" s="1"/>
      <c r="BI359" s="1"/>
      <c r="BJ359" s="1" t="s">
        <v>4493</v>
      </c>
      <c r="BK359" s="1" t="s">
        <v>7042</v>
      </c>
      <c r="BL359" s="1" t="s">
        <v>1919</v>
      </c>
      <c r="BM359" s="1" t="s">
        <v>7043</v>
      </c>
      <c r="BN359" s="1">
        <v>30</v>
      </c>
      <c r="BO359" s="1" t="s">
        <v>4765</v>
      </c>
      <c r="BP359" s="1" t="str">
        <f>HYPERLINK("https://nconnect.nicmar.ac.in/storage/profile/ProfilePhoto_P25700307_873512.jpg","Download")</f>
        <v>0</v>
      </c>
      <c r="BQ359" s="3"/>
      <c r="BR359" s="3"/>
    </row>
    <row r="360" spans="1:70">
      <c r="A360" s="1" t="s">
        <v>70</v>
      </c>
      <c r="B360" s="1" t="s">
        <v>1269</v>
      </c>
      <c r="C360" s="1" t="s">
        <v>7044</v>
      </c>
      <c r="D360" s="1" t="s">
        <v>7045</v>
      </c>
      <c r="E360" s="1"/>
      <c r="F360" s="1" t="s">
        <v>7046</v>
      </c>
      <c r="G360" s="1" t="s">
        <v>7047</v>
      </c>
      <c r="H360" s="1" t="s">
        <v>7048</v>
      </c>
      <c r="I360" s="1" t="s">
        <v>7049</v>
      </c>
      <c r="J360" s="1">
        <v>9162596927</v>
      </c>
      <c r="K360" s="1" t="s">
        <v>79</v>
      </c>
      <c r="L360" s="1" t="s">
        <v>7050</v>
      </c>
      <c r="M360" s="1" t="s">
        <v>81</v>
      </c>
      <c r="N360" s="1" t="s">
        <v>7051</v>
      </c>
      <c r="O360" s="1"/>
      <c r="P360" s="1" t="s">
        <v>1278</v>
      </c>
      <c r="Q360" s="1" t="s">
        <v>7052</v>
      </c>
      <c r="R360" s="1" t="s">
        <v>7053</v>
      </c>
      <c r="S360" s="1">
        <v>6206009766</v>
      </c>
      <c r="T360" s="1" t="s">
        <v>120</v>
      </c>
      <c r="U360" s="1" t="s">
        <v>7054</v>
      </c>
      <c r="V360" s="1">
        <v>9162596927</v>
      </c>
      <c r="W360" s="1" t="s">
        <v>156</v>
      </c>
      <c r="X360" s="1" t="s">
        <v>7055</v>
      </c>
      <c r="Y360" s="1" t="s">
        <v>845</v>
      </c>
      <c r="Z360" s="1" t="s">
        <v>846</v>
      </c>
      <c r="AA360" s="1" t="s">
        <v>7055</v>
      </c>
      <c r="AB360" s="1" t="s">
        <v>845</v>
      </c>
      <c r="AC360" s="1" t="s">
        <v>846</v>
      </c>
      <c r="AD360" s="1">
        <v>7.28</v>
      </c>
      <c r="AE360" s="1" t="s">
        <v>93</v>
      </c>
      <c r="AF360" s="1" t="s">
        <v>7056</v>
      </c>
      <c r="AG360" s="1" t="s">
        <v>7057</v>
      </c>
      <c r="AH360" s="1" t="s">
        <v>4212</v>
      </c>
      <c r="AI360" s="1" t="s">
        <v>131</v>
      </c>
      <c r="AJ360" s="1">
        <v>74.1</v>
      </c>
      <c r="AK360" s="1">
        <v>7.8</v>
      </c>
      <c r="AL360" s="1" t="s">
        <v>7058</v>
      </c>
      <c r="AM360" s="1" t="s">
        <v>7059</v>
      </c>
      <c r="AN360" s="1" t="s">
        <v>195</v>
      </c>
      <c r="AO360" s="1" t="s">
        <v>409</v>
      </c>
      <c r="AP360" s="1">
        <v>68</v>
      </c>
      <c r="AQ360" s="1"/>
      <c r="AR360" s="1"/>
      <c r="AS360" s="1"/>
      <c r="AT360" s="1"/>
      <c r="AU360" s="1"/>
      <c r="AV360" s="1"/>
      <c r="AW360" s="1"/>
      <c r="AX360" s="1" t="s">
        <v>5702</v>
      </c>
      <c r="AY360" s="1" t="s">
        <v>7060</v>
      </c>
      <c r="AZ360" s="1" t="s">
        <v>433</v>
      </c>
      <c r="BA360" s="1" t="s">
        <v>682</v>
      </c>
      <c r="BB360" s="1">
        <v>82.2</v>
      </c>
      <c r="BC360" s="1">
        <v>8.22</v>
      </c>
      <c r="BD360" s="1"/>
      <c r="BE360" s="1"/>
      <c r="BF360" s="1"/>
      <c r="BG360" s="1"/>
      <c r="BH360" s="1"/>
      <c r="BI360" s="1"/>
      <c r="BJ360" s="1" t="s">
        <v>364</v>
      </c>
      <c r="BK360" s="1" t="s">
        <v>7061</v>
      </c>
      <c r="BL360" s="1" t="s">
        <v>5625</v>
      </c>
      <c r="BM360" s="1"/>
      <c r="BN360" s="1"/>
      <c r="BO360" s="1"/>
      <c r="BP360" s="1" t="str">
        <f>HYPERLINK("https://nconnect.nicmar.ac.in/storage/profile/ProfilePhoto_P25700308_942517.jpg","Download")</f>
        <v>0</v>
      </c>
      <c r="BQ360" s="3"/>
      <c r="BR360" s="3"/>
    </row>
    <row r="361" spans="1:70">
      <c r="A361" s="1" t="s">
        <v>70</v>
      </c>
      <c r="B361" s="1" t="s">
        <v>1269</v>
      </c>
      <c r="C361" s="1" t="s">
        <v>7062</v>
      </c>
      <c r="D361" s="1" t="s">
        <v>7063</v>
      </c>
      <c r="E361" s="1"/>
      <c r="F361" s="1" t="s">
        <v>4768</v>
      </c>
      <c r="G361" s="1" t="s">
        <v>7064</v>
      </c>
      <c r="H361" s="1" t="s">
        <v>7065</v>
      </c>
      <c r="I361" s="1" t="s">
        <v>7066</v>
      </c>
      <c r="J361" s="1">
        <v>9994273557</v>
      </c>
      <c r="K361" s="1" t="s">
        <v>79</v>
      </c>
      <c r="L361" s="1" t="s">
        <v>7067</v>
      </c>
      <c r="M361" s="1" t="s">
        <v>81</v>
      </c>
      <c r="N361" s="1" t="s">
        <v>7068</v>
      </c>
      <c r="O361" s="1"/>
      <c r="P361" s="1" t="s">
        <v>1278</v>
      </c>
      <c r="Q361" s="1" t="s">
        <v>7069</v>
      </c>
      <c r="R361" s="1" t="s">
        <v>7070</v>
      </c>
      <c r="S361" s="1">
        <v>8012502994</v>
      </c>
      <c r="T361" s="1" t="s">
        <v>7071</v>
      </c>
      <c r="U361" s="1" t="s">
        <v>7072</v>
      </c>
      <c r="V361" s="1">
        <v>6369457817</v>
      </c>
      <c r="W361" s="1" t="s">
        <v>651</v>
      </c>
      <c r="X361" s="1" t="s">
        <v>7073</v>
      </c>
      <c r="Y361" s="1" t="s">
        <v>2666</v>
      </c>
      <c r="Z361" s="1" t="s">
        <v>1377</v>
      </c>
      <c r="AA361" s="1" t="s">
        <v>7073</v>
      </c>
      <c r="AB361" s="1" t="s">
        <v>2666</v>
      </c>
      <c r="AC361" s="1" t="s">
        <v>1377</v>
      </c>
      <c r="AD361" s="1">
        <v>8.31</v>
      </c>
      <c r="AE361" s="1" t="s">
        <v>93</v>
      </c>
      <c r="AF361" s="1" t="s">
        <v>7074</v>
      </c>
      <c r="AG361" s="1" t="s">
        <v>1379</v>
      </c>
      <c r="AH361" s="1" t="s">
        <v>101</v>
      </c>
      <c r="AI361" s="1" t="s">
        <v>1065</v>
      </c>
      <c r="AJ361" s="1">
        <v>83</v>
      </c>
      <c r="AK361" s="1">
        <v>0</v>
      </c>
      <c r="AL361" s="1" t="s">
        <v>7074</v>
      </c>
      <c r="AM361" s="1" t="s">
        <v>1379</v>
      </c>
      <c r="AN361" s="1" t="s">
        <v>699</v>
      </c>
      <c r="AO361" s="1" t="s">
        <v>506</v>
      </c>
      <c r="AP361" s="1">
        <v>85</v>
      </c>
      <c r="AQ361" s="1">
        <v>0</v>
      </c>
      <c r="AR361" s="1"/>
      <c r="AS361" s="1"/>
      <c r="AT361" s="1"/>
      <c r="AU361" s="1"/>
      <c r="AV361" s="1"/>
      <c r="AW361" s="1"/>
      <c r="AX361" s="1" t="s">
        <v>1381</v>
      </c>
      <c r="AY361" s="1" t="s">
        <v>7075</v>
      </c>
      <c r="AZ361" s="1" t="s">
        <v>1407</v>
      </c>
      <c r="BA361" s="1" t="s">
        <v>1408</v>
      </c>
      <c r="BB361" s="1">
        <v>81.8</v>
      </c>
      <c r="BC361" s="1">
        <v>8.18</v>
      </c>
      <c r="BD361" s="1"/>
      <c r="BE361" s="1"/>
      <c r="BF361" s="1"/>
      <c r="BG361" s="1"/>
      <c r="BH361" s="1"/>
      <c r="BI361" s="1"/>
      <c r="BJ361" s="1" t="s">
        <v>7076</v>
      </c>
      <c r="BK361" s="1"/>
      <c r="BL361" s="1"/>
      <c r="BM361" s="1" t="s">
        <v>7077</v>
      </c>
      <c r="BN361" s="1">
        <v>14</v>
      </c>
      <c r="BO361" s="1" t="s">
        <v>7078</v>
      </c>
      <c r="BP361" s="1" t="str">
        <f>HYPERLINK("https://nconnect.nicmar.ac.in/storage/profile/ProfilePhoto_P25700309_361294.jpg","Download")</f>
        <v>0</v>
      </c>
      <c r="BQ361" s="3"/>
      <c r="BR361" s="3"/>
    </row>
    <row r="362" spans="1:70">
      <c r="A362" s="1" t="s">
        <v>70</v>
      </c>
      <c r="B362" s="1" t="s">
        <v>1269</v>
      </c>
      <c r="C362" s="1" t="s">
        <v>7079</v>
      </c>
      <c r="D362" s="1" t="s">
        <v>5964</v>
      </c>
      <c r="E362" s="1"/>
      <c r="F362" s="1" t="s">
        <v>3667</v>
      </c>
      <c r="G362" s="1" t="s">
        <v>7080</v>
      </c>
      <c r="H362" s="1" t="s">
        <v>7081</v>
      </c>
      <c r="I362" s="1" t="s">
        <v>7082</v>
      </c>
      <c r="J362" s="1">
        <v>8669109766</v>
      </c>
      <c r="K362" s="1" t="s">
        <v>79</v>
      </c>
      <c r="L362" s="1" t="s">
        <v>7083</v>
      </c>
      <c r="M362" s="1" t="s">
        <v>81</v>
      </c>
      <c r="N362" s="1" t="s">
        <v>7084</v>
      </c>
      <c r="O362" s="1"/>
      <c r="P362" s="1" t="s">
        <v>1278</v>
      </c>
      <c r="Q362" s="1" t="s">
        <v>7085</v>
      </c>
      <c r="R362" s="1" t="s">
        <v>7086</v>
      </c>
      <c r="S362" s="1">
        <v>9923699521</v>
      </c>
      <c r="T362" s="1" t="s">
        <v>863</v>
      </c>
      <c r="U362" s="1" t="s">
        <v>7087</v>
      </c>
      <c r="V362" s="1">
        <v>8669101539</v>
      </c>
      <c r="W362" s="1" t="s">
        <v>156</v>
      </c>
      <c r="X362" s="1" t="s">
        <v>7088</v>
      </c>
      <c r="Y362" s="1" t="s">
        <v>405</v>
      </c>
      <c r="Z362" s="1" t="s">
        <v>92</v>
      </c>
      <c r="AA362" s="1" t="s">
        <v>7089</v>
      </c>
      <c r="AB362" s="1" t="s">
        <v>766</v>
      </c>
      <c r="AC362" s="1" t="s">
        <v>92</v>
      </c>
      <c r="AD362" s="1">
        <v>8.87</v>
      </c>
      <c r="AE362" s="1" t="s">
        <v>93</v>
      </c>
      <c r="AF362" s="1" t="s">
        <v>7090</v>
      </c>
      <c r="AG362" s="1" t="s">
        <v>7091</v>
      </c>
      <c r="AH362" s="1" t="s">
        <v>281</v>
      </c>
      <c r="AI362" s="1" t="s">
        <v>409</v>
      </c>
      <c r="AJ362" s="1">
        <v>69.8</v>
      </c>
      <c r="AK362" s="1"/>
      <c r="AL362" s="1" t="s">
        <v>7092</v>
      </c>
      <c r="AM362" s="1" t="s">
        <v>7091</v>
      </c>
      <c r="AN362" s="1" t="s">
        <v>941</v>
      </c>
      <c r="AO362" s="1" t="s">
        <v>504</v>
      </c>
      <c r="AP362" s="1">
        <v>90.67</v>
      </c>
      <c r="AQ362" s="1"/>
      <c r="AR362" s="1"/>
      <c r="AS362" s="1"/>
      <c r="AT362" s="1"/>
      <c r="AU362" s="1"/>
      <c r="AV362" s="1"/>
      <c r="AW362" s="1"/>
      <c r="AX362" s="1" t="s">
        <v>410</v>
      </c>
      <c r="AY362" s="1" t="s">
        <v>7093</v>
      </c>
      <c r="AZ362" s="1" t="s">
        <v>897</v>
      </c>
      <c r="BA362" s="1" t="s">
        <v>1714</v>
      </c>
      <c r="BB362" s="1">
        <v>83.1</v>
      </c>
      <c r="BC362" s="1">
        <v>8.31</v>
      </c>
      <c r="BD362" s="1"/>
      <c r="BE362" s="1"/>
      <c r="BF362" s="1"/>
      <c r="BG362" s="1"/>
      <c r="BH362" s="1"/>
      <c r="BI362" s="1"/>
      <c r="BJ362" s="1" t="s">
        <v>7094</v>
      </c>
      <c r="BK362" s="1" t="s">
        <v>7095</v>
      </c>
      <c r="BL362" s="1" t="s">
        <v>947</v>
      </c>
      <c r="BM362" s="1" t="s">
        <v>7096</v>
      </c>
      <c r="BN362" s="1">
        <v>29</v>
      </c>
      <c r="BO362" s="1" t="s">
        <v>7097</v>
      </c>
      <c r="BP362" s="1" t="str">
        <f>HYPERLINK("https://nconnect.nicmar.ac.in/storage/profile/6a6247b201416.png","Download")</f>
        <v>0</v>
      </c>
      <c r="BQ362" s="3"/>
      <c r="BR362" s="3"/>
    </row>
    <row r="363" spans="1:70">
      <c r="A363" s="1" t="s">
        <v>70</v>
      </c>
      <c r="B363" s="1" t="s">
        <v>1269</v>
      </c>
      <c r="C363" s="1" t="s">
        <v>7098</v>
      </c>
      <c r="D363" s="1" t="s">
        <v>650</v>
      </c>
      <c r="E363" s="1"/>
      <c r="F363" s="1" t="s">
        <v>650</v>
      </c>
      <c r="G363" s="1" t="s">
        <v>7099</v>
      </c>
      <c r="H363" s="1" t="s">
        <v>7100</v>
      </c>
      <c r="I363" s="1" t="s">
        <v>7101</v>
      </c>
      <c r="J363" s="1">
        <v>9972187849</v>
      </c>
      <c r="K363" s="1" t="s">
        <v>148</v>
      </c>
      <c r="L363" s="1" t="s">
        <v>7102</v>
      </c>
      <c r="M363" s="1" t="s">
        <v>81</v>
      </c>
      <c r="N363" s="1" t="s">
        <v>4832</v>
      </c>
      <c r="O363" s="1"/>
      <c r="P363" s="1" t="s">
        <v>1278</v>
      </c>
      <c r="Q363" s="1" t="s">
        <v>7103</v>
      </c>
      <c r="R363" s="1" t="s">
        <v>7104</v>
      </c>
      <c r="S363" s="1">
        <v>9036267539</v>
      </c>
      <c r="T363" s="1" t="s">
        <v>7105</v>
      </c>
      <c r="U363" s="1" t="s">
        <v>7106</v>
      </c>
      <c r="V363" s="1">
        <v>9449642810</v>
      </c>
      <c r="W363" s="1" t="s">
        <v>651</v>
      </c>
      <c r="X363" s="1" t="s">
        <v>7107</v>
      </c>
      <c r="Y363" s="1" t="s">
        <v>7108</v>
      </c>
      <c r="Z363" s="1" t="s">
        <v>1084</v>
      </c>
      <c r="AA363" s="1" t="s">
        <v>7107</v>
      </c>
      <c r="AB363" s="1" t="s">
        <v>7108</v>
      </c>
      <c r="AC363" s="1" t="s">
        <v>1084</v>
      </c>
      <c r="AD363" s="1">
        <v>7.94</v>
      </c>
      <c r="AE363" s="1" t="s">
        <v>93</v>
      </c>
      <c r="AF363" s="1" t="s">
        <v>7109</v>
      </c>
      <c r="AG363" s="1" t="s">
        <v>7110</v>
      </c>
      <c r="AH363" s="1" t="s">
        <v>1197</v>
      </c>
      <c r="AI363" s="1" t="s">
        <v>131</v>
      </c>
      <c r="AJ363" s="1">
        <v>81.7</v>
      </c>
      <c r="AK363" s="1">
        <v>8.6</v>
      </c>
      <c r="AL363" s="1" t="s">
        <v>7111</v>
      </c>
      <c r="AM363" s="1" t="s">
        <v>7112</v>
      </c>
      <c r="AN363" s="1" t="s">
        <v>279</v>
      </c>
      <c r="AO363" s="1" t="s">
        <v>281</v>
      </c>
      <c r="AP363" s="1">
        <v>73.66</v>
      </c>
      <c r="AQ363" s="1"/>
      <c r="AR363" s="1"/>
      <c r="AS363" s="1"/>
      <c r="AT363" s="1" t="s">
        <v>228</v>
      </c>
      <c r="AU363" s="1" t="s">
        <v>549</v>
      </c>
      <c r="AV363" s="1"/>
      <c r="AW363" s="1"/>
      <c r="AX363" s="1" t="s">
        <v>7113</v>
      </c>
      <c r="AY363" s="1" t="s">
        <v>7114</v>
      </c>
      <c r="AZ363" s="1" t="s">
        <v>169</v>
      </c>
      <c r="BA363" s="1" t="s">
        <v>202</v>
      </c>
      <c r="BB363" s="1">
        <v>69.8</v>
      </c>
      <c r="BC363" s="1">
        <v>7.73</v>
      </c>
      <c r="BD363" s="1"/>
      <c r="BE363" s="1"/>
      <c r="BF363" s="1"/>
      <c r="BG363" s="1"/>
      <c r="BH363" s="1"/>
      <c r="BI363" s="1"/>
      <c r="BJ363" s="1" t="s">
        <v>7115</v>
      </c>
      <c r="BK363" s="1" t="s">
        <v>7116</v>
      </c>
      <c r="BL363" s="1" t="s">
        <v>1919</v>
      </c>
      <c r="BM363" s="1" t="s">
        <v>7117</v>
      </c>
      <c r="BN363" s="1">
        <v>61</v>
      </c>
      <c r="BO363" s="1" t="s">
        <v>7118</v>
      </c>
      <c r="BP363" s="1" t="str">
        <f>HYPERLINK("https://nconnect.nicmar.ac.in/storage/profile/ProfilePhoto_P25700311_175346.jpg","Download")</f>
        <v>0</v>
      </c>
      <c r="BQ363" s="3"/>
      <c r="BR363" s="3"/>
    </row>
    <row r="364" spans="1:70">
      <c r="A364" s="1" t="s">
        <v>70</v>
      </c>
      <c r="B364" s="1" t="s">
        <v>1269</v>
      </c>
      <c r="C364" s="1" t="s">
        <v>7119</v>
      </c>
      <c r="D364" s="1" t="s">
        <v>7120</v>
      </c>
      <c r="E364" s="1" t="s">
        <v>7121</v>
      </c>
      <c r="F364" s="1" t="s">
        <v>2024</v>
      </c>
      <c r="G364" s="1" t="s">
        <v>7122</v>
      </c>
      <c r="H364" s="1" t="s">
        <v>7123</v>
      </c>
      <c r="I364" s="1" t="s">
        <v>7124</v>
      </c>
      <c r="J364" s="1">
        <v>9623087386</v>
      </c>
      <c r="K364" s="1" t="s">
        <v>79</v>
      </c>
      <c r="L364" s="1" t="s">
        <v>7125</v>
      </c>
      <c r="M364" s="1" t="s">
        <v>81</v>
      </c>
      <c r="N364" s="1" t="s">
        <v>4965</v>
      </c>
      <c r="O364" s="1"/>
      <c r="P364" s="1" t="s">
        <v>1766</v>
      </c>
      <c r="Q364" s="1" t="s">
        <v>7126</v>
      </c>
      <c r="R364" s="1" t="s">
        <v>7127</v>
      </c>
      <c r="S364" s="1">
        <v>9075184735</v>
      </c>
      <c r="T364" s="1" t="s">
        <v>154</v>
      </c>
      <c r="U364" s="1" t="s">
        <v>7128</v>
      </c>
      <c r="V364" s="1">
        <v>9075184735</v>
      </c>
      <c r="W364" s="1" t="s">
        <v>154</v>
      </c>
      <c r="X364" s="1" t="s">
        <v>7129</v>
      </c>
      <c r="Y364" s="1" t="s">
        <v>191</v>
      </c>
      <c r="Z364" s="1" t="s">
        <v>92</v>
      </c>
      <c r="AA364" s="1" t="s">
        <v>7129</v>
      </c>
      <c r="AB364" s="1" t="s">
        <v>191</v>
      </c>
      <c r="AC364" s="1" t="s">
        <v>92</v>
      </c>
      <c r="AD364" s="1">
        <v>7.82</v>
      </c>
      <c r="AE364" s="1" t="s">
        <v>93</v>
      </c>
      <c r="AF364" s="1" t="s">
        <v>7130</v>
      </c>
      <c r="AG364" s="1" t="s">
        <v>476</v>
      </c>
      <c r="AH364" s="1" t="s">
        <v>96</v>
      </c>
      <c r="AI364" s="1" t="s">
        <v>97</v>
      </c>
      <c r="AJ364" s="1">
        <v>80.8</v>
      </c>
      <c r="AK364" s="1"/>
      <c r="AL364" s="1"/>
      <c r="AM364" s="1"/>
      <c r="AN364" s="1"/>
      <c r="AO364" s="1"/>
      <c r="AP364" s="1"/>
      <c r="AQ364" s="1"/>
      <c r="AR364" s="1" t="s">
        <v>98</v>
      </c>
      <c r="AS364" s="1" t="s">
        <v>7131</v>
      </c>
      <c r="AT364" s="1" t="s">
        <v>636</v>
      </c>
      <c r="AU364" s="1" t="s">
        <v>436</v>
      </c>
      <c r="AV364" s="1">
        <v>92.11</v>
      </c>
      <c r="AW364" s="1"/>
      <c r="AX364" s="1" t="s">
        <v>361</v>
      </c>
      <c r="AY364" s="1" t="s">
        <v>7132</v>
      </c>
      <c r="AZ364" s="1" t="s">
        <v>1407</v>
      </c>
      <c r="BA364" s="1" t="s">
        <v>702</v>
      </c>
      <c r="BB364" s="1">
        <v>72.7</v>
      </c>
      <c r="BC364" s="1">
        <v>8.02</v>
      </c>
      <c r="BD364" s="1"/>
      <c r="BE364" s="1"/>
      <c r="BF364" s="1"/>
      <c r="BG364" s="1"/>
      <c r="BH364" s="1"/>
      <c r="BI364" s="1"/>
      <c r="BJ364" s="1" t="s">
        <v>7133</v>
      </c>
      <c r="BK364" s="1"/>
      <c r="BL364" s="1"/>
      <c r="BM364" s="1" t="s">
        <v>7134</v>
      </c>
      <c r="BN364" s="1">
        <v>165</v>
      </c>
      <c r="BO364" s="1" t="s">
        <v>7135</v>
      </c>
      <c r="BP364" s="1" t="str">
        <f>HYPERLINK("https://nconnect.nicmar.ac.in/storage/profile/ProfilePhoto_P25700312_491872.jpg","Download")</f>
        <v>0</v>
      </c>
      <c r="BQ364" s="3"/>
      <c r="BR364" s="3"/>
    </row>
    <row r="365" spans="1:70">
      <c r="A365" s="1" t="s">
        <v>70</v>
      </c>
      <c r="B365" s="1" t="s">
        <v>1269</v>
      </c>
      <c r="C365" s="1" t="s">
        <v>7136</v>
      </c>
      <c r="D365" s="1" t="s">
        <v>1316</v>
      </c>
      <c r="E365" s="1"/>
      <c r="F365" s="1" t="s">
        <v>7137</v>
      </c>
      <c r="G365" s="1" t="s">
        <v>7138</v>
      </c>
      <c r="H365" s="1" t="s">
        <v>7139</v>
      </c>
      <c r="I365" s="1" t="s">
        <v>7140</v>
      </c>
      <c r="J365" s="1">
        <v>7899628030</v>
      </c>
      <c r="K365" s="1" t="s">
        <v>79</v>
      </c>
      <c r="L365" s="1" t="s">
        <v>7141</v>
      </c>
      <c r="M365" s="1" t="s">
        <v>81</v>
      </c>
      <c r="N365" s="1" t="s">
        <v>5240</v>
      </c>
      <c r="O365" s="1"/>
      <c r="P365" s="1" t="s">
        <v>1278</v>
      </c>
      <c r="Q365" s="1" t="s">
        <v>7142</v>
      </c>
      <c r="R365" s="1" t="s">
        <v>7143</v>
      </c>
      <c r="S365" s="1">
        <v>9980809271</v>
      </c>
      <c r="T365" s="1" t="s">
        <v>154</v>
      </c>
      <c r="U365" s="1" t="s">
        <v>7144</v>
      </c>
      <c r="V365" s="1">
        <v>9980797785</v>
      </c>
      <c r="W365" s="1" t="s">
        <v>651</v>
      </c>
      <c r="X365" s="1" t="s">
        <v>7145</v>
      </c>
      <c r="Y365" s="1" t="s">
        <v>7146</v>
      </c>
      <c r="Z365" s="1" t="s">
        <v>1084</v>
      </c>
      <c r="AA365" s="1" t="s">
        <v>7145</v>
      </c>
      <c r="AB365" s="1" t="s">
        <v>7146</v>
      </c>
      <c r="AC365" s="1" t="s">
        <v>1084</v>
      </c>
      <c r="AD365" s="1">
        <v>8.46</v>
      </c>
      <c r="AE365" s="1" t="s">
        <v>93</v>
      </c>
      <c r="AF365" s="1" t="s">
        <v>7147</v>
      </c>
      <c r="AG365" s="1" t="s">
        <v>5247</v>
      </c>
      <c r="AH365" s="1" t="s">
        <v>96</v>
      </c>
      <c r="AI365" s="1" t="s">
        <v>131</v>
      </c>
      <c r="AJ365" s="1">
        <v>79.8</v>
      </c>
      <c r="AK365" s="1">
        <v>8.4</v>
      </c>
      <c r="AL365" s="1" t="s">
        <v>7148</v>
      </c>
      <c r="AM365" s="1" t="s">
        <v>7149</v>
      </c>
      <c r="AN365" s="1" t="s">
        <v>162</v>
      </c>
      <c r="AO365" s="1" t="s">
        <v>479</v>
      </c>
      <c r="AP365" s="1">
        <v>89.67</v>
      </c>
      <c r="AQ365" s="1">
        <v>0</v>
      </c>
      <c r="AR365" s="1"/>
      <c r="AS365" s="1"/>
      <c r="AT365" s="1"/>
      <c r="AU365" s="1"/>
      <c r="AV365" s="1"/>
      <c r="AW365" s="1"/>
      <c r="AX365" s="1" t="s">
        <v>1088</v>
      </c>
      <c r="AY365" s="1" t="s">
        <v>7150</v>
      </c>
      <c r="AZ365" s="1" t="s">
        <v>225</v>
      </c>
      <c r="BA365" s="1" t="s">
        <v>436</v>
      </c>
      <c r="BB365" s="1">
        <v>71.8</v>
      </c>
      <c r="BC365" s="1">
        <v>7.93</v>
      </c>
      <c r="BD365" s="1"/>
      <c r="BE365" s="1"/>
      <c r="BF365" s="1"/>
      <c r="BG365" s="1"/>
      <c r="BH365" s="1"/>
      <c r="BI365" s="1"/>
      <c r="BJ365" s="1" t="s">
        <v>7151</v>
      </c>
      <c r="BK365" s="1" t="s">
        <v>7152</v>
      </c>
      <c r="BL365" s="1" t="s">
        <v>5685</v>
      </c>
      <c r="BM365" s="1" t="s">
        <v>7153</v>
      </c>
      <c r="BN365" s="1">
        <v>16</v>
      </c>
      <c r="BO365" s="1" t="s">
        <v>7154</v>
      </c>
      <c r="BP365" s="1" t="str">
        <f>HYPERLINK("https://nconnect.nicmar.ac.in/storage/profile/ProfilePhoto_P25700313_351694.jpg","Download")</f>
        <v>0</v>
      </c>
      <c r="BQ365" s="3"/>
      <c r="BR365" s="3"/>
    </row>
    <row r="366" spans="1:70">
      <c r="A366" s="1" t="s">
        <v>70</v>
      </c>
      <c r="B366" s="1" t="s">
        <v>1269</v>
      </c>
      <c r="C366" s="1" t="s">
        <v>7155</v>
      </c>
      <c r="D366" s="1" t="s">
        <v>7156</v>
      </c>
      <c r="E366" s="1" t="s">
        <v>144</v>
      </c>
      <c r="F366" s="1" t="s">
        <v>7157</v>
      </c>
      <c r="G366" s="1" t="s">
        <v>7158</v>
      </c>
      <c r="H366" s="1" t="s">
        <v>7159</v>
      </c>
      <c r="I366" s="1" t="s">
        <v>7160</v>
      </c>
      <c r="J366" s="1">
        <v>9403661274</v>
      </c>
      <c r="K366" s="1" t="s">
        <v>148</v>
      </c>
      <c r="L366" s="1" t="s">
        <v>7161</v>
      </c>
      <c r="M366" s="1" t="s">
        <v>81</v>
      </c>
      <c r="N366" s="1" t="s">
        <v>1418</v>
      </c>
      <c r="O366" s="1"/>
      <c r="P366" s="1" t="s">
        <v>2505</v>
      </c>
      <c r="Q366" s="1" t="s">
        <v>7162</v>
      </c>
      <c r="R366" s="1" t="s">
        <v>144</v>
      </c>
      <c r="S366" s="1">
        <v>9975571256</v>
      </c>
      <c r="T366" s="1" t="s">
        <v>1351</v>
      </c>
      <c r="U366" s="1" t="s">
        <v>1071</v>
      </c>
      <c r="V366" s="1">
        <v>9404684258</v>
      </c>
      <c r="W366" s="1" t="s">
        <v>651</v>
      </c>
      <c r="X366" s="1" t="s">
        <v>7163</v>
      </c>
      <c r="Y366" s="1" t="s">
        <v>191</v>
      </c>
      <c r="Z366" s="1" t="s">
        <v>92</v>
      </c>
      <c r="AA366" s="1" t="s">
        <v>7163</v>
      </c>
      <c r="AB366" s="1" t="s">
        <v>191</v>
      </c>
      <c r="AC366" s="1" t="s">
        <v>92</v>
      </c>
      <c r="AD366" s="1">
        <v>8.41</v>
      </c>
      <c r="AE366" s="1" t="s">
        <v>93</v>
      </c>
      <c r="AF366" s="1" t="s">
        <v>7164</v>
      </c>
      <c r="AG366" s="1" t="s">
        <v>1086</v>
      </c>
      <c r="AH366" s="1" t="s">
        <v>279</v>
      </c>
      <c r="AI366" s="1" t="s">
        <v>479</v>
      </c>
      <c r="AJ366" s="1">
        <v>84.8</v>
      </c>
      <c r="AK366" s="1"/>
      <c r="AL366" s="1"/>
      <c r="AM366" s="1"/>
      <c r="AN366" s="1"/>
      <c r="AO366" s="1"/>
      <c r="AP366" s="1"/>
      <c r="AQ366" s="1"/>
      <c r="AR366" s="1" t="s">
        <v>98</v>
      </c>
      <c r="AS366" s="1" t="s">
        <v>7165</v>
      </c>
      <c r="AT366" s="1" t="s">
        <v>225</v>
      </c>
      <c r="AU366" s="1" t="s">
        <v>2461</v>
      </c>
      <c r="AV366" s="1">
        <v>82.25</v>
      </c>
      <c r="AW366" s="1"/>
      <c r="AX366" s="1" t="s">
        <v>361</v>
      </c>
      <c r="AY366" s="1" t="s">
        <v>7166</v>
      </c>
      <c r="AZ366" s="1" t="s">
        <v>5484</v>
      </c>
      <c r="BA366" s="1" t="s">
        <v>174</v>
      </c>
      <c r="BB366" s="1">
        <v>77.87</v>
      </c>
      <c r="BC366" s="1">
        <v>8.75</v>
      </c>
      <c r="BD366" s="1"/>
      <c r="BE366" s="1"/>
      <c r="BF366" s="1"/>
      <c r="BG366" s="1"/>
      <c r="BH366" s="1"/>
      <c r="BI366" s="1"/>
      <c r="BJ366" s="1" t="s">
        <v>6733</v>
      </c>
      <c r="BK366" s="1"/>
      <c r="BL366" s="1"/>
      <c r="BM366" s="1" t="s">
        <v>7167</v>
      </c>
      <c r="BN366" s="1">
        <v>4</v>
      </c>
      <c r="BO366" s="1" t="s">
        <v>7168</v>
      </c>
      <c r="BP366" s="1" t="str">
        <f>HYPERLINK("https://nconnect.nicmar.ac.in/storage/profile/ProfilePhoto_P25700314_541362.jpg","Download")</f>
        <v>0</v>
      </c>
      <c r="BQ366" s="3"/>
      <c r="BR366" s="3"/>
    </row>
    <row r="367" spans="1:70">
      <c r="A367" s="1" t="s">
        <v>70</v>
      </c>
      <c r="B367" s="1" t="s">
        <v>1269</v>
      </c>
      <c r="C367" s="1" t="s">
        <v>7169</v>
      </c>
      <c r="D367" s="1" t="s">
        <v>7170</v>
      </c>
      <c r="E367" s="1"/>
      <c r="F367" s="1" t="s">
        <v>3335</v>
      </c>
      <c r="G367" s="1" t="s">
        <v>7171</v>
      </c>
      <c r="H367" s="1" t="s">
        <v>7172</v>
      </c>
      <c r="I367" s="1" t="s">
        <v>7173</v>
      </c>
      <c r="J367" s="1">
        <v>9910143216</v>
      </c>
      <c r="K367" s="1" t="s">
        <v>79</v>
      </c>
      <c r="L367" s="1" t="s">
        <v>7174</v>
      </c>
      <c r="M367" s="1" t="s">
        <v>81</v>
      </c>
      <c r="N367" s="1" t="s">
        <v>241</v>
      </c>
      <c r="O367" s="1"/>
      <c r="P367" s="1" t="s">
        <v>1298</v>
      </c>
      <c r="Q367" s="1" t="s">
        <v>7175</v>
      </c>
      <c r="R367" s="1" t="s">
        <v>7176</v>
      </c>
      <c r="S367" s="1">
        <v>7838414073</v>
      </c>
      <c r="T367" s="1" t="s">
        <v>120</v>
      </c>
      <c r="U367" s="1" t="s">
        <v>7177</v>
      </c>
      <c r="V367" s="1">
        <v>9582989699</v>
      </c>
      <c r="W367" s="1" t="s">
        <v>120</v>
      </c>
      <c r="X367" s="1" t="s">
        <v>7178</v>
      </c>
      <c r="Y367" s="1" t="s">
        <v>7179</v>
      </c>
      <c r="Z367" s="1" t="s">
        <v>722</v>
      </c>
      <c r="AA367" s="1" t="s">
        <v>7178</v>
      </c>
      <c r="AB367" s="1" t="s">
        <v>7179</v>
      </c>
      <c r="AC367" s="1" t="s">
        <v>722</v>
      </c>
      <c r="AD367" s="1">
        <v>8.95</v>
      </c>
      <c r="AE367" s="1" t="s">
        <v>93</v>
      </c>
      <c r="AF367" s="1" t="s">
        <v>7180</v>
      </c>
      <c r="AG367" s="1" t="s">
        <v>7181</v>
      </c>
      <c r="AH367" s="1" t="s">
        <v>131</v>
      </c>
      <c r="AI367" s="1" t="s">
        <v>527</v>
      </c>
      <c r="AJ367" s="1">
        <v>74.1</v>
      </c>
      <c r="AK367" s="1">
        <v>7.8</v>
      </c>
      <c r="AL367" s="1" t="s">
        <v>7180</v>
      </c>
      <c r="AM367" s="1" t="s">
        <v>7182</v>
      </c>
      <c r="AN367" s="1" t="s">
        <v>479</v>
      </c>
      <c r="AO367" s="1" t="s">
        <v>166</v>
      </c>
      <c r="AP367" s="1">
        <v>73</v>
      </c>
      <c r="AQ367" s="1"/>
      <c r="AR367" s="1"/>
      <c r="AS367" s="1"/>
      <c r="AT367" s="1"/>
      <c r="AU367" s="1"/>
      <c r="AV367" s="1"/>
      <c r="AW367" s="1"/>
      <c r="AX367" s="1" t="s">
        <v>7183</v>
      </c>
      <c r="AY367" s="1" t="s">
        <v>7184</v>
      </c>
      <c r="AZ367" s="1" t="s">
        <v>636</v>
      </c>
      <c r="BA367" s="1" t="s">
        <v>284</v>
      </c>
      <c r="BB367" s="1">
        <v>84.4</v>
      </c>
      <c r="BC367" s="1"/>
      <c r="BD367" s="1"/>
      <c r="BE367" s="1"/>
      <c r="BF367" s="1"/>
      <c r="BG367" s="1"/>
      <c r="BH367" s="1"/>
      <c r="BI367" s="1"/>
      <c r="BJ367" s="1" t="s">
        <v>7185</v>
      </c>
      <c r="BK367" s="1"/>
      <c r="BL367" s="1"/>
      <c r="BM367" s="1" t="s">
        <v>7186</v>
      </c>
      <c r="BN367" s="1">
        <v>17</v>
      </c>
      <c r="BO367" s="1" t="s">
        <v>7187</v>
      </c>
      <c r="BP367" s="1" t="str">
        <f>HYPERLINK("https://nconnect.nicmar.ac.in/storage/profile/ProfilePhoto_P25700316_645173.jpg","Download")</f>
        <v>0</v>
      </c>
      <c r="BQ367" s="3"/>
      <c r="BR367" s="3"/>
    </row>
    <row r="368" spans="1:70">
      <c r="A368" s="1" t="s">
        <v>70</v>
      </c>
      <c r="B368" s="1" t="s">
        <v>1269</v>
      </c>
      <c r="C368" s="1" t="s">
        <v>7188</v>
      </c>
      <c r="D368" s="1" t="s">
        <v>6094</v>
      </c>
      <c r="E368" s="1"/>
      <c r="F368" s="1" t="s">
        <v>7189</v>
      </c>
      <c r="G368" s="1" t="s">
        <v>7190</v>
      </c>
      <c r="H368" s="1" t="s">
        <v>7191</v>
      </c>
      <c r="I368" s="1" t="s">
        <v>7192</v>
      </c>
      <c r="J368" s="1">
        <v>7720858074</v>
      </c>
      <c r="K368" s="1" t="s">
        <v>148</v>
      </c>
      <c r="L368" s="1" t="s">
        <v>7193</v>
      </c>
      <c r="M368" s="1" t="s">
        <v>81</v>
      </c>
      <c r="N368" s="1" t="s">
        <v>7194</v>
      </c>
      <c r="O368" s="1"/>
      <c r="P368" s="1" t="s">
        <v>1278</v>
      </c>
      <c r="Q368" s="1" t="s">
        <v>7195</v>
      </c>
      <c r="R368" s="1" t="s">
        <v>513</v>
      </c>
      <c r="S368" s="1">
        <v>9422135541</v>
      </c>
      <c r="T368" s="1" t="s">
        <v>7196</v>
      </c>
      <c r="U368" s="1" t="s">
        <v>7197</v>
      </c>
      <c r="V368" s="1">
        <v>9422140540</v>
      </c>
      <c r="W368" s="1" t="s">
        <v>156</v>
      </c>
      <c r="X368" s="1" t="s">
        <v>7198</v>
      </c>
      <c r="Y368" s="1" t="s">
        <v>1424</v>
      </c>
      <c r="Z368" s="1" t="s">
        <v>92</v>
      </c>
      <c r="AA368" s="1" t="s">
        <v>7198</v>
      </c>
      <c r="AB368" s="1" t="s">
        <v>1424</v>
      </c>
      <c r="AC368" s="1" t="s">
        <v>92</v>
      </c>
      <c r="AD368" s="1">
        <v>8.09</v>
      </c>
      <c r="AE368" s="1" t="s">
        <v>93</v>
      </c>
      <c r="AF368" s="1" t="s">
        <v>7199</v>
      </c>
      <c r="AG368" s="1" t="s">
        <v>476</v>
      </c>
      <c r="AH368" s="1" t="s">
        <v>161</v>
      </c>
      <c r="AI368" s="1" t="s">
        <v>456</v>
      </c>
      <c r="AJ368" s="1">
        <v>71.6</v>
      </c>
      <c r="AK368" s="1"/>
      <c r="AL368" s="1" t="s">
        <v>7200</v>
      </c>
      <c r="AM368" s="1" t="s">
        <v>613</v>
      </c>
      <c r="AN368" s="1" t="s">
        <v>165</v>
      </c>
      <c r="AO368" s="1" t="s">
        <v>281</v>
      </c>
      <c r="AP368" s="1">
        <v>85</v>
      </c>
      <c r="AQ368" s="1"/>
      <c r="AR368" s="1" t="s">
        <v>7201</v>
      </c>
      <c r="AS368" s="1" t="s">
        <v>7202</v>
      </c>
      <c r="AT368" s="1" t="s">
        <v>101</v>
      </c>
      <c r="AU368" s="1" t="s">
        <v>308</v>
      </c>
      <c r="AV368" s="1">
        <v>54.85</v>
      </c>
      <c r="AW368" s="1"/>
      <c r="AX368" s="1" t="s">
        <v>1852</v>
      </c>
      <c r="AY368" s="1" t="s">
        <v>7203</v>
      </c>
      <c r="AZ368" s="1" t="s">
        <v>433</v>
      </c>
      <c r="BA368" s="1" t="s">
        <v>202</v>
      </c>
      <c r="BB368" s="1">
        <v>66.4</v>
      </c>
      <c r="BC368" s="1">
        <v>7.21</v>
      </c>
      <c r="BD368" s="1"/>
      <c r="BE368" s="1"/>
      <c r="BF368" s="1"/>
      <c r="BG368" s="1"/>
      <c r="BH368" s="1"/>
      <c r="BI368" s="1"/>
      <c r="BJ368" s="1" t="s">
        <v>7204</v>
      </c>
      <c r="BK368" s="1"/>
      <c r="BL368" s="1"/>
      <c r="BM368" s="1" t="s">
        <v>7205</v>
      </c>
      <c r="BN368" s="1">
        <v>33</v>
      </c>
      <c r="BO368" s="1"/>
      <c r="BP368" s="1" t="str">
        <f>HYPERLINK("https://nconnect.nicmar.ac.in/storage/profile/ProfilePhoto_P25700317_381597.jpg","Download")</f>
        <v>0</v>
      </c>
      <c r="BQ368" s="3"/>
      <c r="BR368" s="3"/>
    </row>
    <row r="369" spans="1:70">
      <c r="A369" s="1" t="s">
        <v>70</v>
      </c>
      <c r="B369" s="1" t="s">
        <v>1269</v>
      </c>
      <c r="C369" s="1" t="s">
        <v>7206</v>
      </c>
      <c r="D369" s="1" t="s">
        <v>7207</v>
      </c>
      <c r="E369" s="1" t="s">
        <v>7208</v>
      </c>
      <c r="F369" s="1" t="s">
        <v>7209</v>
      </c>
      <c r="G369" s="1" t="s">
        <v>7210</v>
      </c>
      <c r="H369" s="1" t="s">
        <v>7211</v>
      </c>
      <c r="I369" s="1" t="s">
        <v>7212</v>
      </c>
      <c r="J369" s="1">
        <v>9607229977</v>
      </c>
      <c r="K369" s="1" t="s">
        <v>79</v>
      </c>
      <c r="L369" s="1" t="s">
        <v>7213</v>
      </c>
      <c r="M369" s="1" t="s">
        <v>81</v>
      </c>
      <c r="N369" s="1" t="s">
        <v>860</v>
      </c>
      <c r="O369" s="1"/>
      <c r="P369" s="1" t="s">
        <v>1323</v>
      </c>
      <c r="Q369" s="1" t="s">
        <v>7214</v>
      </c>
      <c r="R369" s="1" t="s">
        <v>7215</v>
      </c>
      <c r="S369" s="1">
        <v>9420239215</v>
      </c>
      <c r="T369" s="1" t="s">
        <v>154</v>
      </c>
      <c r="U369" s="1" t="s">
        <v>7216</v>
      </c>
      <c r="V369" s="1">
        <v>9403005017</v>
      </c>
      <c r="W369" s="1" t="s">
        <v>7217</v>
      </c>
      <c r="X369" s="1" t="s">
        <v>7218</v>
      </c>
      <c r="Y369" s="1" t="s">
        <v>191</v>
      </c>
      <c r="Z369" s="1" t="s">
        <v>92</v>
      </c>
      <c r="AA369" s="1" t="s">
        <v>7219</v>
      </c>
      <c r="AB369" s="1" t="s">
        <v>219</v>
      </c>
      <c r="AC369" s="1" t="s">
        <v>92</v>
      </c>
      <c r="AD369" s="1">
        <v>7.71</v>
      </c>
      <c r="AE369" s="1" t="s">
        <v>93</v>
      </c>
      <c r="AF369" s="1" t="s">
        <v>7220</v>
      </c>
      <c r="AG369" s="1" t="s">
        <v>6625</v>
      </c>
      <c r="AH369" s="1" t="s">
        <v>128</v>
      </c>
      <c r="AI369" s="1" t="s">
        <v>101</v>
      </c>
      <c r="AJ369" s="1">
        <v>79.2</v>
      </c>
      <c r="AK369" s="1"/>
      <c r="AL369" s="1"/>
      <c r="AM369" s="1"/>
      <c r="AN369" s="1"/>
      <c r="AO369" s="1"/>
      <c r="AP369" s="1"/>
      <c r="AQ369" s="1"/>
      <c r="AR369" s="1" t="s">
        <v>250</v>
      </c>
      <c r="AS369" s="1" t="s">
        <v>7221</v>
      </c>
      <c r="AT369" s="1" t="s">
        <v>636</v>
      </c>
      <c r="AU369" s="1" t="s">
        <v>1051</v>
      </c>
      <c r="AV369" s="1">
        <v>92.26</v>
      </c>
      <c r="AW369" s="1"/>
      <c r="AX369" s="1" t="s">
        <v>361</v>
      </c>
      <c r="AY369" s="1" t="s">
        <v>7222</v>
      </c>
      <c r="AZ369" s="1" t="s">
        <v>897</v>
      </c>
      <c r="BA369" s="1" t="s">
        <v>202</v>
      </c>
      <c r="BB369" s="1">
        <v>74.6</v>
      </c>
      <c r="BC369" s="1">
        <v>8.3</v>
      </c>
      <c r="BD369" s="1"/>
      <c r="BE369" s="1"/>
      <c r="BF369" s="1"/>
      <c r="BG369" s="1"/>
      <c r="BH369" s="1"/>
      <c r="BI369" s="1"/>
      <c r="BJ369" s="1" t="s">
        <v>7223</v>
      </c>
      <c r="BK369" s="1"/>
      <c r="BL369" s="1"/>
      <c r="BM369" s="1" t="s">
        <v>7224</v>
      </c>
      <c r="BN369" s="1">
        <v>38</v>
      </c>
      <c r="BO369" s="1" t="s">
        <v>7225</v>
      </c>
      <c r="BP369" s="1" t="str">
        <f>HYPERLINK("https://nconnect.nicmar.ac.in/storage/profile/ProfilePhoto_P25700318_763418.jpg","Download")</f>
        <v>0</v>
      </c>
      <c r="BQ369" s="3"/>
      <c r="BR369" s="3"/>
    </row>
    <row r="370" spans="1:70">
      <c r="A370" s="1" t="s">
        <v>70</v>
      </c>
      <c r="B370" s="1" t="s">
        <v>1269</v>
      </c>
      <c r="C370" s="1" t="s">
        <v>7226</v>
      </c>
      <c r="D370" s="1" t="s">
        <v>2692</v>
      </c>
      <c r="E370" s="1"/>
      <c r="F370" s="1" t="s">
        <v>7227</v>
      </c>
      <c r="G370" s="1" t="s">
        <v>7228</v>
      </c>
      <c r="H370" s="1" t="s">
        <v>7229</v>
      </c>
      <c r="I370" s="1" t="s">
        <v>7230</v>
      </c>
      <c r="J370" s="1">
        <v>8390284585</v>
      </c>
      <c r="K370" s="1" t="s">
        <v>79</v>
      </c>
      <c r="L370" s="1" t="s">
        <v>7231</v>
      </c>
      <c r="M370" s="1" t="s">
        <v>81</v>
      </c>
      <c r="N370" s="1" t="s">
        <v>7232</v>
      </c>
      <c r="O370" s="1"/>
      <c r="P370" s="1" t="s">
        <v>1298</v>
      </c>
      <c r="Q370" s="1" t="s">
        <v>7233</v>
      </c>
      <c r="R370" s="1" t="s">
        <v>7234</v>
      </c>
      <c r="S370" s="1">
        <v>9765376109</v>
      </c>
      <c r="T370" s="1" t="s">
        <v>120</v>
      </c>
      <c r="U370" s="1" t="s">
        <v>7235</v>
      </c>
      <c r="V370" s="1">
        <v>9823356378</v>
      </c>
      <c r="W370" s="1" t="s">
        <v>156</v>
      </c>
      <c r="X370" s="1" t="s">
        <v>7236</v>
      </c>
      <c r="Y370" s="1" t="s">
        <v>523</v>
      </c>
      <c r="Z370" s="1" t="s">
        <v>92</v>
      </c>
      <c r="AA370" s="1" t="s">
        <v>7237</v>
      </c>
      <c r="AB370" s="1" t="s">
        <v>7238</v>
      </c>
      <c r="AC370" s="1" t="s">
        <v>500</v>
      </c>
      <c r="AD370" s="1">
        <v>7.68</v>
      </c>
      <c r="AE370" s="1" t="s">
        <v>93</v>
      </c>
      <c r="AF370" s="1" t="s">
        <v>7239</v>
      </c>
      <c r="AG370" s="1" t="s">
        <v>7240</v>
      </c>
      <c r="AH370" s="1" t="s">
        <v>161</v>
      </c>
      <c r="AI370" s="1" t="s">
        <v>527</v>
      </c>
      <c r="AJ370" s="1">
        <v>74.67</v>
      </c>
      <c r="AK370" s="1"/>
      <c r="AL370" s="1" t="s">
        <v>7241</v>
      </c>
      <c r="AM370" s="1" t="s">
        <v>7240</v>
      </c>
      <c r="AN370" s="1" t="s">
        <v>165</v>
      </c>
      <c r="AO370" s="1" t="s">
        <v>1307</v>
      </c>
      <c r="AP370" s="1">
        <v>65.33</v>
      </c>
      <c r="AQ370" s="1"/>
      <c r="AR370" s="1"/>
      <c r="AS370" s="1"/>
      <c r="AT370" s="1"/>
      <c r="AU370" s="1"/>
      <c r="AV370" s="1"/>
      <c r="AW370" s="1"/>
      <c r="AX370" s="1" t="s">
        <v>7242</v>
      </c>
      <c r="AY370" s="1" t="s">
        <v>7243</v>
      </c>
      <c r="AZ370" s="1" t="s">
        <v>636</v>
      </c>
      <c r="BA370" s="1" t="s">
        <v>874</v>
      </c>
      <c r="BB370" s="1">
        <v>60.6</v>
      </c>
      <c r="BC370" s="1"/>
      <c r="BD370" s="1"/>
      <c r="BE370" s="1"/>
      <c r="BF370" s="1"/>
      <c r="BG370" s="1"/>
      <c r="BH370" s="1"/>
      <c r="BI370" s="1"/>
      <c r="BJ370" s="1" t="s">
        <v>7244</v>
      </c>
      <c r="BK370" s="1" t="s">
        <v>7245</v>
      </c>
      <c r="BL370" s="1" t="s">
        <v>5625</v>
      </c>
      <c r="BM370" s="1"/>
      <c r="BN370" s="1"/>
      <c r="BO370" s="1" t="s">
        <v>7246</v>
      </c>
      <c r="BP370" s="1" t="str">
        <f>HYPERLINK("https://nconnect.nicmar.ac.in/storage/profile/ProfilePhoto_P25700320_432967.jpg","Download")</f>
        <v>0</v>
      </c>
      <c r="BQ370" s="3"/>
      <c r="BR370" s="3"/>
    </row>
    <row r="371" spans="1:70">
      <c r="A371" s="1" t="s">
        <v>70</v>
      </c>
      <c r="B371" s="1" t="s">
        <v>1269</v>
      </c>
      <c r="C371" s="1" t="s">
        <v>7247</v>
      </c>
      <c r="D371" s="1" t="s">
        <v>7248</v>
      </c>
      <c r="E371" s="1"/>
      <c r="F371" s="1" t="s">
        <v>7249</v>
      </c>
      <c r="G371" s="1" t="s">
        <v>7250</v>
      </c>
      <c r="H371" s="1" t="s">
        <v>7251</v>
      </c>
      <c r="I371" s="1" t="s">
        <v>7252</v>
      </c>
      <c r="J371" s="1">
        <v>7838940331</v>
      </c>
      <c r="K371" s="1" t="s">
        <v>79</v>
      </c>
      <c r="L371" s="1" t="s">
        <v>7253</v>
      </c>
      <c r="M371" s="1" t="s">
        <v>81</v>
      </c>
      <c r="N371" s="1" t="s">
        <v>7254</v>
      </c>
      <c r="O371" s="1"/>
      <c r="P371" s="1" t="s">
        <v>1766</v>
      </c>
      <c r="Q371" s="1" t="s">
        <v>7255</v>
      </c>
      <c r="R371" s="1" t="s">
        <v>7256</v>
      </c>
      <c r="S371" s="1">
        <v>9650036051</v>
      </c>
      <c r="T371" s="1" t="s">
        <v>7257</v>
      </c>
      <c r="U371" s="1" t="s">
        <v>7258</v>
      </c>
      <c r="V371" s="1">
        <v>9650036051</v>
      </c>
      <c r="W371" s="1" t="s">
        <v>156</v>
      </c>
      <c r="X371" s="1" t="s">
        <v>7259</v>
      </c>
      <c r="Y371" s="1" t="s">
        <v>191</v>
      </c>
      <c r="Z371" s="1" t="s">
        <v>92</v>
      </c>
      <c r="AA371" s="1" t="s">
        <v>7260</v>
      </c>
      <c r="AB371" s="1" t="s">
        <v>2548</v>
      </c>
      <c r="AC371" s="1" t="s">
        <v>722</v>
      </c>
      <c r="AD371" s="1">
        <v>8.07</v>
      </c>
      <c r="AE371" s="1" t="s">
        <v>93</v>
      </c>
      <c r="AF371" s="1" t="s">
        <v>7261</v>
      </c>
      <c r="AG371" s="1" t="s">
        <v>7262</v>
      </c>
      <c r="AH371" s="1" t="s">
        <v>1307</v>
      </c>
      <c r="AI371" s="1" t="s">
        <v>308</v>
      </c>
      <c r="AJ371" s="1">
        <v>93.4</v>
      </c>
      <c r="AK371" s="1">
        <v>0</v>
      </c>
      <c r="AL371" s="1" t="s">
        <v>7261</v>
      </c>
      <c r="AM371" s="1" t="s">
        <v>7262</v>
      </c>
      <c r="AN371" s="1" t="s">
        <v>1833</v>
      </c>
      <c r="AO371" s="1" t="s">
        <v>506</v>
      </c>
      <c r="AP371" s="1">
        <v>85.6</v>
      </c>
      <c r="AQ371" s="1">
        <v>0</v>
      </c>
      <c r="AR371" s="1"/>
      <c r="AS371" s="1"/>
      <c r="AT371" s="1"/>
      <c r="AU371" s="1"/>
      <c r="AV371" s="1"/>
      <c r="AW371" s="1"/>
      <c r="AX371" s="1" t="s">
        <v>7263</v>
      </c>
      <c r="AY371" s="1" t="s">
        <v>7264</v>
      </c>
      <c r="AZ371" s="1" t="s">
        <v>897</v>
      </c>
      <c r="BA371" s="1" t="s">
        <v>1361</v>
      </c>
      <c r="BB371" s="1">
        <v>87.9</v>
      </c>
      <c r="BC371" s="1">
        <v>8.79</v>
      </c>
      <c r="BD371" s="1"/>
      <c r="BE371" s="1"/>
      <c r="BF371" s="1"/>
      <c r="BG371" s="1"/>
      <c r="BH371" s="1"/>
      <c r="BI371" s="1"/>
      <c r="BJ371" s="1" t="s">
        <v>255</v>
      </c>
      <c r="BK371" s="1"/>
      <c r="BL371" s="1"/>
      <c r="BM371" s="1" t="s">
        <v>7265</v>
      </c>
      <c r="BN371" s="1">
        <v>60</v>
      </c>
      <c r="BO371" s="1" t="s">
        <v>7266</v>
      </c>
      <c r="BP371" s="1" t="str">
        <f>HYPERLINK("https://nconnect.nicmar.ac.in/storage/profile/ProfilePhoto_P25700321_248693.jpg","Download")</f>
        <v>0</v>
      </c>
      <c r="BQ371" s="3"/>
      <c r="BR371" s="3"/>
    </row>
    <row r="372" spans="1:70">
      <c r="A372" s="1" t="s">
        <v>70</v>
      </c>
      <c r="B372" s="1" t="s">
        <v>1269</v>
      </c>
      <c r="C372" s="1" t="s">
        <v>7267</v>
      </c>
      <c r="D372" s="1" t="s">
        <v>7268</v>
      </c>
      <c r="E372" s="1"/>
      <c r="F372" s="1" t="s">
        <v>7269</v>
      </c>
      <c r="G372" s="1" t="s">
        <v>7270</v>
      </c>
      <c r="H372" s="1" t="s">
        <v>7271</v>
      </c>
      <c r="I372" s="1" t="s">
        <v>7272</v>
      </c>
      <c r="J372" s="1">
        <v>8848590645</v>
      </c>
      <c r="K372" s="1" t="s">
        <v>79</v>
      </c>
      <c r="L372" s="1" t="s">
        <v>7273</v>
      </c>
      <c r="M372" s="1" t="s">
        <v>81</v>
      </c>
      <c r="N372" s="1" t="s">
        <v>7274</v>
      </c>
      <c r="O372" s="1"/>
      <c r="P372" s="1" t="s">
        <v>1278</v>
      </c>
      <c r="Q372" s="1" t="s">
        <v>7275</v>
      </c>
      <c r="R372" s="1" t="s">
        <v>7276</v>
      </c>
      <c r="S372" s="1">
        <v>9495679411</v>
      </c>
      <c r="T372" s="1" t="s">
        <v>7277</v>
      </c>
      <c r="U372" s="1" t="s">
        <v>7278</v>
      </c>
      <c r="V372" s="1">
        <v>8281733209</v>
      </c>
      <c r="W372" s="1" t="s">
        <v>7277</v>
      </c>
      <c r="X372" s="1" t="s">
        <v>7279</v>
      </c>
      <c r="Y372" s="1" t="s">
        <v>3988</v>
      </c>
      <c r="Z372" s="1" t="s">
        <v>125</v>
      </c>
      <c r="AA372" s="1" t="s">
        <v>7279</v>
      </c>
      <c r="AB372" s="1" t="s">
        <v>3988</v>
      </c>
      <c r="AC372" s="1" t="s">
        <v>125</v>
      </c>
      <c r="AD372" s="1">
        <v>8.64</v>
      </c>
      <c r="AE372" s="1" t="s">
        <v>93</v>
      </c>
      <c r="AF372" s="1" t="s">
        <v>7280</v>
      </c>
      <c r="AG372" s="1" t="s">
        <v>7281</v>
      </c>
      <c r="AH372" s="1" t="s">
        <v>678</v>
      </c>
      <c r="AI372" s="1" t="s">
        <v>166</v>
      </c>
      <c r="AJ372" s="1">
        <v>92.6</v>
      </c>
      <c r="AK372" s="1"/>
      <c r="AL372" s="1" t="s">
        <v>7280</v>
      </c>
      <c r="AM372" s="1" t="s">
        <v>7281</v>
      </c>
      <c r="AN372" s="1" t="s">
        <v>1065</v>
      </c>
      <c r="AO372" s="1" t="s">
        <v>173</v>
      </c>
      <c r="AP372" s="1">
        <v>90.2</v>
      </c>
      <c r="AQ372" s="1"/>
      <c r="AR372" s="1"/>
      <c r="AS372" s="1"/>
      <c r="AT372" s="1"/>
      <c r="AU372" s="1"/>
      <c r="AV372" s="1"/>
      <c r="AW372" s="1"/>
      <c r="AX372" s="1" t="s">
        <v>132</v>
      </c>
      <c r="AY372" s="1" t="s">
        <v>7282</v>
      </c>
      <c r="AZ372" s="1" t="s">
        <v>1407</v>
      </c>
      <c r="BA372" s="1" t="s">
        <v>1408</v>
      </c>
      <c r="BB372" s="1">
        <v>71.4</v>
      </c>
      <c r="BC372" s="1"/>
      <c r="BD372" s="1"/>
      <c r="BE372" s="1"/>
      <c r="BF372" s="1"/>
      <c r="BG372" s="1"/>
      <c r="BH372" s="1"/>
      <c r="BI372" s="1"/>
      <c r="BJ372" s="1" t="s">
        <v>7283</v>
      </c>
      <c r="BK372" s="1"/>
      <c r="BL372" s="1"/>
      <c r="BM372" s="1" t="s">
        <v>7284</v>
      </c>
      <c r="BN372" s="1">
        <v>9</v>
      </c>
      <c r="BO372" s="1"/>
      <c r="BP372" s="1" t="str">
        <f>HYPERLINK("https://nconnect.nicmar.ac.in/storage/profile/ProfilePhoto_P25700322_174659.jpg","Download")</f>
        <v>0</v>
      </c>
      <c r="BQ372" s="3"/>
      <c r="BR372" s="3"/>
    </row>
    <row r="373" spans="1:70">
      <c r="A373" s="1" t="s">
        <v>70</v>
      </c>
      <c r="B373" s="1" t="s">
        <v>1269</v>
      </c>
      <c r="C373" s="1" t="s">
        <v>7285</v>
      </c>
      <c r="D373" s="1" t="s">
        <v>7286</v>
      </c>
      <c r="E373" s="1"/>
      <c r="F373" s="1" t="s">
        <v>7287</v>
      </c>
      <c r="G373" s="1" t="s">
        <v>7288</v>
      </c>
      <c r="H373" s="1" t="s">
        <v>7289</v>
      </c>
      <c r="I373" s="1" t="s">
        <v>7290</v>
      </c>
      <c r="J373" s="1">
        <v>7385659046</v>
      </c>
      <c r="K373" s="1" t="s">
        <v>79</v>
      </c>
      <c r="L373" s="1" t="s">
        <v>7291</v>
      </c>
      <c r="M373" s="1" t="s">
        <v>81</v>
      </c>
      <c r="N373" s="1" t="s">
        <v>7292</v>
      </c>
      <c r="O373" s="1"/>
      <c r="P373" s="1" t="s">
        <v>1323</v>
      </c>
      <c r="Q373" s="1" t="s">
        <v>7293</v>
      </c>
      <c r="R373" s="1" t="s">
        <v>7294</v>
      </c>
      <c r="S373" s="1">
        <v>7030882121</v>
      </c>
      <c r="T373" s="1" t="s">
        <v>7295</v>
      </c>
      <c r="U373" s="1" t="s">
        <v>7296</v>
      </c>
      <c r="V373" s="1">
        <v>9970767523</v>
      </c>
      <c r="W373" s="1" t="s">
        <v>122</v>
      </c>
      <c r="X373" s="1" t="s">
        <v>7297</v>
      </c>
      <c r="Y373" s="1" t="s">
        <v>158</v>
      </c>
      <c r="Z373" s="1" t="s">
        <v>92</v>
      </c>
      <c r="AA373" s="1" t="s">
        <v>7297</v>
      </c>
      <c r="AB373" s="1" t="s">
        <v>158</v>
      </c>
      <c r="AC373" s="1" t="s">
        <v>92</v>
      </c>
      <c r="AD373" s="1">
        <v>7.34</v>
      </c>
      <c r="AE373" s="1" t="s">
        <v>93</v>
      </c>
      <c r="AF373" s="1" t="s">
        <v>5482</v>
      </c>
      <c r="AG373" s="1" t="s">
        <v>7298</v>
      </c>
      <c r="AH373" s="1" t="s">
        <v>503</v>
      </c>
      <c r="AI373" s="1" t="s">
        <v>162</v>
      </c>
      <c r="AJ373" s="1">
        <v>80.4</v>
      </c>
      <c r="AK373" s="1"/>
      <c r="AL373" s="1" t="s">
        <v>7299</v>
      </c>
      <c r="AM373" s="1" t="s">
        <v>7298</v>
      </c>
      <c r="AN373" s="1" t="s">
        <v>162</v>
      </c>
      <c r="AO373" s="1" t="s">
        <v>101</v>
      </c>
      <c r="AP373" s="1">
        <v>74.15</v>
      </c>
      <c r="AQ373" s="1"/>
      <c r="AR373" s="1"/>
      <c r="AS373" s="1"/>
      <c r="AT373" s="1"/>
      <c r="AU373" s="1"/>
      <c r="AV373" s="1"/>
      <c r="AW373" s="1"/>
      <c r="AX373" s="1" t="s">
        <v>7300</v>
      </c>
      <c r="AY373" s="1" t="s">
        <v>7301</v>
      </c>
      <c r="AZ373" s="1" t="s">
        <v>310</v>
      </c>
      <c r="BA373" s="1" t="s">
        <v>481</v>
      </c>
      <c r="BB373" s="1">
        <v>81.6</v>
      </c>
      <c r="BC373" s="1">
        <v>8.66</v>
      </c>
      <c r="BD373" s="1"/>
      <c r="BE373" s="1"/>
      <c r="BF373" s="1"/>
      <c r="BG373" s="1"/>
      <c r="BH373" s="1"/>
      <c r="BI373" s="1"/>
      <c r="BJ373" s="1" t="s">
        <v>364</v>
      </c>
      <c r="BK373" s="1"/>
      <c r="BL373" s="1"/>
      <c r="BM373" s="1" t="s">
        <v>7302</v>
      </c>
      <c r="BN373" s="1">
        <v>5</v>
      </c>
      <c r="BO373" s="1"/>
      <c r="BP373" s="1" t="str">
        <f>HYPERLINK("https://nconnect.nicmar.ac.in/storage/profile/ProfilePhoto_P25700323_852916.jpg","Download")</f>
        <v>0</v>
      </c>
      <c r="BQ373" s="3"/>
      <c r="BR373" s="3"/>
    </row>
    <row r="374" spans="1:70">
      <c r="A374" s="1" t="s">
        <v>70</v>
      </c>
      <c r="B374" s="1" t="s">
        <v>1269</v>
      </c>
      <c r="C374" s="1" t="s">
        <v>7303</v>
      </c>
      <c r="D374" s="1" t="s">
        <v>7304</v>
      </c>
      <c r="E374" s="1"/>
      <c r="F374" s="1" t="s">
        <v>6521</v>
      </c>
      <c r="G374" s="1" t="s">
        <v>7305</v>
      </c>
      <c r="H374" s="1" t="s">
        <v>7306</v>
      </c>
      <c r="I374" s="1" t="s">
        <v>7307</v>
      </c>
      <c r="J374" s="1">
        <v>9720745458</v>
      </c>
      <c r="K374" s="1" t="s">
        <v>79</v>
      </c>
      <c r="L374" s="1" t="s">
        <v>7308</v>
      </c>
      <c r="M374" s="1" t="s">
        <v>81</v>
      </c>
      <c r="N374" s="1" t="s">
        <v>350</v>
      </c>
      <c r="O374" s="1"/>
      <c r="P374" s="1" t="s">
        <v>1323</v>
      </c>
      <c r="Q374" s="1" t="s">
        <v>7309</v>
      </c>
      <c r="R374" s="1" t="s">
        <v>7310</v>
      </c>
      <c r="S374" s="1">
        <v>9719832735</v>
      </c>
      <c r="T374" s="1" t="s">
        <v>154</v>
      </c>
      <c r="U374" s="1" t="s">
        <v>7311</v>
      </c>
      <c r="V374" s="1">
        <v>8006914895</v>
      </c>
      <c r="W374" s="1" t="s">
        <v>89</v>
      </c>
      <c r="X374" s="1" t="s">
        <v>7312</v>
      </c>
      <c r="Y374" s="1" t="s">
        <v>1663</v>
      </c>
      <c r="Z374" s="1" t="s">
        <v>1355</v>
      </c>
      <c r="AA374" s="1" t="s">
        <v>7312</v>
      </c>
      <c r="AB374" s="1" t="s">
        <v>1663</v>
      </c>
      <c r="AC374" s="1" t="s">
        <v>1355</v>
      </c>
      <c r="AD374" s="1">
        <v>8.04</v>
      </c>
      <c r="AE374" s="1" t="s">
        <v>93</v>
      </c>
      <c r="AF374" s="1" t="s">
        <v>7313</v>
      </c>
      <c r="AG374" s="1" t="s">
        <v>7314</v>
      </c>
      <c r="AH374" s="1" t="s">
        <v>678</v>
      </c>
      <c r="AI374" s="1" t="s">
        <v>166</v>
      </c>
      <c r="AJ374" s="1">
        <v>76.4</v>
      </c>
      <c r="AK374" s="1"/>
      <c r="AL374" s="1" t="s">
        <v>7315</v>
      </c>
      <c r="AM374" s="1" t="s">
        <v>7314</v>
      </c>
      <c r="AN374" s="1" t="s">
        <v>1065</v>
      </c>
      <c r="AO374" s="1" t="s">
        <v>173</v>
      </c>
      <c r="AP374" s="1">
        <v>75</v>
      </c>
      <c r="AQ374" s="1"/>
      <c r="AR374" s="1"/>
      <c r="AS374" s="1"/>
      <c r="AT374" s="1"/>
      <c r="AU374" s="1"/>
      <c r="AV374" s="1"/>
      <c r="AW374" s="1"/>
      <c r="AX374" s="1" t="s">
        <v>7316</v>
      </c>
      <c r="AY374" s="1" t="s">
        <v>7317</v>
      </c>
      <c r="AZ374" s="1" t="s">
        <v>681</v>
      </c>
      <c r="BA374" s="1" t="s">
        <v>1938</v>
      </c>
      <c r="BB374" s="1">
        <v>73.6</v>
      </c>
      <c r="BC374" s="1">
        <v>7.36</v>
      </c>
      <c r="BD374" s="1"/>
      <c r="BE374" s="1"/>
      <c r="BF374" s="1"/>
      <c r="BG374" s="1"/>
      <c r="BH374" s="1"/>
      <c r="BI374" s="1"/>
      <c r="BJ374" s="1" t="s">
        <v>1383</v>
      </c>
      <c r="BK374" s="1"/>
      <c r="BL374" s="1"/>
      <c r="BM374" s="1" t="s">
        <v>7318</v>
      </c>
      <c r="BN374" s="1">
        <v>6</v>
      </c>
      <c r="BO374" s="1"/>
      <c r="BP374" s="1" t="str">
        <f>HYPERLINK("https://nconnect.nicmar.ac.in/storage/profile/ProfilePhoto_P25700324_649581.jpg","Download")</f>
        <v>0</v>
      </c>
      <c r="BQ374" s="3"/>
      <c r="BR374" s="3"/>
    </row>
    <row r="375" spans="1:70">
      <c r="A375" s="1" t="s">
        <v>70</v>
      </c>
      <c r="B375" s="1" t="s">
        <v>1269</v>
      </c>
      <c r="C375" s="1" t="s">
        <v>7319</v>
      </c>
      <c r="D375" s="1" t="s">
        <v>6465</v>
      </c>
      <c r="E375" s="1" t="s">
        <v>7320</v>
      </c>
      <c r="F375" s="1" t="s">
        <v>7321</v>
      </c>
      <c r="G375" s="1" t="s">
        <v>7322</v>
      </c>
      <c r="H375" s="1" t="s">
        <v>7323</v>
      </c>
      <c r="I375" s="1" t="s">
        <v>7324</v>
      </c>
      <c r="J375" s="1">
        <v>8866685393</v>
      </c>
      <c r="K375" s="1" t="s">
        <v>79</v>
      </c>
      <c r="L375" s="1" t="s">
        <v>7325</v>
      </c>
      <c r="M375" s="1" t="s">
        <v>81</v>
      </c>
      <c r="N375" s="1" t="s">
        <v>7326</v>
      </c>
      <c r="O375" s="1"/>
      <c r="P375" s="1" t="s">
        <v>1323</v>
      </c>
      <c r="Q375" s="1" t="s">
        <v>7327</v>
      </c>
      <c r="R375" s="1" t="s">
        <v>7328</v>
      </c>
      <c r="S375" s="1">
        <v>9879360698</v>
      </c>
      <c r="T375" s="1" t="s">
        <v>7329</v>
      </c>
      <c r="U375" s="1" t="s">
        <v>7330</v>
      </c>
      <c r="V375" s="1">
        <v>7874786501</v>
      </c>
      <c r="W375" s="1" t="s">
        <v>122</v>
      </c>
      <c r="X375" s="1" t="s">
        <v>7331</v>
      </c>
      <c r="Y375" s="1" t="s">
        <v>5873</v>
      </c>
      <c r="Z375" s="1" t="s">
        <v>1468</v>
      </c>
      <c r="AA375" s="1" t="s">
        <v>7331</v>
      </c>
      <c r="AB375" s="1" t="s">
        <v>5873</v>
      </c>
      <c r="AC375" s="1" t="s">
        <v>1468</v>
      </c>
      <c r="AD375" s="1">
        <v>9.02</v>
      </c>
      <c r="AE375" s="1" t="s">
        <v>93</v>
      </c>
      <c r="AF375" s="1" t="s">
        <v>7332</v>
      </c>
      <c r="AG375" s="1" t="s">
        <v>7333</v>
      </c>
      <c r="AH375" s="1" t="s">
        <v>96</v>
      </c>
      <c r="AI375" s="1" t="s">
        <v>97</v>
      </c>
      <c r="AJ375" s="1">
        <v>71.5</v>
      </c>
      <c r="AK375" s="1">
        <v>0</v>
      </c>
      <c r="AL375" s="1" t="s">
        <v>7332</v>
      </c>
      <c r="AM375" s="1" t="s">
        <v>7333</v>
      </c>
      <c r="AN375" s="1" t="s">
        <v>162</v>
      </c>
      <c r="AO375" s="1" t="s">
        <v>195</v>
      </c>
      <c r="AP375" s="1">
        <v>64</v>
      </c>
      <c r="AQ375" s="1">
        <v>0</v>
      </c>
      <c r="AR375" s="1"/>
      <c r="AS375" s="1"/>
      <c r="AT375" s="1"/>
      <c r="AU375" s="1"/>
      <c r="AV375" s="1"/>
      <c r="AW375" s="1"/>
      <c r="AX375" s="1" t="s">
        <v>5975</v>
      </c>
      <c r="AY375" s="1" t="s">
        <v>7334</v>
      </c>
      <c r="AZ375" s="1" t="s">
        <v>383</v>
      </c>
      <c r="BA375" s="1" t="s">
        <v>1131</v>
      </c>
      <c r="BB375" s="1">
        <v>77.8</v>
      </c>
      <c r="BC375" s="1">
        <v>8.28</v>
      </c>
      <c r="BD375" s="1"/>
      <c r="BE375" s="1"/>
      <c r="BF375" s="1"/>
      <c r="BG375" s="1"/>
      <c r="BH375" s="1"/>
      <c r="BI375" s="1"/>
      <c r="BJ375" s="1" t="s">
        <v>7335</v>
      </c>
      <c r="BK375" s="1" t="s">
        <v>7336</v>
      </c>
      <c r="BL375" s="1" t="s">
        <v>7337</v>
      </c>
      <c r="BM375" s="1" t="s">
        <v>7338</v>
      </c>
      <c r="BN375" s="1">
        <v>9</v>
      </c>
      <c r="BO375" s="1" t="s">
        <v>7339</v>
      </c>
      <c r="BP375" s="1" t="str">
        <f>HYPERLINK("https://nconnect.nicmar.ac.in/storage/profile/6a6247e7c603e.png","Download")</f>
        <v>0</v>
      </c>
      <c r="BQ375" s="3"/>
      <c r="BR375" s="3"/>
    </row>
    <row r="376" spans="1:70">
      <c r="A376" s="1" t="s">
        <v>70</v>
      </c>
      <c r="B376" s="1" t="s">
        <v>1269</v>
      </c>
      <c r="C376" s="1" t="s">
        <v>7340</v>
      </c>
      <c r="D376" s="1" t="s">
        <v>7341</v>
      </c>
      <c r="E376" s="1"/>
      <c r="F376" s="1" t="s">
        <v>7342</v>
      </c>
      <c r="G376" s="1" t="s">
        <v>7343</v>
      </c>
      <c r="H376" s="1" t="s">
        <v>7344</v>
      </c>
      <c r="I376" s="1" t="s">
        <v>7345</v>
      </c>
      <c r="J376" s="1">
        <v>8618327899</v>
      </c>
      <c r="K376" s="1" t="s">
        <v>148</v>
      </c>
      <c r="L376" s="1" t="s">
        <v>7346</v>
      </c>
      <c r="M376" s="1" t="s">
        <v>81</v>
      </c>
      <c r="N376" s="1" t="s">
        <v>7347</v>
      </c>
      <c r="O376" s="1"/>
      <c r="P376" s="1" t="s">
        <v>1323</v>
      </c>
      <c r="Q376" s="1" t="s">
        <v>7348</v>
      </c>
      <c r="R376" s="1" t="s">
        <v>7349</v>
      </c>
      <c r="S376" s="1">
        <v>7338431029</v>
      </c>
      <c r="T376" s="1" t="s">
        <v>120</v>
      </c>
      <c r="U376" s="1" t="s">
        <v>7350</v>
      </c>
      <c r="V376" s="1">
        <v>9535545539</v>
      </c>
      <c r="W376" s="1" t="s">
        <v>2395</v>
      </c>
      <c r="X376" s="1" t="s">
        <v>7351</v>
      </c>
      <c r="Y376" s="1" t="s">
        <v>1083</v>
      </c>
      <c r="Z376" s="1" t="s">
        <v>1084</v>
      </c>
      <c r="AA376" s="1" t="s">
        <v>7351</v>
      </c>
      <c r="AB376" s="1" t="s">
        <v>1083</v>
      </c>
      <c r="AC376" s="1" t="s">
        <v>1084</v>
      </c>
      <c r="AD376" s="1">
        <v>8.66</v>
      </c>
      <c r="AE376" s="1" t="s">
        <v>93</v>
      </c>
      <c r="AF376" s="1" t="s">
        <v>7352</v>
      </c>
      <c r="AG376" s="1" t="s">
        <v>7353</v>
      </c>
      <c r="AH376" s="1" t="s">
        <v>166</v>
      </c>
      <c r="AI376" s="1" t="s">
        <v>308</v>
      </c>
      <c r="AJ376" s="1">
        <v>81.9</v>
      </c>
      <c r="AK376" s="1">
        <v>0</v>
      </c>
      <c r="AL376" s="1" t="s">
        <v>5366</v>
      </c>
      <c r="AM376" s="1" t="s">
        <v>2056</v>
      </c>
      <c r="AN376" s="1" t="s">
        <v>310</v>
      </c>
      <c r="AO376" s="1" t="s">
        <v>506</v>
      </c>
      <c r="AP376" s="1">
        <v>91.5</v>
      </c>
      <c r="AQ376" s="1">
        <v>0</v>
      </c>
      <c r="AR376" s="1"/>
      <c r="AS376" s="1"/>
      <c r="AT376" s="1"/>
      <c r="AU376" s="1"/>
      <c r="AV376" s="1"/>
      <c r="AW376" s="1"/>
      <c r="AX376" s="1" t="s">
        <v>7354</v>
      </c>
      <c r="AY376" s="1" t="s">
        <v>7355</v>
      </c>
      <c r="AZ376" s="1" t="s">
        <v>135</v>
      </c>
      <c r="BA376" s="1" t="s">
        <v>1361</v>
      </c>
      <c r="BB376" s="1">
        <v>76.3</v>
      </c>
      <c r="BC376" s="1">
        <v>7.63</v>
      </c>
      <c r="BD376" s="1"/>
      <c r="BE376" s="1"/>
      <c r="BF376" s="1"/>
      <c r="BG376" s="1"/>
      <c r="BH376" s="1"/>
      <c r="BI376" s="1"/>
      <c r="BJ376" s="1" t="s">
        <v>364</v>
      </c>
      <c r="BK376" s="1"/>
      <c r="BL376" s="1"/>
      <c r="BM376" s="1" t="s">
        <v>7356</v>
      </c>
      <c r="BN376" s="1">
        <v>4</v>
      </c>
      <c r="BO376" s="1" t="s">
        <v>5608</v>
      </c>
      <c r="BP376" s="1" t="str">
        <f>HYPERLINK("https://nconnect.nicmar.ac.in/storage/profile/ProfilePhoto_P25700327_437895.jpg","Download")</f>
        <v>0</v>
      </c>
      <c r="BQ376" s="3"/>
      <c r="BR376" s="3"/>
    </row>
    <row r="377" spans="1:70">
      <c r="A377" s="1" t="s">
        <v>70</v>
      </c>
      <c r="B377" s="1" t="s">
        <v>1269</v>
      </c>
      <c r="C377" s="1" t="s">
        <v>7357</v>
      </c>
      <c r="D377" s="1" t="s">
        <v>7358</v>
      </c>
      <c r="E377" s="1" t="s">
        <v>4143</v>
      </c>
      <c r="F377" s="1" t="s">
        <v>144</v>
      </c>
      <c r="G377" s="1" t="s">
        <v>7359</v>
      </c>
      <c r="H377" s="1" t="s">
        <v>7360</v>
      </c>
      <c r="I377" s="1" t="s">
        <v>7361</v>
      </c>
      <c r="J377" s="1">
        <v>9730221414</v>
      </c>
      <c r="K377" s="1" t="s">
        <v>79</v>
      </c>
      <c r="L377" s="1" t="s">
        <v>7362</v>
      </c>
      <c r="M377" s="1" t="s">
        <v>81</v>
      </c>
      <c r="N377" s="1" t="s">
        <v>1418</v>
      </c>
      <c r="O377" s="1"/>
      <c r="P377" s="1" t="s">
        <v>1298</v>
      </c>
      <c r="Q377" s="1" t="s">
        <v>7363</v>
      </c>
      <c r="R377" s="1" t="s">
        <v>7364</v>
      </c>
      <c r="S377" s="1">
        <v>9403846002</v>
      </c>
      <c r="T377" s="1" t="s">
        <v>7365</v>
      </c>
      <c r="U377" s="1" t="s">
        <v>7366</v>
      </c>
      <c r="V377" s="1">
        <v>7038720012</v>
      </c>
      <c r="W377" s="1" t="s">
        <v>156</v>
      </c>
      <c r="X377" s="1" t="s">
        <v>7367</v>
      </c>
      <c r="Y377" s="1" t="s">
        <v>191</v>
      </c>
      <c r="Z377" s="1" t="s">
        <v>92</v>
      </c>
      <c r="AA377" s="1" t="s">
        <v>7368</v>
      </c>
      <c r="AB377" s="1" t="s">
        <v>4322</v>
      </c>
      <c r="AC377" s="1" t="s">
        <v>92</v>
      </c>
      <c r="AD377" s="1">
        <v>8.58</v>
      </c>
      <c r="AE377" s="1" t="s">
        <v>93</v>
      </c>
      <c r="AF377" s="1" t="s">
        <v>7369</v>
      </c>
      <c r="AG377" s="1" t="s">
        <v>544</v>
      </c>
      <c r="AH377" s="1" t="s">
        <v>165</v>
      </c>
      <c r="AI377" s="1" t="s">
        <v>281</v>
      </c>
      <c r="AJ377" s="1">
        <v>98.4</v>
      </c>
      <c r="AK377" s="1">
        <v>0</v>
      </c>
      <c r="AL377" s="1" t="s">
        <v>1130</v>
      </c>
      <c r="AM377" s="1" t="s">
        <v>544</v>
      </c>
      <c r="AN377" s="1" t="s">
        <v>310</v>
      </c>
      <c r="AO377" s="1" t="s">
        <v>360</v>
      </c>
      <c r="AP377" s="1">
        <v>81.23</v>
      </c>
      <c r="AQ377" s="1">
        <v>0</v>
      </c>
      <c r="AR377" s="1"/>
      <c r="AS377" s="1"/>
      <c r="AT377" s="1"/>
      <c r="AU377" s="1"/>
      <c r="AV377" s="1"/>
      <c r="AW377" s="1"/>
      <c r="AX377" s="1" t="s">
        <v>361</v>
      </c>
      <c r="AY377" s="1" t="s">
        <v>7370</v>
      </c>
      <c r="AZ377" s="1" t="s">
        <v>2461</v>
      </c>
      <c r="BA377" s="1" t="s">
        <v>1408</v>
      </c>
      <c r="BB377" s="1">
        <v>74.9</v>
      </c>
      <c r="BC377" s="1">
        <v>8.24</v>
      </c>
      <c r="BD377" s="1"/>
      <c r="BE377" s="1"/>
      <c r="BF377" s="1"/>
      <c r="BG377" s="1"/>
      <c r="BH377" s="1"/>
      <c r="BI377" s="1"/>
      <c r="BJ377" s="1" t="s">
        <v>7371</v>
      </c>
      <c r="BK377" s="1"/>
      <c r="BL377" s="1"/>
      <c r="BM377" s="1" t="s">
        <v>7372</v>
      </c>
      <c r="BN377" s="1">
        <v>27</v>
      </c>
      <c r="BO377" s="1" t="s">
        <v>7373</v>
      </c>
      <c r="BP377" s="1" t="str">
        <f>HYPERLINK("https://nconnect.nicmar.ac.in/storage/profile/ProfilePhoto_P25700328_694123.jpg","Download")</f>
        <v>0</v>
      </c>
      <c r="BQ377" s="3"/>
      <c r="BR377" s="3"/>
    </row>
    <row r="378" spans="1:70">
      <c r="A378" s="1" t="s">
        <v>70</v>
      </c>
      <c r="B378" s="1" t="s">
        <v>1269</v>
      </c>
      <c r="C378" s="1" t="s">
        <v>7374</v>
      </c>
      <c r="D378" s="1" t="s">
        <v>7375</v>
      </c>
      <c r="E378" s="1" t="s">
        <v>7376</v>
      </c>
      <c r="F378" s="1" t="s">
        <v>3754</v>
      </c>
      <c r="G378" s="1" t="s">
        <v>7377</v>
      </c>
      <c r="H378" s="1" t="s">
        <v>7378</v>
      </c>
      <c r="I378" s="1" t="s">
        <v>7379</v>
      </c>
      <c r="J378" s="1">
        <v>9604854747</v>
      </c>
      <c r="K378" s="1" t="s">
        <v>148</v>
      </c>
      <c r="L378" s="1" t="s">
        <v>7380</v>
      </c>
      <c r="M378" s="1" t="s">
        <v>81</v>
      </c>
      <c r="N378" s="1" t="s">
        <v>860</v>
      </c>
      <c r="O378" s="1"/>
      <c r="P378" s="1" t="s">
        <v>1298</v>
      </c>
      <c r="Q378" s="1" t="s">
        <v>7381</v>
      </c>
      <c r="R378" s="1" t="s">
        <v>7376</v>
      </c>
      <c r="S378" s="1">
        <v>8459551170</v>
      </c>
      <c r="T378" s="1" t="s">
        <v>122</v>
      </c>
      <c r="U378" s="1" t="s">
        <v>2699</v>
      </c>
      <c r="V378" s="1">
        <v>8208876304</v>
      </c>
      <c r="W378" s="1" t="s">
        <v>156</v>
      </c>
      <c r="X378" s="1" t="s">
        <v>7382</v>
      </c>
      <c r="Y378" s="1" t="s">
        <v>405</v>
      </c>
      <c r="Z378" s="1" t="s">
        <v>92</v>
      </c>
      <c r="AA378" s="1" t="s">
        <v>7382</v>
      </c>
      <c r="AB378" s="1" t="s">
        <v>405</v>
      </c>
      <c r="AC378" s="1" t="s">
        <v>92</v>
      </c>
      <c r="AD378" s="1">
        <v>8.03</v>
      </c>
      <c r="AE378" s="1" t="s">
        <v>93</v>
      </c>
      <c r="AF378" s="1" t="s">
        <v>7383</v>
      </c>
      <c r="AG378" s="1" t="s">
        <v>307</v>
      </c>
      <c r="AH378" s="1" t="s">
        <v>678</v>
      </c>
      <c r="AI378" s="1" t="s">
        <v>166</v>
      </c>
      <c r="AJ378" s="1">
        <v>79.8</v>
      </c>
      <c r="AK378" s="1"/>
      <c r="AL378" s="1" t="s">
        <v>7384</v>
      </c>
      <c r="AM378" s="1" t="s">
        <v>7385</v>
      </c>
      <c r="AN378" s="1" t="s">
        <v>433</v>
      </c>
      <c r="AO378" s="1" t="s">
        <v>699</v>
      </c>
      <c r="AP378" s="1">
        <v>67.85</v>
      </c>
      <c r="AQ378" s="1"/>
      <c r="AR378" s="1"/>
      <c r="AS378" s="1"/>
      <c r="AT378" s="1"/>
      <c r="AU378" s="1"/>
      <c r="AV378" s="1"/>
      <c r="AW378" s="1"/>
      <c r="AX378" s="1" t="s">
        <v>410</v>
      </c>
      <c r="AY378" s="1" t="s">
        <v>6184</v>
      </c>
      <c r="AZ378" s="1" t="s">
        <v>363</v>
      </c>
      <c r="BA378" s="1" t="s">
        <v>413</v>
      </c>
      <c r="BB378" s="1">
        <v>70.5</v>
      </c>
      <c r="BC378" s="1">
        <v>7.8</v>
      </c>
      <c r="BD378" s="1"/>
      <c r="BE378" s="1"/>
      <c r="BF378" s="1"/>
      <c r="BG378" s="1"/>
      <c r="BH378" s="1"/>
      <c r="BI378" s="1"/>
      <c r="BJ378" s="1" t="s">
        <v>7386</v>
      </c>
      <c r="BK378" s="1"/>
      <c r="BL378" s="1"/>
      <c r="BM378" s="1" t="s">
        <v>7387</v>
      </c>
      <c r="BN378" s="1">
        <v>25</v>
      </c>
      <c r="BO378" s="1"/>
      <c r="BP378" s="1" t="str">
        <f>HYPERLINK("https://nconnect.nicmar.ac.in/storage/profile/ProfilePhoto_P25700329_934817.jpg","Download")</f>
        <v>0</v>
      </c>
      <c r="BQ378" s="3"/>
      <c r="BR378" s="3"/>
    </row>
    <row r="379" spans="1:70">
      <c r="A379" s="1" t="s">
        <v>70</v>
      </c>
      <c r="B379" s="1" t="s">
        <v>1269</v>
      </c>
      <c r="C379" s="1" t="s">
        <v>7388</v>
      </c>
      <c r="D379" s="1" t="s">
        <v>7389</v>
      </c>
      <c r="E379" s="1" t="s">
        <v>4419</v>
      </c>
      <c r="F379" s="1" t="s">
        <v>2024</v>
      </c>
      <c r="G379" s="1" t="s">
        <v>7390</v>
      </c>
      <c r="H379" s="1" t="s">
        <v>7391</v>
      </c>
      <c r="I379" s="1" t="s">
        <v>7392</v>
      </c>
      <c r="J379" s="1">
        <v>7798893088</v>
      </c>
      <c r="K379" s="1" t="s">
        <v>79</v>
      </c>
      <c r="L379" s="1" t="s">
        <v>7393</v>
      </c>
      <c r="M379" s="1" t="s">
        <v>81</v>
      </c>
      <c r="N379" s="1" t="s">
        <v>7394</v>
      </c>
      <c r="O379" s="1"/>
      <c r="P379" s="1" t="s">
        <v>1766</v>
      </c>
      <c r="Q379" s="1" t="s">
        <v>7395</v>
      </c>
      <c r="R379" s="1" t="s">
        <v>7396</v>
      </c>
      <c r="S379" s="1">
        <v>9922934423</v>
      </c>
      <c r="T379" s="1" t="s">
        <v>7397</v>
      </c>
      <c r="U379" s="1" t="s">
        <v>7398</v>
      </c>
      <c r="V379" s="1">
        <v>9922934423</v>
      </c>
      <c r="W379" s="1" t="s">
        <v>273</v>
      </c>
      <c r="X379" s="1" t="s">
        <v>7399</v>
      </c>
      <c r="Y379" s="1" t="s">
        <v>6375</v>
      </c>
      <c r="Z379" s="1" t="s">
        <v>92</v>
      </c>
      <c r="AA379" s="1" t="s">
        <v>7399</v>
      </c>
      <c r="AB379" s="1" t="s">
        <v>6375</v>
      </c>
      <c r="AC379" s="1" t="s">
        <v>92</v>
      </c>
      <c r="AD379" s="1">
        <v>6.52</v>
      </c>
      <c r="AE379" s="1" t="s">
        <v>93</v>
      </c>
      <c r="AF379" s="1" t="s">
        <v>7400</v>
      </c>
      <c r="AG379" s="1" t="s">
        <v>7401</v>
      </c>
      <c r="AH379" s="1" t="s">
        <v>96</v>
      </c>
      <c r="AI379" s="1" t="s">
        <v>97</v>
      </c>
      <c r="AJ379" s="1">
        <v>76.6</v>
      </c>
      <c r="AK379" s="1"/>
      <c r="AL379" s="1" t="s">
        <v>7402</v>
      </c>
      <c r="AM379" s="1" t="s">
        <v>7401</v>
      </c>
      <c r="AN379" s="1" t="s">
        <v>162</v>
      </c>
      <c r="AO379" s="1" t="s">
        <v>1332</v>
      </c>
      <c r="AP379" s="1">
        <v>56.77</v>
      </c>
      <c r="AQ379" s="1"/>
      <c r="AR379" s="1" t="s">
        <v>98</v>
      </c>
      <c r="AS379" s="1" t="s">
        <v>7403</v>
      </c>
      <c r="AT379" s="1" t="s">
        <v>699</v>
      </c>
      <c r="AU379" s="1" t="s">
        <v>575</v>
      </c>
      <c r="AV379" s="1">
        <v>74.32</v>
      </c>
      <c r="AW379" s="1"/>
      <c r="AX379" s="1" t="s">
        <v>7404</v>
      </c>
      <c r="AY379" s="1" t="s">
        <v>7405</v>
      </c>
      <c r="AZ379" s="1" t="s">
        <v>481</v>
      </c>
      <c r="BA379" s="1" t="s">
        <v>1584</v>
      </c>
      <c r="BB379" s="1">
        <v>66.36</v>
      </c>
      <c r="BC379" s="1">
        <v>7.19</v>
      </c>
      <c r="BD379" s="1"/>
      <c r="BE379" s="1"/>
      <c r="BF379" s="1"/>
      <c r="BG379" s="1"/>
      <c r="BH379" s="1"/>
      <c r="BI379" s="1"/>
      <c r="BJ379" s="1" t="s">
        <v>255</v>
      </c>
      <c r="BK379" s="1"/>
      <c r="BL379" s="1"/>
      <c r="BM379" s="1"/>
      <c r="BN379" s="1"/>
      <c r="BO379" s="1" t="s">
        <v>7406</v>
      </c>
      <c r="BP379" s="1" t="str">
        <f>HYPERLINK("https://nconnect.nicmar.ac.in/storage/profile/ProfilePhoto_P25700330_839724.jpg","Download")</f>
        <v>0</v>
      </c>
      <c r="BQ379" s="3"/>
      <c r="BR379" s="3"/>
    </row>
    <row r="380" spans="1:70">
      <c r="A380" s="1" t="s">
        <v>70</v>
      </c>
      <c r="B380" s="1" t="s">
        <v>1269</v>
      </c>
      <c r="C380" s="1" t="s">
        <v>7407</v>
      </c>
      <c r="D380" s="1" t="s">
        <v>7408</v>
      </c>
      <c r="E380" s="1"/>
      <c r="F380" s="1" t="s">
        <v>7409</v>
      </c>
      <c r="G380" s="1" t="s">
        <v>7410</v>
      </c>
      <c r="H380" s="1" t="s">
        <v>7411</v>
      </c>
      <c r="I380" s="1" t="s">
        <v>7412</v>
      </c>
      <c r="J380" s="1">
        <v>8378929055</v>
      </c>
      <c r="K380" s="1" t="s">
        <v>148</v>
      </c>
      <c r="L380" s="1" t="s">
        <v>7413</v>
      </c>
      <c r="M380" s="1" t="s">
        <v>81</v>
      </c>
      <c r="N380" s="1" t="s">
        <v>6792</v>
      </c>
      <c r="O380" s="1"/>
      <c r="P380" s="1" t="s">
        <v>1278</v>
      </c>
      <c r="Q380" s="1" t="s">
        <v>7414</v>
      </c>
      <c r="R380" s="1" t="s">
        <v>392</v>
      </c>
      <c r="S380" s="1">
        <v>9260278284</v>
      </c>
      <c r="T380" s="1" t="s">
        <v>7415</v>
      </c>
      <c r="U380" s="1" t="s">
        <v>4928</v>
      </c>
      <c r="V380" s="1">
        <v>8308476336</v>
      </c>
      <c r="W380" s="1" t="s">
        <v>156</v>
      </c>
      <c r="X380" s="1" t="s">
        <v>7416</v>
      </c>
      <c r="Y380" s="1" t="s">
        <v>191</v>
      </c>
      <c r="Z380" s="1" t="s">
        <v>92</v>
      </c>
      <c r="AA380" s="1" t="s">
        <v>7416</v>
      </c>
      <c r="AB380" s="1" t="s">
        <v>191</v>
      </c>
      <c r="AC380" s="1" t="s">
        <v>92</v>
      </c>
      <c r="AD380" s="1">
        <v>8.27</v>
      </c>
      <c r="AE380" s="1" t="s">
        <v>93</v>
      </c>
      <c r="AF380" s="1" t="s">
        <v>7417</v>
      </c>
      <c r="AG380" s="1" t="s">
        <v>7418</v>
      </c>
      <c r="AH380" s="1" t="s">
        <v>279</v>
      </c>
      <c r="AI380" s="1" t="s">
        <v>165</v>
      </c>
      <c r="AJ380" s="1">
        <v>84.8</v>
      </c>
      <c r="AK380" s="1"/>
      <c r="AL380" s="1" t="s">
        <v>7417</v>
      </c>
      <c r="AM380" s="1" t="s">
        <v>7419</v>
      </c>
      <c r="AN380" s="1" t="s">
        <v>383</v>
      </c>
      <c r="AO380" s="1" t="s">
        <v>308</v>
      </c>
      <c r="AP380" s="1">
        <v>56</v>
      </c>
      <c r="AQ380" s="1"/>
      <c r="AR380" s="1" t="s">
        <v>7417</v>
      </c>
      <c r="AS380" s="1" t="s">
        <v>7420</v>
      </c>
      <c r="AT380" s="1" t="s">
        <v>310</v>
      </c>
      <c r="AU380" s="1" t="s">
        <v>436</v>
      </c>
      <c r="AV380" s="1">
        <v>85.84</v>
      </c>
      <c r="AW380" s="1"/>
      <c r="AX380" s="1" t="s">
        <v>361</v>
      </c>
      <c r="AY380" s="1" t="s">
        <v>7421</v>
      </c>
      <c r="AZ380" s="1" t="s">
        <v>897</v>
      </c>
      <c r="BA380" s="1" t="s">
        <v>202</v>
      </c>
      <c r="BB380" s="1">
        <v>73.6</v>
      </c>
      <c r="BC380" s="1">
        <v>8.11</v>
      </c>
      <c r="BD380" s="1"/>
      <c r="BE380" s="1"/>
      <c r="BF380" s="1"/>
      <c r="BG380" s="1"/>
      <c r="BH380" s="1"/>
      <c r="BI380" s="1"/>
      <c r="BJ380" s="1" t="s">
        <v>255</v>
      </c>
      <c r="BK380" s="1"/>
      <c r="BL380" s="1"/>
      <c r="BM380" s="1" t="s">
        <v>7422</v>
      </c>
      <c r="BN380" s="1">
        <v>20</v>
      </c>
      <c r="BO380" s="1"/>
      <c r="BP380" s="1" t="str">
        <f>HYPERLINK("https://nconnect.nicmar.ac.in/storage/profile/ProfilePhoto_P25700331_498125.jpg","Download")</f>
        <v>0</v>
      </c>
      <c r="BQ380" s="3"/>
      <c r="BR380" s="3"/>
    </row>
    <row r="381" spans="1:70">
      <c r="A381" s="1" t="s">
        <v>70</v>
      </c>
      <c r="B381" s="1" t="s">
        <v>1269</v>
      </c>
      <c r="C381" s="1" t="s">
        <v>7423</v>
      </c>
      <c r="D381" s="1" t="s">
        <v>7424</v>
      </c>
      <c r="E381" s="1" t="s">
        <v>2127</v>
      </c>
      <c r="F381" s="1" t="s">
        <v>2674</v>
      </c>
      <c r="G381" s="1" t="s">
        <v>7425</v>
      </c>
      <c r="H381" s="1" t="s">
        <v>7426</v>
      </c>
      <c r="I381" s="1" t="s">
        <v>7427</v>
      </c>
      <c r="J381" s="1">
        <v>9168137257</v>
      </c>
      <c r="K381" s="1" t="s">
        <v>79</v>
      </c>
      <c r="L381" s="1" t="s">
        <v>7428</v>
      </c>
      <c r="M381" s="1" t="s">
        <v>81</v>
      </c>
      <c r="N381" s="1" t="s">
        <v>1638</v>
      </c>
      <c r="O381" s="1"/>
      <c r="P381" s="1" t="s">
        <v>1323</v>
      </c>
      <c r="Q381" s="1" t="s">
        <v>7429</v>
      </c>
      <c r="R381" s="1" t="s">
        <v>7430</v>
      </c>
      <c r="S381" s="1">
        <v>9890474823</v>
      </c>
      <c r="T381" s="1" t="s">
        <v>496</v>
      </c>
      <c r="U381" s="1" t="s">
        <v>7431</v>
      </c>
      <c r="V381" s="1">
        <v>9158816620</v>
      </c>
      <c r="W381" s="1" t="s">
        <v>2492</v>
      </c>
      <c r="X381" s="1" t="s">
        <v>7432</v>
      </c>
      <c r="Y381" s="1" t="s">
        <v>1174</v>
      </c>
      <c r="Z381" s="1" t="s">
        <v>92</v>
      </c>
      <c r="AA381" s="1" t="s">
        <v>7432</v>
      </c>
      <c r="AB381" s="1" t="s">
        <v>1174</v>
      </c>
      <c r="AC381" s="1" t="s">
        <v>92</v>
      </c>
      <c r="AD381" s="1">
        <v>7.68</v>
      </c>
      <c r="AE381" s="1" t="s">
        <v>93</v>
      </c>
      <c r="AF381" s="1" t="s">
        <v>3852</v>
      </c>
      <c r="AG381" s="1" t="s">
        <v>7433</v>
      </c>
      <c r="AH381" s="1" t="s">
        <v>281</v>
      </c>
      <c r="AI381" s="1" t="s">
        <v>409</v>
      </c>
      <c r="AJ381" s="1">
        <v>77.2</v>
      </c>
      <c r="AK381" s="1"/>
      <c r="AL381" s="1" t="s">
        <v>7434</v>
      </c>
      <c r="AM381" s="1" t="s">
        <v>7433</v>
      </c>
      <c r="AN381" s="1" t="s">
        <v>941</v>
      </c>
      <c r="AO381" s="1" t="s">
        <v>504</v>
      </c>
      <c r="AP381" s="1">
        <v>71.67</v>
      </c>
      <c r="AQ381" s="1"/>
      <c r="AR381" s="1"/>
      <c r="AS381" s="1"/>
      <c r="AT381" s="1"/>
      <c r="AU381" s="1"/>
      <c r="AV381" s="1"/>
      <c r="AW381" s="1"/>
      <c r="AX381" s="1" t="s">
        <v>4997</v>
      </c>
      <c r="AY381" s="1" t="s">
        <v>7435</v>
      </c>
      <c r="AZ381" s="1" t="s">
        <v>506</v>
      </c>
      <c r="BA381" s="1" t="s">
        <v>1584</v>
      </c>
      <c r="BB381" s="1">
        <v>82.04</v>
      </c>
      <c r="BC381" s="1">
        <v>8.99</v>
      </c>
      <c r="BD381" s="1"/>
      <c r="BE381" s="1" t="s">
        <v>6732</v>
      </c>
      <c r="BF381" s="1" t="s">
        <v>1584</v>
      </c>
      <c r="BG381" s="1" t="s">
        <v>7436</v>
      </c>
      <c r="BH381" s="1">
        <v>0</v>
      </c>
      <c r="BI381" s="1"/>
      <c r="BJ381" s="1" t="s">
        <v>4493</v>
      </c>
      <c r="BK381" s="1"/>
      <c r="BL381" s="1"/>
      <c r="BM381" s="1" t="s">
        <v>7437</v>
      </c>
      <c r="BN381" s="1">
        <v>38</v>
      </c>
      <c r="BO381" s="1"/>
      <c r="BP381" s="1" t="str">
        <f>HYPERLINK("https://nconnect.nicmar.ac.in/storage/profile/ProfilePhoto_P25700332_582631.jpg","Download")</f>
        <v>0</v>
      </c>
      <c r="BQ381" s="3"/>
      <c r="BR381" s="3"/>
    </row>
    <row r="382" spans="1:70">
      <c r="A382" s="1" t="s">
        <v>70</v>
      </c>
      <c r="B382" s="1" t="s">
        <v>1269</v>
      </c>
      <c r="C382" s="1" t="s">
        <v>7438</v>
      </c>
      <c r="D382" s="1" t="s">
        <v>7439</v>
      </c>
      <c r="E382" s="1" t="s">
        <v>5393</v>
      </c>
      <c r="F382" s="1" t="s">
        <v>7440</v>
      </c>
      <c r="G382" s="1" t="s">
        <v>7441</v>
      </c>
      <c r="H382" s="1" t="s">
        <v>7442</v>
      </c>
      <c r="I382" s="1" t="s">
        <v>7443</v>
      </c>
      <c r="J382" s="1">
        <v>9921918190</v>
      </c>
      <c r="K382" s="1" t="s">
        <v>79</v>
      </c>
      <c r="L382" s="1" t="s">
        <v>7444</v>
      </c>
      <c r="M382" s="1" t="s">
        <v>81</v>
      </c>
      <c r="N382" s="1" t="s">
        <v>151</v>
      </c>
      <c r="O382" s="1"/>
      <c r="P382" s="1" t="s">
        <v>1278</v>
      </c>
      <c r="Q382" s="1" t="s">
        <v>7445</v>
      </c>
      <c r="R382" s="1" t="s">
        <v>5393</v>
      </c>
      <c r="S382" s="1">
        <v>9960772572</v>
      </c>
      <c r="T382" s="1" t="s">
        <v>520</v>
      </c>
      <c r="U382" s="1" t="s">
        <v>7446</v>
      </c>
      <c r="V382" s="1">
        <v>9960772572</v>
      </c>
      <c r="W382" s="1" t="s">
        <v>156</v>
      </c>
      <c r="X382" s="1" t="s">
        <v>7447</v>
      </c>
      <c r="Y382" s="1" t="s">
        <v>1992</v>
      </c>
      <c r="Z382" s="1" t="s">
        <v>92</v>
      </c>
      <c r="AA382" s="1" t="s">
        <v>7447</v>
      </c>
      <c r="AB382" s="1" t="s">
        <v>1992</v>
      </c>
      <c r="AC382" s="1" t="s">
        <v>92</v>
      </c>
      <c r="AD382" s="1">
        <v>6.94</v>
      </c>
      <c r="AE382" s="1" t="s">
        <v>93</v>
      </c>
      <c r="AF382" s="1" t="s">
        <v>7448</v>
      </c>
      <c r="AG382" s="1" t="s">
        <v>476</v>
      </c>
      <c r="AH382" s="1" t="s">
        <v>998</v>
      </c>
      <c r="AI382" s="1" t="s">
        <v>96</v>
      </c>
      <c r="AJ382" s="1">
        <v>80</v>
      </c>
      <c r="AK382" s="1">
        <v>0</v>
      </c>
      <c r="AL382" s="1"/>
      <c r="AM382" s="1"/>
      <c r="AN382" s="1"/>
      <c r="AO382" s="1"/>
      <c r="AP382" s="1"/>
      <c r="AQ382" s="1"/>
      <c r="AR382" s="1" t="s">
        <v>98</v>
      </c>
      <c r="AS382" s="1" t="s">
        <v>7449</v>
      </c>
      <c r="AT382" s="1" t="s">
        <v>130</v>
      </c>
      <c r="AU382" s="1" t="s">
        <v>101</v>
      </c>
      <c r="AV382" s="1">
        <v>62.18</v>
      </c>
      <c r="AW382" s="1">
        <v>0</v>
      </c>
      <c r="AX382" s="1" t="s">
        <v>361</v>
      </c>
      <c r="AY382" s="1" t="s">
        <v>7450</v>
      </c>
      <c r="AZ382" s="1" t="s">
        <v>636</v>
      </c>
      <c r="BA382" s="1" t="s">
        <v>506</v>
      </c>
      <c r="BB382" s="1">
        <v>67.05</v>
      </c>
      <c r="BC382" s="1">
        <v>7.62</v>
      </c>
      <c r="BD382" s="1"/>
      <c r="BE382" s="1"/>
      <c r="BF382" s="1"/>
      <c r="BG382" s="1"/>
      <c r="BH382" s="1"/>
      <c r="BI382" s="1"/>
      <c r="BJ382" s="1" t="s">
        <v>734</v>
      </c>
      <c r="BK382" s="1"/>
      <c r="BL382" s="1"/>
      <c r="BM382" s="1"/>
      <c r="BN382" s="1"/>
      <c r="BO382" s="1"/>
      <c r="BP382" s="1" t="str">
        <f>HYPERLINK("https://nconnect.nicmar.ac.in/storage/profile/ProfilePhoto_P25700333_561738.jpg","Download")</f>
        <v>0</v>
      </c>
      <c r="BQ382" s="3"/>
      <c r="BR382" s="3"/>
    </row>
    <row r="383" spans="1:70">
      <c r="A383" s="1" t="s">
        <v>70</v>
      </c>
      <c r="B383" s="1" t="s">
        <v>1269</v>
      </c>
      <c r="C383" s="1" t="s">
        <v>7451</v>
      </c>
      <c r="D383" s="1" t="s">
        <v>7452</v>
      </c>
      <c r="E383" s="1" t="s">
        <v>7453</v>
      </c>
      <c r="F383" s="1" t="s">
        <v>7454</v>
      </c>
      <c r="G383" s="1" t="s">
        <v>7455</v>
      </c>
      <c r="H383" s="1" t="s">
        <v>7456</v>
      </c>
      <c r="I383" s="1" t="s">
        <v>7457</v>
      </c>
      <c r="J383" s="1">
        <v>6363819238</v>
      </c>
      <c r="K383" s="1" t="s">
        <v>79</v>
      </c>
      <c r="L383" s="1" t="s">
        <v>5059</v>
      </c>
      <c r="M383" s="1" t="s">
        <v>81</v>
      </c>
      <c r="N383" s="1" t="s">
        <v>4750</v>
      </c>
      <c r="O383" s="1"/>
      <c r="P383" s="1" t="s">
        <v>1323</v>
      </c>
      <c r="Q383" s="1" t="s">
        <v>7458</v>
      </c>
      <c r="R383" s="1" t="s">
        <v>7453</v>
      </c>
      <c r="S383" s="1">
        <v>8105460508</v>
      </c>
      <c r="T383" s="1" t="s">
        <v>7459</v>
      </c>
      <c r="U383" s="1" t="s">
        <v>5816</v>
      </c>
      <c r="V383" s="1">
        <v>7624933838</v>
      </c>
      <c r="W383" s="1" t="s">
        <v>7460</v>
      </c>
      <c r="X383" s="1" t="s">
        <v>7461</v>
      </c>
      <c r="Y383" s="1" t="s">
        <v>191</v>
      </c>
      <c r="Z383" s="1" t="s">
        <v>92</v>
      </c>
      <c r="AA383" s="1" t="s">
        <v>7462</v>
      </c>
      <c r="AB383" s="1" t="s">
        <v>7463</v>
      </c>
      <c r="AC383" s="1" t="s">
        <v>1084</v>
      </c>
      <c r="AD383" s="1">
        <v>7.66</v>
      </c>
      <c r="AE383" s="1" t="s">
        <v>93</v>
      </c>
      <c r="AF383" s="1" t="s">
        <v>7464</v>
      </c>
      <c r="AG383" s="1" t="s">
        <v>7465</v>
      </c>
      <c r="AH383" s="1" t="s">
        <v>165</v>
      </c>
      <c r="AI383" s="1" t="s">
        <v>166</v>
      </c>
      <c r="AJ383" s="1">
        <v>88.16</v>
      </c>
      <c r="AK383" s="1"/>
      <c r="AL383" s="1" t="s">
        <v>7466</v>
      </c>
      <c r="AM383" s="1" t="s">
        <v>7467</v>
      </c>
      <c r="AN383" s="1" t="s">
        <v>101</v>
      </c>
      <c r="AO383" s="1" t="s">
        <v>173</v>
      </c>
      <c r="AP383" s="1">
        <v>89.16</v>
      </c>
      <c r="AQ383" s="1"/>
      <c r="AR383" s="1"/>
      <c r="AS383" s="1"/>
      <c r="AT383" s="1"/>
      <c r="AU383" s="1"/>
      <c r="AV383" s="1"/>
      <c r="AW383" s="1"/>
      <c r="AX383" s="1" t="s">
        <v>7468</v>
      </c>
      <c r="AY383" s="1" t="s">
        <v>7469</v>
      </c>
      <c r="AZ383" s="1" t="s">
        <v>2461</v>
      </c>
      <c r="BA383" s="1" t="s">
        <v>202</v>
      </c>
      <c r="BB383" s="1">
        <v>61</v>
      </c>
      <c r="BC383" s="1">
        <v>6.85</v>
      </c>
      <c r="BD383" s="1"/>
      <c r="BE383" s="1"/>
      <c r="BF383" s="1"/>
      <c r="BG383" s="1"/>
      <c r="BH383" s="1"/>
      <c r="BI383" s="1"/>
      <c r="BJ383" s="1" t="s">
        <v>7470</v>
      </c>
      <c r="BK383" s="1" t="s">
        <v>7471</v>
      </c>
      <c r="BL383" s="1" t="s">
        <v>1475</v>
      </c>
      <c r="BM383" s="1" t="s">
        <v>7472</v>
      </c>
      <c r="BN383" s="1">
        <v>14</v>
      </c>
      <c r="BO383" s="1"/>
      <c r="BP383" s="1" t="str">
        <f>HYPERLINK("https://nconnect.nicmar.ac.in/storage/profile/ProfilePhoto_P25700334_897625.jpg","Download")</f>
        <v>0</v>
      </c>
      <c r="BQ383" s="3"/>
      <c r="BR383" s="3"/>
    </row>
    <row r="384" spans="1:70">
      <c r="A384" s="1" t="s">
        <v>70</v>
      </c>
      <c r="B384" s="1" t="s">
        <v>1269</v>
      </c>
      <c r="C384" s="1" t="s">
        <v>7473</v>
      </c>
      <c r="D384" s="1" t="s">
        <v>5942</v>
      </c>
      <c r="E384" s="1"/>
      <c r="F384" s="1" t="s">
        <v>5373</v>
      </c>
      <c r="G384" s="1" t="s">
        <v>7474</v>
      </c>
      <c r="H384" s="1" t="s">
        <v>7475</v>
      </c>
      <c r="I384" s="1" t="s">
        <v>7476</v>
      </c>
      <c r="J384" s="1">
        <v>9129873073</v>
      </c>
      <c r="K384" s="1" t="s">
        <v>79</v>
      </c>
      <c r="L384" s="1" t="s">
        <v>7477</v>
      </c>
      <c r="M384" s="1" t="s">
        <v>81</v>
      </c>
      <c r="N384" s="1" t="s">
        <v>374</v>
      </c>
      <c r="O384" s="1"/>
      <c r="P384" s="1" t="s">
        <v>1323</v>
      </c>
      <c r="Q384" s="1" t="s">
        <v>7478</v>
      </c>
      <c r="R384" s="1" t="s">
        <v>7479</v>
      </c>
      <c r="S384" s="1">
        <v>9473539987</v>
      </c>
      <c r="T384" s="1" t="s">
        <v>216</v>
      </c>
      <c r="U384" s="1" t="s">
        <v>7480</v>
      </c>
      <c r="V384" s="1">
        <v>9450363791</v>
      </c>
      <c r="W384" s="1" t="s">
        <v>273</v>
      </c>
      <c r="X384" s="1" t="s">
        <v>7481</v>
      </c>
      <c r="Y384" s="1" t="s">
        <v>1911</v>
      </c>
      <c r="Z384" s="1" t="s">
        <v>1355</v>
      </c>
      <c r="AA384" s="1" t="s">
        <v>7481</v>
      </c>
      <c r="AB384" s="1" t="s">
        <v>1911</v>
      </c>
      <c r="AC384" s="1" t="s">
        <v>1355</v>
      </c>
      <c r="AD384" s="1">
        <v>8.9</v>
      </c>
      <c r="AE384" s="1" t="s">
        <v>93</v>
      </c>
      <c r="AF384" s="1" t="s">
        <v>7482</v>
      </c>
      <c r="AG384" s="1" t="s">
        <v>7483</v>
      </c>
      <c r="AH384" s="1" t="s">
        <v>383</v>
      </c>
      <c r="AI384" s="1" t="s">
        <v>166</v>
      </c>
      <c r="AJ384" s="1">
        <v>93.6</v>
      </c>
      <c r="AK384" s="1"/>
      <c r="AL384" s="1" t="s">
        <v>7482</v>
      </c>
      <c r="AM384" s="1" t="s">
        <v>7483</v>
      </c>
      <c r="AN384" s="1" t="s">
        <v>310</v>
      </c>
      <c r="AO384" s="1" t="s">
        <v>173</v>
      </c>
      <c r="AP384" s="1">
        <v>85.2</v>
      </c>
      <c r="AQ384" s="1"/>
      <c r="AR384" s="1"/>
      <c r="AS384" s="1"/>
      <c r="AT384" s="1"/>
      <c r="AU384" s="1"/>
      <c r="AV384" s="1"/>
      <c r="AW384" s="1"/>
      <c r="AX384" s="1" t="s">
        <v>1359</v>
      </c>
      <c r="AY384" s="1" t="s">
        <v>7484</v>
      </c>
      <c r="AZ384" s="1" t="s">
        <v>920</v>
      </c>
      <c r="BA384" s="1" t="s">
        <v>944</v>
      </c>
      <c r="BB384" s="1">
        <v>77.5</v>
      </c>
      <c r="BC384" s="1">
        <v>7.75</v>
      </c>
      <c r="BD384" s="1"/>
      <c r="BE384" s="1"/>
      <c r="BF384" s="1"/>
      <c r="BG384" s="1"/>
      <c r="BH384" s="1"/>
      <c r="BI384" s="1"/>
      <c r="BJ384" s="1" t="s">
        <v>4162</v>
      </c>
      <c r="BK384" s="1"/>
      <c r="BL384" s="1"/>
      <c r="BM384" s="1" t="s">
        <v>7485</v>
      </c>
      <c r="BN384" s="1">
        <v>26</v>
      </c>
      <c r="BO384" s="1" t="s">
        <v>7486</v>
      </c>
      <c r="BP384" s="1" t="str">
        <f>HYPERLINK("https://nconnect.nicmar.ac.in/storage/profile/ProfilePhoto_P25700335_235948.jpg","Download")</f>
        <v>0</v>
      </c>
      <c r="BQ384" s="3"/>
      <c r="BR384" s="3"/>
    </row>
    <row r="385" spans="1:70">
      <c r="A385" s="1" t="s">
        <v>70</v>
      </c>
      <c r="B385" s="1" t="s">
        <v>1269</v>
      </c>
      <c r="C385" s="1" t="s">
        <v>7487</v>
      </c>
      <c r="D385" s="1" t="s">
        <v>7488</v>
      </c>
      <c r="E385" s="1" t="s">
        <v>7489</v>
      </c>
      <c r="F385" s="1" t="s">
        <v>7490</v>
      </c>
      <c r="G385" s="1" t="s">
        <v>7491</v>
      </c>
      <c r="H385" s="1" t="s">
        <v>7492</v>
      </c>
      <c r="I385" s="1" t="s">
        <v>7493</v>
      </c>
      <c r="J385" s="1">
        <v>9130001162</v>
      </c>
      <c r="K385" s="1" t="s">
        <v>148</v>
      </c>
      <c r="L385" s="1" t="s">
        <v>7494</v>
      </c>
      <c r="M385" s="1" t="s">
        <v>150</v>
      </c>
      <c r="N385" s="1" t="s">
        <v>1418</v>
      </c>
      <c r="O385" s="1"/>
      <c r="P385" s="1" t="s">
        <v>1278</v>
      </c>
      <c r="Q385" s="1" t="s">
        <v>7495</v>
      </c>
      <c r="R385" s="1" t="s">
        <v>7496</v>
      </c>
      <c r="S385" s="1">
        <v>8275056631</v>
      </c>
      <c r="T385" s="1" t="s">
        <v>1351</v>
      </c>
      <c r="U385" s="1" t="s">
        <v>7497</v>
      </c>
      <c r="V385" s="1">
        <v>8275056631</v>
      </c>
      <c r="W385" s="1" t="s">
        <v>156</v>
      </c>
      <c r="X385" s="1" t="s">
        <v>7498</v>
      </c>
      <c r="Y385" s="1" t="s">
        <v>191</v>
      </c>
      <c r="Z385" s="1" t="s">
        <v>92</v>
      </c>
      <c r="AA385" s="1" t="s">
        <v>7499</v>
      </c>
      <c r="AB385" s="1" t="s">
        <v>5819</v>
      </c>
      <c r="AC385" s="1" t="s">
        <v>92</v>
      </c>
      <c r="AD385" s="1">
        <v>8.27</v>
      </c>
      <c r="AE385" s="1" t="s">
        <v>93</v>
      </c>
      <c r="AF385" s="1" t="s">
        <v>7500</v>
      </c>
      <c r="AG385" s="1" t="s">
        <v>7501</v>
      </c>
      <c r="AH385" s="1" t="s">
        <v>998</v>
      </c>
      <c r="AI385" s="1" t="s">
        <v>96</v>
      </c>
      <c r="AJ385" s="1">
        <v>75.4</v>
      </c>
      <c r="AK385" s="1"/>
      <c r="AL385" s="1"/>
      <c r="AM385" s="1"/>
      <c r="AN385" s="1"/>
      <c r="AO385" s="1"/>
      <c r="AP385" s="1"/>
      <c r="AQ385" s="1"/>
      <c r="AR385" s="1" t="s">
        <v>98</v>
      </c>
      <c r="AS385" s="1" t="s">
        <v>7502</v>
      </c>
      <c r="AT385" s="1" t="s">
        <v>252</v>
      </c>
      <c r="AU385" s="1" t="s">
        <v>165</v>
      </c>
      <c r="AV385" s="1">
        <v>65.76</v>
      </c>
      <c r="AW385" s="1"/>
      <c r="AX385" s="1" t="s">
        <v>335</v>
      </c>
      <c r="AY385" s="1" t="s">
        <v>7503</v>
      </c>
      <c r="AZ385" s="1" t="s">
        <v>225</v>
      </c>
      <c r="BA385" s="1" t="s">
        <v>412</v>
      </c>
      <c r="BB385" s="1">
        <v>97.07</v>
      </c>
      <c r="BC385" s="1">
        <v>9.26</v>
      </c>
      <c r="BD385" s="1"/>
      <c r="BE385" s="1"/>
      <c r="BF385" s="1"/>
      <c r="BG385" s="1"/>
      <c r="BH385" s="1"/>
      <c r="BI385" s="1"/>
      <c r="BJ385" s="1" t="s">
        <v>7504</v>
      </c>
      <c r="BK385" s="1" t="s">
        <v>7505</v>
      </c>
      <c r="BL385" s="1" t="s">
        <v>1543</v>
      </c>
      <c r="BM385" s="1"/>
      <c r="BN385" s="1"/>
      <c r="BO385" s="1" t="s">
        <v>7506</v>
      </c>
      <c r="BP385" s="1" t="str">
        <f>HYPERLINK("https://nconnect.nicmar.ac.in/storage/profile/ProfilePhoto_P25700336_569138.jpg","Download")</f>
        <v>0</v>
      </c>
      <c r="BQ385" s="3"/>
      <c r="BR385" s="3"/>
    </row>
    <row r="386" spans="1:70">
      <c r="A386" s="1" t="s">
        <v>70</v>
      </c>
      <c r="B386" s="1" t="s">
        <v>1269</v>
      </c>
      <c r="C386" s="1" t="s">
        <v>7507</v>
      </c>
      <c r="D386" s="1" t="s">
        <v>7508</v>
      </c>
      <c r="E386" s="1"/>
      <c r="F386" s="1" t="s">
        <v>5373</v>
      </c>
      <c r="G386" s="1" t="s">
        <v>7509</v>
      </c>
      <c r="H386" s="1" t="s">
        <v>7510</v>
      </c>
      <c r="I386" s="1" t="s">
        <v>7511</v>
      </c>
      <c r="J386" s="1">
        <v>9630093454</v>
      </c>
      <c r="K386" s="1" t="s">
        <v>79</v>
      </c>
      <c r="L386" s="1" t="s">
        <v>2488</v>
      </c>
      <c r="M386" s="1" t="s">
        <v>81</v>
      </c>
      <c r="N386" s="1" t="s">
        <v>7512</v>
      </c>
      <c r="O386" s="1"/>
      <c r="P386" s="1" t="s">
        <v>1323</v>
      </c>
      <c r="Q386" s="1" t="s">
        <v>7513</v>
      </c>
      <c r="R386" s="1" t="s">
        <v>7514</v>
      </c>
      <c r="S386" s="1">
        <v>9893418454</v>
      </c>
      <c r="T386" s="1" t="s">
        <v>496</v>
      </c>
      <c r="U386" s="1" t="s">
        <v>7515</v>
      </c>
      <c r="V386" s="1">
        <v>9981199606</v>
      </c>
      <c r="W386" s="1" t="s">
        <v>273</v>
      </c>
      <c r="X386" s="1" t="s">
        <v>7516</v>
      </c>
      <c r="Y386" s="1" t="s">
        <v>6358</v>
      </c>
      <c r="Z386" s="1" t="s">
        <v>936</v>
      </c>
      <c r="AA386" s="1" t="s">
        <v>7516</v>
      </c>
      <c r="AB386" s="1" t="s">
        <v>6358</v>
      </c>
      <c r="AC386" s="1" t="s">
        <v>936</v>
      </c>
      <c r="AD386" s="1">
        <v>7.0</v>
      </c>
      <c r="AE386" s="1" t="s">
        <v>93</v>
      </c>
      <c r="AF386" s="1" t="s">
        <v>7517</v>
      </c>
      <c r="AG386" s="1" t="s">
        <v>7518</v>
      </c>
      <c r="AH386" s="1" t="s">
        <v>195</v>
      </c>
      <c r="AI386" s="1" t="s">
        <v>166</v>
      </c>
      <c r="AJ386" s="1">
        <v>79.8</v>
      </c>
      <c r="AK386" s="1"/>
      <c r="AL386" s="1" t="s">
        <v>7519</v>
      </c>
      <c r="AM386" s="1" t="s">
        <v>7520</v>
      </c>
      <c r="AN386" s="1" t="s">
        <v>409</v>
      </c>
      <c r="AO386" s="1" t="s">
        <v>173</v>
      </c>
      <c r="AP386" s="1">
        <v>71</v>
      </c>
      <c r="AQ386" s="1"/>
      <c r="AR386" s="1"/>
      <c r="AS386" s="1"/>
      <c r="AT386" s="1"/>
      <c r="AU386" s="1"/>
      <c r="AV386" s="1"/>
      <c r="AW386" s="1"/>
      <c r="AX386" s="1" t="s">
        <v>3425</v>
      </c>
      <c r="AY386" s="1" t="s">
        <v>7521</v>
      </c>
      <c r="AZ386" s="1" t="s">
        <v>681</v>
      </c>
      <c r="BA386" s="1" t="s">
        <v>413</v>
      </c>
      <c r="BB386" s="1">
        <v>82.5</v>
      </c>
      <c r="BC386" s="1">
        <v>8.25</v>
      </c>
      <c r="BD386" s="1"/>
      <c r="BE386" s="1"/>
      <c r="BF386" s="1"/>
      <c r="BG386" s="1"/>
      <c r="BH386" s="1"/>
      <c r="BI386" s="1"/>
      <c r="BJ386" s="1" t="s">
        <v>4102</v>
      </c>
      <c r="BK386" s="1"/>
      <c r="BL386" s="1"/>
      <c r="BM386" s="1"/>
      <c r="BN386" s="1"/>
      <c r="BO386" s="1"/>
      <c r="BP386" s="1" t="str">
        <f>HYPERLINK("https://nconnect.nicmar.ac.in/storage/profile/ProfilePhoto_P25700337_749123.jpg","Download")</f>
        <v>0</v>
      </c>
      <c r="BQ386" s="3"/>
      <c r="BR386" s="3"/>
    </row>
    <row r="387" spans="1:70">
      <c r="A387" s="1" t="s">
        <v>70</v>
      </c>
      <c r="B387" s="1" t="s">
        <v>1269</v>
      </c>
      <c r="C387" s="1" t="s">
        <v>7522</v>
      </c>
      <c r="D387" s="1" t="s">
        <v>1874</v>
      </c>
      <c r="E387" s="1"/>
      <c r="F387" s="1" t="s">
        <v>7523</v>
      </c>
      <c r="G387" s="1" t="s">
        <v>7524</v>
      </c>
      <c r="H387" s="1" t="s">
        <v>7525</v>
      </c>
      <c r="I387" s="1" t="s">
        <v>7526</v>
      </c>
      <c r="J387" s="1">
        <v>8793133181</v>
      </c>
      <c r="K387" s="1" t="s">
        <v>79</v>
      </c>
      <c r="L387" s="1" t="s">
        <v>5910</v>
      </c>
      <c r="M387" s="1" t="s">
        <v>81</v>
      </c>
      <c r="N387" s="1" t="s">
        <v>241</v>
      </c>
      <c r="O387" s="1"/>
      <c r="P387" s="1" t="s">
        <v>1323</v>
      </c>
      <c r="Q387" s="1" t="s">
        <v>7527</v>
      </c>
      <c r="R387" s="1" t="s">
        <v>7528</v>
      </c>
      <c r="S387" s="1">
        <v>9811196678</v>
      </c>
      <c r="T387" s="1" t="s">
        <v>842</v>
      </c>
      <c r="U387" s="1" t="s">
        <v>7529</v>
      </c>
      <c r="V387" s="1">
        <v>9650523367</v>
      </c>
      <c r="W387" s="1" t="s">
        <v>156</v>
      </c>
      <c r="X387" s="1" t="s">
        <v>7530</v>
      </c>
      <c r="Y387" s="1" t="s">
        <v>7531</v>
      </c>
      <c r="Z387" s="1" t="s">
        <v>722</v>
      </c>
      <c r="AA387" s="1" t="s">
        <v>7530</v>
      </c>
      <c r="AB387" s="1" t="s">
        <v>7531</v>
      </c>
      <c r="AC387" s="1" t="s">
        <v>722</v>
      </c>
      <c r="AD387" s="1">
        <v>8.34</v>
      </c>
      <c r="AE387" s="1" t="s">
        <v>93</v>
      </c>
      <c r="AF387" s="1" t="s">
        <v>7532</v>
      </c>
      <c r="AG387" s="1" t="s">
        <v>5604</v>
      </c>
      <c r="AH387" s="1" t="s">
        <v>1307</v>
      </c>
      <c r="AI387" s="1" t="s">
        <v>409</v>
      </c>
      <c r="AJ387" s="1">
        <v>94.8</v>
      </c>
      <c r="AK387" s="1"/>
      <c r="AL387" s="1" t="s">
        <v>7532</v>
      </c>
      <c r="AM387" s="1" t="s">
        <v>5604</v>
      </c>
      <c r="AN387" s="1" t="s">
        <v>1833</v>
      </c>
      <c r="AO387" s="1" t="s">
        <v>504</v>
      </c>
      <c r="AP387" s="1">
        <v>90.4</v>
      </c>
      <c r="AQ387" s="1"/>
      <c r="AR387" s="1"/>
      <c r="AS387" s="1"/>
      <c r="AT387" s="1"/>
      <c r="AU387" s="1"/>
      <c r="AV387" s="1"/>
      <c r="AW387" s="1"/>
      <c r="AX387" s="1" t="s">
        <v>7533</v>
      </c>
      <c r="AY387" s="1" t="s">
        <v>7534</v>
      </c>
      <c r="AZ387" s="1" t="s">
        <v>897</v>
      </c>
      <c r="BA387" s="1" t="s">
        <v>1714</v>
      </c>
      <c r="BB387" s="1">
        <v>80.1</v>
      </c>
      <c r="BC387" s="1"/>
      <c r="BD387" s="1"/>
      <c r="BE387" s="1"/>
      <c r="BF387" s="1"/>
      <c r="BG387" s="1"/>
      <c r="BH387" s="1"/>
      <c r="BI387" s="1"/>
      <c r="BJ387" s="1" t="s">
        <v>7535</v>
      </c>
      <c r="BK387" s="1"/>
      <c r="BL387" s="1"/>
      <c r="BM387" s="1" t="s">
        <v>7536</v>
      </c>
      <c r="BN387" s="1">
        <v>42</v>
      </c>
      <c r="BO387" s="1"/>
      <c r="BP387" s="1" t="str">
        <f>HYPERLINK("https://nconnect.nicmar.ac.in/storage/profile/ProfilePhoto_P25700338_458312.jpg","Download")</f>
        <v>0</v>
      </c>
      <c r="BQ387" s="3"/>
      <c r="BR387" s="3"/>
    </row>
    <row r="388" spans="1:70">
      <c r="A388" s="1" t="s">
        <v>70</v>
      </c>
      <c r="B388" s="1" t="s">
        <v>1269</v>
      </c>
      <c r="C388" s="1" t="s">
        <v>7537</v>
      </c>
      <c r="D388" s="1" t="s">
        <v>7538</v>
      </c>
      <c r="E388" s="1" t="s">
        <v>7539</v>
      </c>
      <c r="F388" s="1" t="s">
        <v>7540</v>
      </c>
      <c r="G388" s="1" t="s">
        <v>7541</v>
      </c>
      <c r="H388" s="1" t="s">
        <v>7542</v>
      </c>
      <c r="I388" s="1" t="s">
        <v>7543</v>
      </c>
      <c r="J388" s="1">
        <v>9972468819</v>
      </c>
      <c r="K388" s="1" t="s">
        <v>79</v>
      </c>
      <c r="L388" s="1" t="s">
        <v>5239</v>
      </c>
      <c r="M388" s="1" t="s">
        <v>81</v>
      </c>
      <c r="N388" s="1" t="s">
        <v>7544</v>
      </c>
      <c r="O388" s="1"/>
      <c r="P388" s="1" t="s">
        <v>1278</v>
      </c>
      <c r="Q388" s="1" t="s">
        <v>7545</v>
      </c>
      <c r="R388" s="1" t="s">
        <v>7539</v>
      </c>
      <c r="S388" s="1">
        <v>9448692432</v>
      </c>
      <c r="T388" s="1" t="s">
        <v>154</v>
      </c>
      <c r="U388" s="1" t="s">
        <v>7546</v>
      </c>
      <c r="V388" s="1">
        <v>9481108308</v>
      </c>
      <c r="W388" s="1" t="s">
        <v>273</v>
      </c>
      <c r="X388" s="1" t="s">
        <v>7547</v>
      </c>
      <c r="Y388" s="1" t="s">
        <v>7548</v>
      </c>
      <c r="Z388" s="1" t="s">
        <v>1084</v>
      </c>
      <c r="AA388" s="1" t="s">
        <v>7547</v>
      </c>
      <c r="AB388" s="1" t="s">
        <v>7548</v>
      </c>
      <c r="AC388" s="1" t="s">
        <v>1084</v>
      </c>
      <c r="AD388" s="1">
        <v>7.91</v>
      </c>
      <c r="AE388" s="1" t="s">
        <v>93</v>
      </c>
      <c r="AF388" s="1" t="s">
        <v>7549</v>
      </c>
      <c r="AG388" s="1" t="s">
        <v>7181</v>
      </c>
      <c r="AH388" s="1" t="s">
        <v>165</v>
      </c>
      <c r="AI388" s="1" t="s">
        <v>166</v>
      </c>
      <c r="AJ388" s="1">
        <v>73.4</v>
      </c>
      <c r="AK388" s="1"/>
      <c r="AL388" s="1" t="s">
        <v>7550</v>
      </c>
      <c r="AM388" s="1" t="s">
        <v>2056</v>
      </c>
      <c r="AN388" s="1" t="s">
        <v>101</v>
      </c>
      <c r="AO388" s="1" t="s">
        <v>173</v>
      </c>
      <c r="AP388" s="1">
        <v>84.16</v>
      </c>
      <c r="AQ388" s="1"/>
      <c r="AR388" s="1"/>
      <c r="AS388" s="1"/>
      <c r="AT388" s="1"/>
      <c r="AU388" s="1"/>
      <c r="AV388" s="1"/>
      <c r="AW388" s="1"/>
      <c r="AX388" s="1" t="s">
        <v>7551</v>
      </c>
      <c r="AY388" s="1" t="s">
        <v>7551</v>
      </c>
      <c r="AZ388" s="1" t="s">
        <v>363</v>
      </c>
      <c r="BA388" s="1" t="s">
        <v>1938</v>
      </c>
      <c r="BB388" s="1">
        <v>70.5</v>
      </c>
      <c r="BC388" s="1">
        <v>7.8</v>
      </c>
      <c r="BD388" s="1"/>
      <c r="BE388" s="1"/>
      <c r="BF388" s="1"/>
      <c r="BG388" s="1"/>
      <c r="BH388" s="1"/>
      <c r="BI388" s="1"/>
      <c r="BJ388" s="1" t="s">
        <v>1383</v>
      </c>
      <c r="BK388" s="1"/>
      <c r="BL388" s="1"/>
      <c r="BM388" s="1" t="s">
        <v>7552</v>
      </c>
      <c r="BN388" s="1">
        <v>17</v>
      </c>
      <c r="BO388" s="1"/>
      <c r="BP388" s="1" t="str">
        <f>HYPERLINK("https://nconnect.nicmar.ac.in/storage/profile/ProfilePhoto_P25700339_893165.jpg","Download")</f>
        <v>0</v>
      </c>
      <c r="BQ388" s="3"/>
      <c r="BR388" s="3"/>
    </row>
    <row r="389" spans="1:70">
      <c r="A389" s="1" t="s">
        <v>70</v>
      </c>
      <c r="B389" s="1" t="s">
        <v>1269</v>
      </c>
      <c r="C389" s="1" t="s">
        <v>7553</v>
      </c>
      <c r="D389" s="1" t="s">
        <v>7554</v>
      </c>
      <c r="E389" s="1" t="s">
        <v>7555</v>
      </c>
      <c r="F389" s="1" t="s">
        <v>3539</v>
      </c>
      <c r="G389" s="1" t="s">
        <v>7556</v>
      </c>
      <c r="H389" s="1" t="s">
        <v>7557</v>
      </c>
      <c r="I389" s="1" t="s">
        <v>7557</v>
      </c>
      <c r="J389" s="1">
        <v>9322231409</v>
      </c>
      <c r="K389" s="1" t="s">
        <v>79</v>
      </c>
      <c r="L389" s="1" t="s">
        <v>7558</v>
      </c>
      <c r="M389" s="1" t="s">
        <v>81</v>
      </c>
      <c r="N389" s="1" t="s">
        <v>7559</v>
      </c>
      <c r="O389" s="1"/>
      <c r="P389" s="1" t="s">
        <v>1323</v>
      </c>
      <c r="Q389" s="1" t="s">
        <v>7560</v>
      </c>
      <c r="R389" s="1" t="s">
        <v>7555</v>
      </c>
      <c r="S389" s="1">
        <v>9322231409</v>
      </c>
      <c r="T389" s="1" t="s">
        <v>122</v>
      </c>
      <c r="U389" s="1" t="s">
        <v>2968</v>
      </c>
      <c r="V389" s="1">
        <v>8275149693</v>
      </c>
      <c r="W389" s="1" t="s">
        <v>273</v>
      </c>
      <c r="X389" s="1" t="s">
        <v>7561</v>
      </c>
      <c r="Y389" s="1" t="s">
        <v>246</v>
      </c>
      <c r="Z389" s="1" t="s">
        <v>92</v>
      </c>
      <c r="AA389" s="1" t="s">
        <v>7561</v>
      </c>
      <c r="AB389" s="1" t="s">
        <v>246</v>
      </c>
      <c r="AC389" s="1" t="s">
        <v>92</v>
      </c>
      <c r="AD389" s="1">
        <v>7.49</v>
      </c>
      <c r="AE389" s="1" t="s">
        <v>93</v>
      </c>
      <c r="AF389" s="1" t="s">
        <v>7562</v>
      </c>
      <c r="AG389" s="1" t="s">
        <v>7563</v>
      </c>
      <c r="AH389" s="1" t="s">
        <v>101</v>
      </c>
      <c r="AI389" s="1" t="s">
        <v>308</v>
      </c>
      <c r="AJ389" s="1">
        <v>85</v>
      </c>
      <c r="AK389" s="1"/>
      <c r="AL389" s="1" t="s">
        <v>7564</v>
      </c>
      <c r="AM389" s="1" t="s">
        <v>7565</v>
      </c>
      <c r="AN389" s="1" t="s">
        <v>173</v>
      </c>
      <c r="AO389" s="1" t="s">
        <v>3081</v>
      </c>
      <c r="AP389" s="1">
        <v>92.17</v>
      </c>
      <c r="AQ389" s="1"/>
      <c r="AR389" s="1"/>
      <c r="AS389" s="1"/>
      <c r="AT389" s="1"/>
      <c r="AU389" s="1"/>
      <c r="AV389" s="1"/>
      <c r="AW389" s="1"/>
      <c r="AX389" s="1" t="s">
        <v>361</v>
      </c>
      <c r="AY389" s="1" t="s">
        <v>7566</v>
      </c>
      <c r="AZ389" s="1" t="s">
        <v>1131</v>
      </c>
      <c r="BA389" s="1" t="s">
        <v>1714</v>
      </c>
      <c r="BB389" s="1">
        <v>61.67</v>
      </c>
      <c r="BC389" s="1">
        <v>6.93</v>
      </c>
      <c r="BD389" s="1"/>
      <c r="BE389" s="1"/>
      <c r="BF389" s="1"/>
      <c r="BG389" s="1"/>
      <c r="BH389" s="1"/>
      <c r="BI389" s="1"/>
      <c r="BJ389" s="1" t="s">
        <v>7567</v>
      </c>
      <c r="BK389" s="1"/>
      <c r="BL389" s="1"/>
      <c r="BM389" s="1" t="s">
        <v>7568</v>
      </c>
      <c r="BN389" s="1">
        <v>4</v>
      </c>
      <c r="BO389" s="1" t="s">
        <v>7569</v>
      </c>
      <c r="BP389" s="1" t="str">
        <f>HYPERLINK("https://nconnect.nicmar.ac.in/storage/profile/ProfilePhoto_P25700340_491823.jpg","Download")</f>
        <v>0</v>
      </c>
      <c r="BQ389" s="3"/>
      <c r="BR389" s="3"/>
    </row>
    <row r="390" spans="1:70">
      <c r="A390" s="1" t="s">
        <v>70</v>
      </c>
      <c r="B390" s="1" t="s">
        <v>1269</v>
      </c>
      <c r="C390" s="1" t="s">
        <v>7570</v>
      </c>
      <c r="D390" s="1" t="s">
        <v>2893</v>
      </c>
      <c r="E390" s="1" t="s">
        <v>7571</v>
      </c>
      <c r="F390" s="1" t="s">
        <v>4980</v>
      </c>
      <c r="G390" s="1" t="s">
        <v>7572</v>
      </c>
      <c r="H390" s="1" t="s">
        <v>7573</v>
      </c>
      <c r="I390" s="1" t="s">
        <v>7574</v>
      </c>
      <c r="J390" s="1">
        <v>9657575771</v>
      </c>
      <c r="K390" s="1" t="s">
        <v>79</v>
      </c>
      <c r="L390" s="1" t="s">
        <v>2028</v>
      </c>
      <c r="M390" s="1" t="s">
        <v>81</v>
      </c>
      <c r="N390" s="1" t="s">
        <v>1418</v>
      </c>
      <c r="O390" s="1"/>
      <c r="P390" s="1" t="s">
        <v>1298</v>
      </c>
      <c r="Q390" s="1" t="s">
        <v>7575</v>
      </c>
      <c r="R390" s="1" t="s">
        <v>4980</v>
      </c>
      <c r="S390" s="1">
        <v>9657577711</v>
      </c>
      <c r="T390" s="1" t="s">
        <v>842</v>
      </c>
      <c r="U390" s="1" t="s">
        <v>7576</v>
      </c>
      <c r="V390" s="1">
        <v>9552544771</v>
      </c>
      <c r="W390" s="1" t="s">
        <v>156</v>
      </c>
      <c r="X390" s="1" t="s">
        <v>7577</v>
      </c>
      <c r="Y390" s="1" t="s">
        <v>1886</v>
      </c>
      <c r="Z390" s="1" t="s">
        <v>92</v>
      </c>
      <c r="AA390" s="1" t="s">
        <v>7577</v>
      </c>
      <c r="AB390" s="1" t="s">
        <v>1886</v>
      </c>
      <c r="AC390" s="1" t="s">
        <v>92</v>
      </c>
      <c r="AD390" s="1">
        <v>7.76</v>
      </c>
      <c r="AE390" s="1" t="s">
        <v>93</v>
      </c>
      <c r="AF390" s="1" t="s">
        <v>7578</v>
      </c>
      <c r="AG390" s="1" t="s">
        <v>7579</v>
      </c>
      <c r="AH390" s="1" t="s">
        <v>101</v>
      </c>
      <c r="AI390" s="1" t="s">
        <v>409</v>
      </c>
      <c r="AJ390" s="1">
        <v>92.2</v>
      </c>
      <c r="AK390" s="1">
        <v>0</v>
      </c>
      <c r="AL390" s="1" t="s">
        <v>7580</v>
      </c>
      <c r="AM390" s="1" t="s">
        <v>7579</v>
      </c>
      <c r="AN390" s="1" t="s">
        <v>699</v>
      </c>
      <c r="AO390" s="1" t="s">
        <v>504</v>
      </c>
      <c r="AP390" s="1">
        <v>88.5</v>
      </c>
      <c r="AQ390" s="1">
        <v>0</v>
      </c>
      <c r="AR390" s="1"/>
      <c r="AS390" s="1"/>
      <c r="AT390" s="1"/>
      <c r="AU390" s="1"/>
      <c r="AV390" s="1"/>
      <c r="AW390" s="1"/>
      <c r="AX390" s="1" t="s">
        <v>7581</v>
      </c>
      <c r="AY390" s="1" t="s">
        <v>7582</v>
      </c>
      <c r="AZ390" s="1" t="s">
        <v>135</v>
      </c>
      <c r="BA390" s="1" t="s">
        <v>1584</v>
      </c>
      <c r="BB390" s="1">
        <v>84.2</v>
      </c>
      <c r="BC390" s="1"/>
      <c r="BD390" s="1"/>
      <c r="BE390" s="1"/>
      <c r="BF390" s="1"/>
      <c r="BG390" s="1"/>
      <c r="BH390" s="1"/>
      <c r="BI390" s="1"/>
      <c r="BJ390" s="1" t="s">
        <v>1715</v>
      </c>
      <c r="BK390" s="1"/>
      <c r="BL390" s="1"/>
      <c r="BM390" s="1"/>
      <c r="BN390" s="1"/>
      <c r="BO390" s="1"/>
      <c r="BP390" s="1" t="str">
        <f>HYPERLINK("https://nconnect.nicmar.ac.in/storage/profile/ProfilePhoto_P25700341_527638.jpg","Download")</f>
        <v>0</v>
      </c>
      <c r="BQ390" s="3"/>
      <c r="BR390" s="3"/>
    </row>
    <row r="391" spans="1:70">
      <c r="A391" s="1" t="s">
        <v>70</v>
      </c>
      <c r="B391" s="1" t="s">
        <v>1269</v>
      </c>
      <c r="C391" s="1" t="s">
        <v>7583</v>
      </c>
      <c r="D391" s="1" t="s">
        <v>7584</v>
      </c>
      <c r="E391" s="1" t="s">
        <v>7585</v>
      </c>
      <c r="F391" s="1" t="s">
        <v>2024</v>
      </c>
      <c r="G391" s="1" t="s">
        <v>7586</v>
      </c>
      <c r="H391" s="1" t="s">
        <v>7587</v>
      </c>
      <c r="I391" s="1" t="s">
        <v>7588</v>
      </c>
      <c r="J391" s="1">
        <v>9022001835</v>
      </c>
      <c r="K391" s="1" t="s">
        <v>79</v>
      </c>
      <c r="L391" s="1" t="s">
        <v>7589</v>
      </c>
      <c r="M391" s="1" t="s">
        <v>81</v>
      </c>
      <c r="N391" s="1" t="s">
        <v>1418</v>
      </c>
      <c r="O391" s="1"/>
      <c r="P391" s="1" t="s">
        <v>1323</v>
      </c>
      <c r="Q391" s="1" t="s">
        <v>7590</v>
      </c>
      <c r="R391" s="1" t="s">
        <v>7591</v>
      </c>
      <c r="S391" s="1">
        <v>9049513669</v>
      </c>
      <c r="T391" s="1" t="s">
        <v>154</v>
      </c>
      <c r="U391" s="1" t="s">
        <v>2764</v>
      </c>
      <c r="V391" s="1">
        <v>9049513669</v>
      </c>
      <c r="W391" s="1" t="s">
        <v>651</v>
      </c>
      <c r="X391" s="1" t="s">
        <v>7592</v>
      </c>
      <c r="Y391" s="1" t="s">
        <v>191</v>
      </c>
      <c r="Z391" s="1" t="s">
        <v>92</v>
      </c>
      <c r="AA391" s="1" t="s">
        <v>7593</v>
      </c>
      <c r="AB391" s="1" t="s">
        <v>1886</v>
      </c>
      <c r="AC391" s="1" t="s">
        <v>92</v>
      </c>
      <c r="AD391" s="1">
        <v>7.52</v>
      </c>
      <c r="AE391" s="1" t="s">
        <v>93</v>
      </c>
      <c r="AF391" s="1" t="s">
        <v>7594</v>
      </c>
      <c r="AG391" s="1" t="s">
        <v>7595</v>
      </c>
      <c r="AH391" s="1" t="s">
        <v>162</v>
      </c>
      <c r="AI391" s="1" t="s">
        <v>195</v>
      </c>
      <c r="AJ391" s="1">
        <v>77.8</v>
      </c>
      <c r="AK391" s="1">
        <v>0</v>
      </c>
      <c r="AL391" s="1" t="s">
        <v>7596</v>
      </c>
      <c r="AM391" s="1" t="s">
        <v>7597</v>
      </c>
      <c r="AN391" s="1" t="s">
        <v>433</v>
      </c>
      <c r="AO391" s="1" t="s">
        <v>360</v>
      </c>
      <c r="AP391" s="1">
        <v>73.69</v>
      </c>
      <c r="AQ391" s="1"/>
      <c r="AR391" s="1"/>
      <c r="AS391" s="1"/>
      <c r="AT391" s="1"/>
      <c r="AU391" s="1"/>
      <c r="AV391" s="1"/>
      <c r="AW391" s="1"/>
      <c r="AX391" s="1" t="s">
        <v>7598</v>
      </c>
      <c r="AY391" s="1" t="s">
        <v>7599</v>
      </c>
      <c r="AZ391" s="1" t="s">
        <v>228</v>
      </c>
      <c r="BA391" s="1" t="s">
        <v>944</v>
      </c>
      <c r="BB391" s="1">
        <v>65</v>
      </c>
      <c r="BC391" s="1">
        <v>7</v>
      </c>
      <c r="BD391" s="1"/>
      <c r="BE391" s="1"/>
      <c r="BF391" s="1"/>
      <c r="BG391" s="1"/>
      <c r="BH391" s="1"/>
      <c r="BI391" s="1"/>
      <c r="BJ391" s="1" t="s">
        <v>364</v>
      </c>
      <c r="BK391" s="1"/>
      <c r="BL391" s="1"/>
      <c r="BM391" s="1"/>
      <c r="BN391" s="1"/>
      <c r="BO391" s="1"/>
      <c r="BP391" s="1" t="str">
        <f>HYPERLINK("https://nconnect.nicmar.ac.in/storage/profile/ProfilePhoto_P25700342_917356.jpg","Download")</f>
        <v>0</v>
      </c>
      <c r="BQ391" s="3"/>
      <c r="BR391" s="3"/>
    </row>
    <row r="392" spans="1:70">
      <c r="A392" s="1" t="s">
        <v>70</v>
      </c>
      <c r="B392" s="1" t="s">
        <v>1269</v>
      </c>
      <c r="C392" s="1" t="s">
        <v>7600</v>
      </c>
      <c r="D392" s="1" t="s">
        <v>7601</v>
      </c>
      <c r="E392" s="1"/>
      <c r="F392" s="1" t="s">
        <v>4035</v>
      </c>
      <c r="G392" s="1" t="s">
        <v>7602</v>
      </c>
      <c r="H392" s="1" t="s">
        <v>7603</v>
      </c>
      <c r="I392" s="1" t="s">
        <v>7604</v>
      </c>
      <c r="J392" s="1">
        <v>9500644033</v>
      </c>
      <c r="K392" s="1" t="s">
        <v>79</v>
      </c>
      <c r="L392" s="1" t="s">
        <v>7605</v>
      </c>
      <c r="M392" s="1" t="s">
        <v>81</v>
      </c>
      <c r="N392" s="1" t="s">
        <v>2857</v>
      </c>
      <c r="O392" s="1"/>
      <c r="P392" s="1" t="s">
        <v>6615</v>
      </c>
      <c r="Q392" s="1" t="s">
        <v>7606</v>
      </c>
      <c r="R392" s="1" t="s">
        <v>7607</v>
      </c>
      <c r="S392" s="1">
        <v>9842710066</v>
      </c>
      <c r="T392" s="1" t="s">
        <v>496</v>
      </c>
      <c r="U392" s="1" t="s">
        <v>7608</v>
      </c>
      <c r="V392" s="1">
        <v>9965430493</v>
      </c>
      <c r="W392" s="1" t="s">
        <v>89</v>
      </c>
      <c r="X392" s="1" t="s">
        <v>7609</v>
      </c>
      <c r="Y392" s="1" t="s">
        <v>7610</v>
      </c>
      <c r="Z392" s="1" t="s">
        <v>1377</v>
      </c>
      <c r="AA392" s="1" t="s">
        <v>7609</v>
      </c>
      <c r="AB392" s="1" t="s">
        <v>7610</v>
      </c>
      <c r="AC392" s="1" t="s">
        <v>1377</v>
      </c>
      <c r="AD392" s="1">
        <v>8.44</v>
      </c>
      <c r="AE392" s="1" t="s">
        <v>93</v>
      </c>
      <c r="AF392" s="1" t="s">
        <v>7611</v>
      </c>
      <c r="AG392" s="1" t="s">
        <v>7612</v>
      </c>
      <c r="AH392" s="1" t="s">
        <v>3912</v>
      </c>
      <c r="AI392" s="1" t="s">
        <v>308</v>
      </c>
      <c r="AJ392" s="1">
        <v>90.2</v>
      </c>
      <c r="AK392" s="1"/>
      <c r="AL392" s="1" t="s">
        <v>7613</v>
      </c>
      <c r="AM392" s="1" t="s">
        <v>7612</v>
      </c>
      <c r="AN392" s="1" t="s">
        <v>433</v>
      </c>
      <c r="AO392" s="1" t="s">
        <v>506</v>
      </c>
      <c r="AP392" s="1">
        <v>91.6</v>
      </c>
      <c r="AQ392" s="1"/>
      <c r="AR392" s="1"/>
      <c r="AS392" s="1"/>
      <c r="AT392" s="1"/>
      <c r="AU392" s="1"/>
      <c r="AV392" s="1"/>
      <c r="AW392" s="1"/>
      <c r="AX392" s="1" t="s">
        <v>7614</v>
      </c>
      <c r="AY392" s="1" t="s">
        <v>4878</v>
      </c>
      <c r="AZ392" s="1" t="s">
        <v>1051</v>
      </c>
      <c r="BA392" s="1" t="s">
        <v>1361</v>
      </c>
      <c r="BB392" s="1">
        <v>73</v>
      </c>
      <c r="BC392" s="1">
        <v>7.3</v>
      </c>
      <c r="BD392" s="1"/>
      <c r="BE392" s="1"/>
      <c r="BF392" s="1"/>
      <c r="BG392" s="1"/>
      <c r="BH392" s="1"/>
      <c r="BI392" s="1"/>
      <c r="BJ392" s="1" t="s">
        <v>364</v>
      </c>
      <c r="BK392" s="1"/>
      <c r="BL392" s="1"/>
      <c r="BM392" s="1" t="s">
        <v>7615</v>
      </c>
      <c r="BN392" s="1">
        <v>22</v>
      </c>
      <c r="BO392" s="1" t="s">
        <v>7616</v>
      </c>
      <c r="BP392" s="1" t="str">
        <f>HYPERLINK("https://nconnect.nicmar.ac.in/storage/profile/ProfilePhoto_P25700343_519836.jpg","Download")</f>
        <v>0</v>
      </c>
      <c r="BQ392" s="3"/>
      <c r="BR392" s="3"/>
    </row>
    <row r="393" spans="1:70">
      <c r="A393" s="1" t="s">
        <v>70</v>
      </c>
      <c r="B393" s="1" t="s">
        <v>1269</v>
      </c>
      <c r="C393" s="1" t="s">
        <v>7617</v>
      </c>
      <c r="D393" s="1" t="s">
        <v>793</v>
      </c>
      <c r="E393" s="1" t="s">
        <v>7618</v>
      </c>
      <c r="F393" s="1" t="s">
        <v>7619</v>
      </c>
      <c r="G393" s="1" t="s">
        <v>7620</v>
      </c>
      <c r="H393" s="1" t="s">
        <v>7621</v>
      </c>
      <c r="I393" s="1" t="s">
        <v>7622</v>
      </c>
      <c r="J393" s="1">
        <v>7218952633</v>
      </c>
      <c r="K393" s="1" t="s">
        <v>79</v>
      </c>
      <c r="L393" s="1" t="s">
        <v>7623</v>
      </c>
      <c r="M393" s="1" t="s">
        <v>81</v>
      </c>
      <c r="N393" s="1" t="s">
        <v>1765</v>
      </c>
      <c r="O393" s="1"/>
      <c r="P393" s="1" t="s">
        <v>1278</v>
      </c>
      <c r="Q393" s="1" t="s">
        <v>7624</v>
      </c>
      <c r="R393" s="1" t="s">
        <v>7618</v>
      </c>
      <c r="S393" s="1">
        <v>9421567633</v>
      </c>
      <c r="T393" s="1" t="s">
        <v>154</v>
      </c>
      <c r="U393" s="1" t="s">
        <v>7625</v>
      </c>
      <c r="V393" s="1">
        <v>9421567633</v>
      </c>
      <c r="W393" s="1" t="s">
        <v>651</v>
      </c>
      <c r="X393" s="1" t="s">
        <v>7626</v>
      </c>
      <c r="Y393" s="1" t="s">
        <v>304</v>
      </c>
      <c r="Z393" s="1" t="s">
        <v>92</v>
      </c>
      <c r="AA393" s="1" t="s">
        <v>7626</v>
      </c>
      <c r="AB393" s="1" t="s">
        <v>304</v>
      </c>
      <c r="AC393" s="1" t="s">
        <v>92</v>
      </c>
      <c r="AD393" s="1">
        <v>7.25</v>
      </c>
      <c r="AE393" s="1" t="s">
        <v>93</v>
      </c>
      <c r="AF393" s="1" t="s">
        <v>7627</v>
      </c>
      <c r="AG393" s="1" t="s">
        <v>476</v>
      </c>
      <c r="AH393" s="1" t="s">
        <v>96</v>
      </c>
      <c r="AI393" s="1" t="s">
        <v>161</v>
      </c>
      <c r="AJ393" s="1">
        <v>72.2</v>
      </c>
      <c r="AK393" s="1"/>
      <c r="AL393" s="1"/>
      <c r="AM393" s="1"/>
      <c r="AN393" s="1"/>
      <c r="AO393" s="1"/>
      <c r="AP393" s="1"/>
      <c r="AQ393" s="1"/>
      <c r="AR393" s="1" t="s">
        <v>98</v>
      </c>
      <c r="AS393" s="1" t="s">
        <v>7628</v>
      </c>
      <c r="AT393" s="1" t="s">
        <v>337</v>
      </c>
      <c r="AU393" s="1" t="s">
        <v>681</v>
      </c>
      <c r="AV393" s="1">
        <v>60</v>
      </c>
      <c r="AW393" s="1"/>
      <c r="AX393" s="1" t="s">
        <v>7629</v>
      </c>
      <c r="AY393" s="1" t="s">
        <v>7630</v>
      </c>
      <c r="AZ393" s="1" t="s">
        <v>363</v>
      </c>
      <c r="BA393" s="1" t="s">
        <v>174</v>
      </c>
      <c r="BB393" s="1">
        <v>71.62</v>
      </c>
      <c r="BC393" s="1">
        <v>7.55</v>
      </c>
      <c r="BD393" s="1"/>
      <c r="BE393" s="1"/>
      <c r="BF393" s="1"/>
      <c r="BG393" s="1"/>
      <c r="BH393" s="1"/>
      <c r="BI393" s="1"/>
      <c r="BJ393" s="1" t="s">
        <v>7631</v>
      </c>
      <c r="BK393" s="1" t="s">
        <v>7632</v>
      </c>
      <c r="BL393" s="1" t="s">
        <v>2186</v>
      </c>
      <c r="BM393" s="1"/>
      <c r="BN393" s="1"/>
      <c r="BO393" s="1"/>
      <c r="BP393" s="1" t="str">
        <f>HYPERLINK("https://nconnect.nicmar.ac.in/storage/profile/ProfilePhoto_P25700344_278134.jpg","Download")</f>
        <v>0</v>
      </c>
      <c r="BQ393" s="3"/>
      <c r="BR393" s="3"/>
    </row>
    <row r="394" spans="1:70">
      <c r="A394" s="1" t="s">
        <v>70</v>
      </c>
      <c r="B394" s="1" t="s">
        <v>1269</v>
      </c>
      <c r="C394" s="1" t="s">
        <v>7633</v>
      </c>
      <c r="D394" s="1" t="s">
        <v>1740</v>
      </c>
      <c r="E394" s="1" t="s">
        <v>2483</v>
      </c>
      <c r="F394" s="1" t="s">
        <v>7634</v>
      </c>
      <c r="G394" s="1" t="s">
        <v>7635</v>
      </c>
      <c r="H394" s="1" t="s">
        <v>7636</v>
      </c>
      <c r="I394" s="1" t="s">
        <v>7637</v>
      </c>
      <c r="J394" s="1">
        <v>7219070684</v>
      </c>
      <c r="K394" s="1" t="s">
        <v>79</v>
      </c>
      <c r="L394" s="1" t="s">
        <v>7638</v>
      </c>
      <c r="M394" s="1" t="s">
        <v>81</v>
      </c>
      <c r="N394" s="1" t="s">
        <v>7292</v>
      </c>
      <c r="O394" s="1"/>
      <c r="P394" s="1" t="s">
        <v>1323</v>
      </c>
      <c r="Q394" s="1" t="s">
        <v>7639</v>
      </c>
      <c r="R394" s="1" t="s">
        <v>7640</v>
      </c>
      <c r="S394" s="1">
        <v>9325686281</v>
      </c>
      <c r="T394" s="1" t="s">
        <v>7641</v>
      </c>
      <c r="U394" s="1" t="s">
        <v>7642</v>
      </c>
      <c r="V394" s="1">
        <v>9890037065</v>
      </c>
      <c r="W394" s="1" t="s">
        <v>156</v>
      </c>
      <c r="X394" s="1" t="s">
        <v>7643</v>
      </c>
      <c r="Y394" s="1" t="s">
        <v>191</v>
      </c>
      <c r="Z394" s="1" t="s">
        <v>92</v>
      </c>
      <c r="AA394" s="1" t="s">
        <v>7643</v>
      </c>
      <c r="AB394" s="1" t="s">
        <v>191</v>
      </c>
      <c r="AC394" s="1" t="s">
        <v>92</v>
      </c>
      <c r="AD394" s="1">
        <v>8.37</v>
      </c>
      <c r="AE394" s="1" t="s">
        <v>93</v>
      </c>
      <c r="AF394" s="1" t="s">
        <v>7644</v>
      </c>
      <c r="AG394" s="1" t="s">
        <v>307</v>
      </c>
      <c r="AH394" s="1" t="s">
        <v>281</v>
      </c>
      <c r="AI394" s="1" t="s">
        <v>308</v>
      </c>
      <c r="AJ394" s="1">
        <v>83.8</v>
      </c>
      <c r="AK394" s="1"/>
      <c r="AL394" s="1"/>
      <c r="AM394" s="1"/>
      <c r="AN394" s="1"/>
      <c r="AO394" s="1"/>
      <c r="AP394" s="1"/>
      <c r="AQ394" s="1"/>
      <c r="AR394" s="1" t="s">
        <v>98</v>
      </c>
      <c r="AS394" s="1" t="s">
        <v>7645</v>
      </c>
      <c r="AT394" s="1" t="s">
        <v>433</v>
      </c>
      <c r="AU394" s="1" t="s">
        <v>105</v>
      </c>
      <c r="AV394" s="1">
        <v>83.8</v>
      </c>
      <c r="AW394" s="1"/>
      <c r="AX394" s="1" t="s">
        <v>7646</v>
      </c>
      <c r="AY394" s="1" t="s">
        <v>7646</v>
      </c>
      <c r="AZ394" s="1" t="s">
        <v>874</v>
      </c>
      <c r="BA394" s="1" t="s">
        <v>1714</v>
      </c>
      <c r="BB394" s="1">
        <v>76.1</v>
      </c>
      <c r="BC394" s="1">
        <v>8.36</v>
      </c>
      <c r="BD394" s="1"/>
      <c r="BE394" s="1"/>
      <c r="BF394" s="1"/>
      <c r="BG394" s="1"/>
      <c r="BH394" s="1"/>
      <c r="BI394" s="1"/>
      <c r="BJ394" s="1" t="s">
        <v>7647</v>
      </c>
      <c r="BK394" s="1"/>
      <c r="BL394" s="1"/>
      <c r="BM394" s="1" t="s">
        <v>7648</v>
      </c>
      <c r="BN394" s="1">
        <v>34</v>
      </c>
      <c r="BO394" s="1" t="s">
        <v>7649</v>
      </c>
      <c r="BP394" s="1" t="str">
        <f>HYPERLINK("https://nconnect.nicmar.ac.in/storage/profile/ProfilePhoto_P25700345_856793.jpg","Download")</f>
        <v>0</v>
      </c>
      <c r="BQ394" s="3"/>
      <c r="BR394" s="3"/>
    </row>
    <row r="395" spans="1:70">
      <c r="A395" s="1" t="s">
        <v>70</v>
      </c>
      <c r="B395" s="1" t="s">
        <v>1269</v>
      </c>
      <c r="C395" s="1" t="s">
        <v>7650</v>
      </c>
      <c r="D395" s="1" t="s">
        <v>7651</v>
      </c>
      <c r="E395" s="1"/>
      <c r="F395" s="1" t="s">
        <v>7652</v>
      </c>
      <c r="G395" s="1" t="s">
        <v>7653</v>
      </c>
      <c r="H395" s="1" t="s">
        <v>7654</v>
      </c>
      <c r="I395" s="1" t="s">
        <v>7655</v>
      </c>
      <c r="J395" s="1">
        <v>8886472020</v>
      </c>
      <c r="K395" s="1" t="s">
        <v>148</v>
      </c>
      <c r="L395" s="1" t="s">
        <v>7656</v>
      </c>
      <c r="M395" s="1" t="s">
        <v>81</v>
      </c>
      <c r="N395" s="1" t="s">
        <v>7657</v>
      </c>
      <c r="O395" s="1"/>
      <c r="P395" s="1" t="s">
        <v>1766</v>
      </c>
      <c r="Q395" s="1" t="s">
        <v>7658</v>
      </c>
      <c r="R395" s="1" t="s">
        <v>7659</v>
      </c>
      <c r="S395" s="1">
        <v>8886072020</v>
      </c>
      <c r="T395" s="1" t="s">
        <v>120</v>
      </c>
      <c r="U395" s="1" t="s">
        <v>7660</v>
      </c>
      <c r="V395" s="1">
        <v>8886172020</v>
      </c>
      <c r="W395" s="1" t="s">
        <v>763</v>
      </c>
      <c r="X395" s="1" t="s">
        <v>7661</v>
      </c>
      <c r="Y395" s="1" t="s">
        <v>608</v>
      </c>
      <c r="Z395" s="1" t="s">
        <v>609</v>
      </c>
      <c r="AA395" s="1" t="s">
        <v>7661</v>
      </c>
      <c r="AB395" s="1" t="s">
        <v>608</v>
      </c>
      <c r="AC395" s="1" t="s">
        <v>609</v>
      </c>
      <c r="AD395" s="1">
        <v>9.41</v>
      </c>
      <c r="AE395" s="1" t="s">
        <v>93</v>
      </c>
      <c r="AF395" s="1" t="s">
        <v>7662</v>
      </c>
      <c r="AG395" s="1" t="s">
        <v>7663</v>
      </c>
      <c r="AH395" s="1" t="s">
        <v>456</v>
      </c>
      <c r="AI395" s="1" t="s">
        <v>165</v>
      </c>
      <c r="AJ395" s="1">
        <v>95</v>
      </c>
      <c r="AK395" s="1">
        <v>10</v>
      </c>
      <c r="AL395" s="1" t="s">
        <v>7664</v>
      </c>
      <c r="AM395" s="1" t="s">
        <v>7663</v>
      </c>
      <c r="AN395" s="1" t="s">
        <v>457</v>
      </c>
      <c r="AO395" s="1" t="s">
        <v>308</v>
      </c>
      <c r="AP395" s="1">
        <v>92</v>
      </c>
      <c r="AQ395" s="1"/>
      <c r="AR395" s="1"/>
      <c r="AS395" s="1"/>
      <c r="AT395" s="1"/>
      <c r="AU395" s="1"/>
      <c r="AV395" s="1"/>
      <c r="AW395" s="1"/>
      <c r="AX395" s="1" t="s">
        <v>7665</v>
      </c>
      <c r="AY395" s="1" t="s">
        <v>7666</v>
      </c>
      <c r="AZ395" s="1" t="s">
        <v>310</v>
      </c>
      <c r="BA395" s="1" t="s">
        <v>413</v>
      </c>
      <c r="BB395" s="1">
        <v>83.4</v>
      </c>
      <c r="BC395" s="1">
        <v>8.34</v>
      </c>
      <c r="BD395" s="1"/>
      <c r="BE395" s="1"/>
      <c r="BF395" s="1"/>
      <c r="BG395" s="1"/>
      <c r="BH395" s="1"/>
      <c r="BI395" s="1"/>
      <c r="BJ395" s="1" t="s">
        <v>7667</v>
      </c>
      <c r="BK395" s="1"/>
      <c r="BL395" s="1"/>
      <c r="BM395" s="1" t="s">
        <v>7668</v>
      </c>
      <c r="BN395" s="1">
        <v>33</v>
      </c>
      <c r="BO395" s="1" t="s">
        <v>7669</v>
      </c>
      <c r="BP395" s="1" t="str">
        <f>HYPERLINK("https://nconnect.nicmar.ac.in/storage/profile/ProfilePhoto_P25700346_549627.jpg","Download")</f>
        <v>0</v>
      </c>
      <c r="BQ395" s="3"/>
      <c r="BR395" s="3"/>
    </row>
    <row r="396" spans="1:70">
      <c r="A396" s="1" t="s">
        <v>70</v>
      </c>
      <c r="B396" s="1" t="s">
        <v>1269</v>
      </c>
      <c r="C396" s="1" t="s">
        <v>7670</v>
      </c>
      <c r="D396" s="1" t="s">
        <v>7671</v>
      </c>
      <c r="E396" s="1" t="s">
        <v>7672</v>
      </c>
      <c r="F396" s="1" t="s">
        <v>2024</v>
      </c>
      <c r="G396" s="1" t="s">
        <v>7673</v>
      </c>
      <c r="H396" s="1" t="s">
        <v>7674</v>
      </c>
      <c r="I396" s="1" t="s">
        <v>7675</v>
      </c>
      <c r="J396" s="1">
        <v>9325973429</v>
      </c>
      <c r="K396" s="1" t="s">
        <v>79</v>
      </c>
      <c r="L396" s="1" t="s">
        <v>2659</v>
      </c>
      <c r="M396" s="1" t="s">
        <v>81</v>
      </c>
      <c r="N396" s="1" t="s">
        <v>7394</v>
      </c>
      <c r="O396" s="1"/>
      <c r="P396" s="1" t="s">
        <v>1323</v>
      </c>
      <c r="Q396" s="1" t="s">
        <v>7676</v>
      </c>
      <c r="R396" s="1" t="s">
        <v>7677</v>
      </c>
      <c r="S396" s="1">
        <v>9423475025</v>
      </c>
      <c r="T396" s="1" t="s">
        <v>120</v>
      </c>
      <c r="U396" s="1" t="s">
        <v>7678</v>
      </c>
      <c r="V396" s="1">
        <v>7276718725</v>
      </c>
      <c r="W396" s="1" t="s">
        <v>156</v>
      </c>
      <c r="X396" s="1" t="s">
        <v>7679</v>
      </c>
      <c r="Y396" s="1" t="s">
        <v>1174</v>
      </c>
      <c r="Z396" s="1" t="s">
        <v>92</v>
      </c>
      <c r="AA396" s="1" t="s">
        <v>7679</v>
      </c>
      <c r="AB396" s="1" t="s">
        <v>1174</v>
      </c>
      <c r="AC396" s="1" t="s">
        <v>92</v>
      </c>
      <c r="AD396" s="1">
        <v>7.68</v>
      </c>
      <c r="AE396" s="1" t="s">
        <v>93</v>
      </c>
      <c r="AF396" s="1" t="s">
        <v>7680</v>
      </c>
      <c r="AG396" s="1" t="s">
        <v>7401</v>
      </c>
      <c r="AH396" s="1" t="s">
        <v>101</v>
      </c>
      <c r="AI396" s="1" t="s">
        <v>409</v>
      </c>
      <c r="AJ396" s="1">
        <v>68.4</v>
      </c>
      <c r="AK396" s="1"/>
      <c r="AL396" s="1" t="s">
        <v>7681</v>
      </c>
      <c r="AM396" s="1" t="s">
        <v>7401</v>
      </c>
      <c r="AN396" s="1" t="s">
        <v>699</v>
      </c>
      <c r="AO396" s="1" t="s">
        <v>504</v>
      </c>
      <c r="AP396" s="1">
        <v>73.67</v>
      </c>
      <c r="AQ396" s="1"/>
      <c r="AR396" s="1"/>
      <c r="AS396" s="1"/>
      <c r="AT396" s="1"/>
      <c r="AU396" s="1"/>
      <c r="AV396" s="1"/>
      <c r="AW396" s="1"/>
      <c r="AX396" s="1" t="s">
        <v>361</v>
      </c>
      <c r="AY396" s="1" t="s">
        <v>7682</v>
      </c>
      <c r="AZ396" s="1" t="s">
        <v>897</v>
      </c>
      <c r="BA396" s="1" t="s">
        <v>1584</v>
      </c>
      <c r="BB396" s="1">
        <v>63.5</v>
      </c>
      <c r="BC396" s="1">
        <v>7.1</v>
      </c>
      <c r="BD396" s="1"/>
      <c r="BE396" s="1"/>
      <c r="BF396" s="1"/>
      <c r="BG396" s="1"/>
      <c r="BH396" s="1"/>
      <c r="BI396" s="1"/>
      <c r="BJ396" s="1" t="s">
        <v>7683</v>
      </c>
      <c r="BK396" s="1"/>
      <c r="BL396" s="1"/>
      <c r="BM396" s="1" t="s">
        <v>7684</v>
      </c>
      <c r="BN396" s="1">
        <v>25</v>
      </c>
      <c r="BO396" s="1" t="s">
        <v>7685</v>
      </c>
      <c r="BP396" s="1" t="str">
        <f>HYPERLINK("https://nconnect.nicmar.ac.in/storage/profile/ProfilePhoto_P25700347_834162.jpg","Download")</f>
        <v>0</v>
      </c>
      <c r="BQ396" s="3"/>
      <c r="BR396" s="3"/>
    </row>
    <row r="397" spans="1:70">
      <c r="A397" s="1" t="s">
        <v>70</v>
      </c>
      <c r="B397" s="1" t="s">
        <v>1269</v>
      </c>
      <c r="C397" s="1" t="s">
        <v>7686</v>
      </c>
      <c r="D397" s="1" t="s">
        <v>7687</v>
      </c>
      <c r="E397" s="1"/>
      <c r="F397" s="1" t="s">
        <v>7688</v>
      </c>
      <c r="G397" s="1" t="s">
        <v>7689</v>
      </c>
      <c r="H397" s="1" t="s">
        <v>7690</v>
      </c>
      <c r="I397" s="1" t="s">
        <v>7691</v>
      </c>
      <c r="J397" s="1">
        <v>7506045865</v>
      </c>
      <c r="K397" s="1" t="s">
        <v>79</v>
      </c>
      <c r="L397" s="1" t="s">
        <v>7692</v>
      </c>
      <c r="M397" s="1" t="s">
        <v>81</v>
      </c>
      <c r="N397" s="1" t="s">
        <v>1618</v>
      </c>
      <c r="O397" s="1"/>
      <c r="P397" s="1" t="s">
        <v>1298</v>
      </c>
      <c r="Q397" s="1" t="s">
        <v>7693</v>
      </c>
      <c r="R397" s="1" t="s">
        <v>5092</v>
      </c>
      <c r="S397" s="1">
        <v>9321776100</v>
      </c>
      <c r="T397" s="1" t="s">
        <v>120</v>
      </c>
      <c r="U397" s="1" t="s">
        <v>7694</v>
      </c>
      <c r="V397" s="1">
        <v>9702169187</v>
      </c>
      <c r="W397" s="1" t="s">
        <v>651</v>
      </c>
      <c r="X397" s="1" t="s">
        <v>7695</v>
      </c>
      <c r="Y397" s="1" t="s">
        <v>1018</v>
      </c>
      <c r="Z397" s="1" t="s">
        <v>92</v>
      </c>
      <c r="AA397" s="1" t="s">
        <v>7695</v>
      </c>
      <c r="AB397" s="1" t="s">
        <v>1018</v>
      </c>
      <c r="AC397" s="1" t="s">
        <v>92</v>
      </c>
      <c r="AD397" s="1">
        <v>6.73</v>
      </c>
      <c r="AE397" s="1" t="s">
        <v>93</v>
      </c>
      <c r="AF397" s="1" t="s">
        <v>501</v>
      </c>
      <c r="AG397" s="1" t="s">
        <v>1665</v>
      </c>
      <c r="AH397" s="1" t="s">
        <v>477</v>
      </c>
      <c r="AI397" s="1" t="s">
        <v>131</v>
      </c>
      <c r="AJ397" s="1">
        <v>56</v>
      </c>
      <c r="AK397" s="1">
        <v>6.4</v>
      </c>
      <c r="AL397" s="1" t="s">
        <v>7696</v>
      </c>
      <c r="AM397" s="1" t="s">
        <v>7697</v>
      </c>
      <c r="AN397" s="1" t="s">
        <v>162</v>
      </c>
      <c r="AO397" s="1" t="s">
        <v>479</v>
      </c>
      <c r="AP397" s="1">
        <v>49.69</v>
      </c>
      <c r="AQ397" s="1"/>
      <c r="AR397" s="1" t="s">
        <v>434</v>
      </c>
      <c r="AS397" s="1" t="s">
        <v>7698</v>
      </c>
      <c r="AT397" s="1" t="s">
        <v>225</v>
      </c>
      <c r="AU397" s="1" t="s">
        <v>170</v>
      </c>
      <c r="AV397" s="1">
        <v>77.76</v>
      </c>
      <c r="AW397" s="1"/>
      <c r="AX397" s="1" t="s">
        <v>1024</v>
      </c>
      <c r="AY397" s="1" t="s">
        <v>7699</v>
      </c>
      <c r="AZ397" s="1" t="s">
        <v>363</v>
      </c>
      <c r="BA397" s="1" t="s">
        <v>549</v>
      </c>
      <c r="BB397" s="1">
        <v>64.35</v>
      </c>
      <c r="BC397" s="1"/>
      <c r="BD397" s="1"/>
      <c r="BE397" s="1"/>
      <c r="BF397" s="1"/>
      <c r="BG397" s="1"/>
      <c r="BH397" s="1"/>
      <c r="BI397" s="1"/>
      <c r="BJ397" s="1" t="s">
        <v>255</v>
      </c>
      <c r="BK397" s="1" t="s">
        <v>7700</v>
      </c>
      <c r="BL397" s="1" t="s">
        <v>2186</v>
      </c>
      <c r="BM397" s="1" t="s">
        <v>7701</v>
      </c>
      <c r="BN397" s="1">
        <v>13</v>
      </c>
      <c r="BO397" s="1"/>
      <c r="BP397" s="1" t="str">
        <f>HYPERLINK("https://nconnect.nicmar.ac.in/storage/profile/ProfilePhoto_P25700348_398162.jpg","Download")</f>
        <v>0</v>
      </c>
      <c r="BQ397" s="3"/>
      <c r="BR397" s="3"/>
    </row>
    <row r="398" spans="1:70">
      <c r="A398" s="1" t="s">
        <v>70</v>
      </c>
      <c r="B398" s="1" t="s">
        <v>1269</v>
      </c>
      <c r="C398" s="1" t="s">
        <v>7702</v>
      </c>
      <c r="D398" s="1" t="s">
        <v>7703</v>
      </c>
      <c r="E398" s="1"/>
      <c r="F398" s="1" t="s">
        <v>835</v>
      </c>
      <c r="G398" s="1" t="s">
        <v>7704</v>
      </c>
      <c r="H398" s="1" t="s">
        <v>7705</v>
      </c>
      <c r="I398" s="1" t="s">
        <v>7706</v>
      </c>
      <c r="J398" s="1">
        <v>6388116291</v>
      </c>
      <c r="K398" s="1" t="s">
        <v>79</v>
      </c>
      <c r="L398" s="1" t="s">
        <v>7707</v>
      </c>
      <c r="M398" s="1" t="s">
        <v>81</v>
      </c>
      <c r="N398" s="1" t="s">
        <v>5040</v>
      </c>
      <c r="O398" s="1"/>
      <c r="P398" s="1" t="s">
        <v>1298</v>
      </c>
      <c r="Q398" s="1" t="s">
        <v>7708</v>
      </c>
      <c r="R398" s="1" t="s">
        <v>7709</v>
      </c>
      <c r="S398" s="1">
        <v>9793169015</v>
      </c>
      <c r="T398" s="1" t="s">
        <v>325</v>
      </c>
      <c r="U398" s="1" t="s">
        <v>7710</v>
      </c>
      <c r="V398" s="1">
        <v>9793169015</v>
      </c>
      <c r="W398" s="1" t="s">
        <v>156</v>
      </c>
      <c r="X398" s="1" t="s">
        <v>7711</v>
      </c>
      <c r="Y398" s="1" t="s">
        <v>7712</v>
      </c>
      <c r="Z398" s="1" t="s">
        <v>1355</v>
      </c>
      <c r="AA398" s="1" t="s">
        <v>7711</v>
      </c>
      <c r="AB398" s="1" t="s">
        <v>7712</v>
      </c>
      <c r="AC398" s="1" t="s">
        <v>1355</v>
      </c>
      <c r="AD398" s="1">
        <v>8.17</v>
      </c>
      <c r="AE398" s="1" t="s">
        <v>93</v>
      </c>
      <c r="AF398" s="1" t="s">
        <v>7713</v>
      </c>
      <c r="AG398" s="1" t="s">
        <v>7714</v>
      </c>
      <c r="AH398" s="1" t="s">
        <v>249</v>
      </c>
      <c r="AI398" s="1" t="s">
        <v>1197</v>
      </c>
      <c r="AJ398" s="1">
        <v>87</v>
      </c>
      <c r="AK398" s="1"/>
      <c r="AL398" s="1" t="s">
        <v>7713</v>
      </c>
      <c r="AM398" s="1" t="s">
        <v>7714</v>
      </c>
      <c r="AN398" s="1" t="s">
        <v>130</v>
      </c>
      <c r="AO398" s="1" t="s">
        <v>527</v>
      </c>
      <c r="AP398" s="1">
        <v>90</v>
      </c>
      <c r="AQ398" s="1"/>
      <c r="AR398" s="1"/>
      <c r="AS398" s="1"/>
      <c r="AT398" s="1"/>
      <c r="AU398" s="1"/>
      <c r="AV398" s="1"/>
      <c r="AW398" s="1"/>
      <c r="AX398" s="1" t="s">
        <v>7715</v>
      </c>
      <c r="AY398" s="1" t="s">
        <v>7716</v>
      </c>
      <c r="AZ398" s="1" t="s">
        <v>733</v>
      </c>
      <c r="BA398" s="1" t="s">
        <v>920</v>
      </c>
      <c r="BB398" s="1">
        <v>81.1</v>
      </c>
      <c r="BC398" s="1">
        <v>8.11</v>
      </c>
      <c r="BD398" s="1"/>
      <c r="BE398" s="1"/>
      <c r="BF398" s="1"/>
      <c r="BG398" s="1"/>
      <c r="BH398" s="1"/>
      <c r="BI398" s="1"/>
      <c r="BJ398" s="1" t="s">
        <v>7717</v>
      </c>
      <c r="BK398" s="1" t="s">
        <v>7718</v>
      </c>
      <c r="BL398" s="1" t="s">
        <v>7337</v>
      </c>
      <c r="BM398" s="1" t="s">
        <v>7719</v>
      </c>
      <c r="BN398" s="1">
        <v>18</v>
      </c>
      <c r="BO398" s="1"/>
      <c r="BP398" s="1" t="str">
        <f>HYPERLINK("https://nconnect.nicmar.ac.in/storage/profile/ProfilePhoto_P25700349_261783.jpg","Download")</f>
        <v>0</v>
      </c>
      <c r="BQ398" s="3"/>
      <c r="BR398" s="3"/>
    </row>
    <row r="399" spans="1:70">
      <c r="A399" s="1" t="s">
        <v>70</v>
      </c>
      <c r="B399" s="1" t="s">
        <v>1269</v>
      </c>
      <c r="C399" s="1" t="s">
        <v>7720</v>
      </c>
      <c r="D399" s="1" t="s">
        <v>7721</v>
      </c>
      <c r="E399" s="1"/>
      <c r="F399" s="1" t="s">
        <v>2655</v>
      </c>
      <c r="G399" s="1" t="s">
        <v>7722</v>
      </c>
      <c r="H399" s="1" t="s">
        <v>7723</v>
      </c>
      <c r="I399" s="1" t="s">
        <v>7724</v>
      </c>
      <c r="J399" s="1">
        <v>9207542359</v>
      </c>
      <c r="K399" s="1" t="s">
        <v>79</v>
      </c>
      <c r="L399" s="1" t="s">
        <v>7725</v>
      </c>
      <c r="M399" s="1" t="s">
        <v>81</v>
      </c>
      <c r="N399" s="1" t="s">
        <v>7726</v>
      </c>
      <c r="O399" s="1"/>
      <c r="P399" s="1" t="s">
        <v>1323</v>
      </c>
      <c r="Q399" s="1" t="s">
        <v>7727</v>
      </c>
      <c r="R399" s="1" t="s">
        <v>7728</v>
      </c>
      <c r="S399" s="1">
        <v>9745564006</v>
      </c>
      <c r="T399" s="1" t="s">
        <v>7729</v>
      </c>
      <c r="U399" s="1" t="s">
        <v>7730</v>
      </c>
      <c r="V399" s="1">
        <v>8547054710</v>
      </c>
      <c r="W399" s="1" t="s">
        <v>156</v>
      </c>
      <c r="X399" s="1" t="s">
        <v>7731</v>
      </c>
      <c r="Y399" s="1" t="s">
        <v>1491</v>
      </c>
      <c r="Z399" s="1" t="s">
        <v>125</v>
      </c>
      <c r="AA399" s="1" t="s">
        <v>7731</v>
      </c>
      <c r="AB399" s="1" t="s">
        <v>1491</v>
      </c>
      <c r="AC399" s="1" t="s">
        <v>125</v>
      </c>
      <c r="AD399" s="1">
        <v>9.0</v>
      </c>
      <c r="AE399" s="1" t="s">
        <v>93</v>
      </c>
      <c r="AF399" s="1" t="s">
        <v>7732</v>
      </c>
      <c r="AG399" s="1" t="s">
        <v>7733</v>
      </c>
      <c r="AH399" s="1" t="s">
        <v>161</v>
      </c>
      <c r="AI399" s="1" t="s">
        <v>527</v>
      </c>
      <c r="AJ399" s="1">
        <v>81.7</v>
      </c>
      <c r="AK399" s="1">
        <v>8.6</v>
      </c>
      <c r="AL399" s="1" t="s">
        <v>7732</v>
      </c>
      <c r="AM399" s="1" t="s">
        <v>7733</v>
      </c>
      <c r="AN399" s="1" t="s">
        <v>165</v>
      </c>
      <c r="AO399" s="1" t="s">
        <v>166</v>
      </c>
      <c r="AP399" s="1">
        <v>73</v>
      </c>
      <c r="AQ399" s="1"/>
      <c r="AR399" s="1"/>
      <c r="AS399" s="1"/>
      <c r="AT399" s="1"/>
      <c r="AU399" s="1"/>
      <c r="AV399" s="1"/>
      <c r="AW399" s="1"/>
      <c r="AX399" s="1" t="s">
        <v>132</v>
      </c>
      <c r="AY399" s="1" t="s">
        <v>7734</v>
      </c>
      <c r="AZ399" s="1" t="s">
        <v>636</v>
      </c>
      <c r="BA399" s="1" t="s">
        <v>284</v>
      </c>
      <c r="BB399" s="1">
        <v>78.3</v>
      </c>
      <c r="BC399" s="1">
        <v>7.83</v>
      </c>
      <c r="BD399" s="1"/>
      <c r="BE399" s="1"/>
      <c r="BF399" s="1"/>
      <c r="BG399" s="1"/>
      <c r="BH399" s="1"/>
      <c r="BI399" s="1"/>
      <c r="BJ399" s="1" t="s">
        <v>7735</v>
      </c>
      <c r="BK399" s="1" t="s">
        <v>7736</v>
      </c>
      <c r="BL399" s="1" t="s">
        <v>1337</v>
      </c>
      <c r="BM399" s="1" t="s">
        <v>7737</v>
      </c>
      <c r="BN399" s="1">
        <v>38</v>
      </c>
      <c r="BO399" s="1" t="s">
        <v>7738</v>
      </c>
      <c r="BP399" s="1" t="str">
        <f>HYPERLINK("https://nconnect.nicmar.ac.in/storage/profile/ProfilePhoto_P25700350_594367.jpg","Download")</f>
        <v>0</v>
      </c>
      <c r="BQ399" s="3"/>
      <c r="BR399" s="3"/>
    </row>
    <row r="400" spans="1:70">
      <c r="A400" s="1" t="s">
        <v>70</v>
      </c>
      <c r="B400" s="1" t="s">
        <v>1269</v>
      </c>
      <c r="C400" s="1" t="s">
        <v>7739</v>
      </c>
      <c r="D400" s="1" t="s">
        <v>7740</v>
      </c>
      <c r="E400" s="1" t="s">
        <v>3410</v>
      </c>
      <c r="F400" s="1" t="s">
        <v>7741</v>
      </c>
      <c r="G400" s="1" t="s">
        <v>7742</v>
      </c>
      <c r="H400" s="1" t="s">
        <v>7743</v>
      </c>
      <c r="I400" s="1" t="s">
        <v>7744</v>
      </c>
      <c r="J400" s="1">
        <v>9970143717</v>
      </c>
      <c r="K400" s="1" t="s">
        <v>79</v>
      </c>
      <c r="L400" s="1" t="s">
        <v>7745</v>
      </c>
      <c r="M400" s="1" t="s">
        <v>81</v>
      </c>
      <c r="N400" s="1" t="s">
        <v>2293</v>
      </c>
      <c r="O400" s="1"/>
      <c r="P400" s="1" t="s">
        <v>1298</v>
      </c>
      <c r="Q400" s="1" t="s">
        <v>7746</v>
      </c>
      <c r="R400" s="1" t="s">
        <v>7747</v>
      </c>
      <c r="S400" s="1">
        <v>9890630727</v>
      </c>
      <c r="T400" s="1" t="s">
        <v>472</v>
      </c>
      <c r="U400" s="1" t="s">
        <v>7748</v>
      </c>
      <c r="V400" s="1">
        <v>9422349566</v>
      </c>
      <c r="W400" s="1" t="s">
        <v>122</v>
      </c>
      <c r="X400" s="1" t="s">
        <v>7749</v>
      </c>
      <c r="Y400" s="1" t="s">
        <v>1886</v>
      </c>
      <c r="Z400" s="1" t="s">
        <v>92</v>
      </c>
      <c r="AA400" s="1" t="s">
        <v>7749</v>
      </c>
      <c r="AB400" s="1" t="s">
        <v>1886</v>
      </c>
      <c r="AC400" s="1" t="s">
        <v>92</v>
      </c>
      <c r="AD400" s="1">
        <v>8.77</v>
      </c>
      <c r="AE400" s="1" t="s">
        <v>93</v>
      </c>
      <c r="AF400" s="1" t="s">
        <v>7750</v>
      </c>
      <c r="AG400" s="1" t="s">
        <v>7751</v>
      </c>
      <c r="AH400" s="1" t="s">
        <v>101</v>
      </c>
      <c r="AI400" s="1" t="s">
        <v>433</v>
      </c>
      <c r="AJ400" s="1">
        <v>94.8</v>
      </c>
      <c r="AK400" s="1"/>
      <c r="AL400" s="1" t="s">
        <v>1130</v>
      </c>
      <c r="AM400" s="1" t="s">
        <v>7751</v>
      </c>
      <c r="AN400" s="1" t="s">
        <v>699</v>
      </c>
      <c r="AO400" s="1" t="s">
        <v>436</v>
      </c>
      <c r="AP400" s="1">
        <v>86</v>
      </c>
      <c r="AQ400" s="1"/>
      <c r="AR400" s="1"/>
      <c r="AS400" s="1"/>
      <c r="AT400" s="1"/>
      <c r="AU400" s="1"/>
      <c r="AV400" s="1"/>
      <c r="AW400" s="1"/>
      <c r="AX400" s="1" t="s">
        <v>7752</v>
      </c>
      <c r="AY400" s="1" t="s">
        <v>7753</v>
      </c>
      <c r="AZ400" s="1" t="s">
        <v>897</v>
      </c>
      <c r="BA400" s="1" t="s">
        <v>1714</v>
      </c>
      <c r="BB400" s="1">
        <v>68.8</v>
      </c>
      <c r="BC400" s="1">
        <v>7.63</v>
      </c>
      <c r="BD400" s="1"/>
      <c r="BE400" s="1"/>
      <c r="BF400" s="1"/>
      <c r="BG400" s="1"/>
      <c r="BH400" s="1"/>
      <c r="BI400" s="1"/>
      <c r="BJ400" s="1" t="s">
        <v>7754</v>
      </c>
      <c r="BK400" s="1"/>
      <c r="BL400" s="1"/>
      <c r="BM400" s="1" t="s">
        <v>7755</v>
      </c>
      <c r="BN400" s="1">
        <v>11</v>
      </c>
      <c r="BO400" s="1" t="s">
        <v>7756</v>
      </c>
      <c r="BP400" s="1" t="str">
        <f>HYPERLINK("https://nconnect.nicmar.ac.in/storage/profile/ProfilePhoto_P25700351_712865.jpg","Download")</f>
        <v>0</v>
      </c>
      <c r="BQ400" s="3"/>
      <c r="BR400" s="3"/>
    </row>
    <row r="401" spans="1:70">
      <c r="A401" s="1" t="s">
        <v>70</v>
      </c>
      <c r="B401" s="1" t="s">
        <v>1269</v>
      </c>
      <c r="C401" s="1" t="s">
        <v>7757</v>
      </c>
      <c r="D401" s="1" t="s">
        <v>7758</v>
      </c>
      <c r="E401" s="1" t="s">
        <v>5072</v>
      </c>
      <c r="F401" s="1" t="s">
        <v>7759</v>
      </c>
      <c r="G401" s="1" t="s">
        <v>7760</v>
      </c>
      <c r="H401" s="1" t="s">
        <v>7761</v>
      </c>
      <c r="I401" s="1" t="s">
        <v>7762</v>
      </c>
      <c r="J401" s="1">
        <v>9082793384</v>
      </c>
      <c r="K401" s="1" t="s">
        <v>79</v>
      </c>
      <c r="L401" s="1" t="s">
        <v>7763</v>
      </c>
      <c r="M401" s="1" t="s">
        <v>81</v>
      </c>
      <c r="N401" s="1" t="s">
        <v>2293</v>
      </c>
      <c r="O401" s="1"/>
      <c r="P401" s="1" t="s">
        <v>1323</v>
      </c>
      <c r="Q401" s="1" t="s">
        <v>7764</v>
      </c>
      <c r="R401" s="1" t="s">
        <v>7765</v>
      </c>
      <c r="S401" s="1">
        <v>9503114568</v>
      </c>
      <c r="T401" s="1" t="s">
        <v>7766</v>
      </c>
      <c r="U401" s="1" t="s">
        <v>7767</v>
      </c>
      <c r="V401" s="1">
        <v>9420063641</v>
      </c>
      <c r="W401" s="1" t="s">
        <v>156</v>
      </c>
      <c r="X401" s="1" t="s">
        <v>7768</v>
      </c>
      <c r="Y401" s="1" t="s">
        <v>191</v>
      </c>
      <c r="Z401" s="1" t="s">
        <v>92</v>
      </c>
      <c r="AA401" s="1" t="s">
        <v>7769</v>
      </c>
      <c r="AB401" s="1" t="s">
        <v>304</v>
      </c>
      <c r="AC401" s="1" t="s">
        <v>92</v>
      </c>
      <c r="AD401" s="1">
        <v>8.35</v>
      </c>
      <c r="AE401" s="1" t="s">
        <v>93</v>
      </c>
      <c r="AF401" s="1" t="s">
        <v>7770</v>
      </c>
      <c r="AG401" s="1" t="s">
        <v>307</v>
      </c>
      <c r="AH401" s="1" t="s">
        <v>96</v>
      </c>
      <c r="AI401" s="1" t="s">
        <v>131</v>
      </c>
      <c r="AJ401" s="1">
        <v>74.1</v>
      </c>
      <c r="AK401" s="1">
        <v>7.8</v>
      </c>
      <c r="AL401" s="1" t="s">
        <v>7771</v>
      </c>
      <c r="AM401" s="1" t="s">
        <v>7772</v>
      </c>
      <c r="AN401" s="1" t="s">
        <v>456</v>
      </c>
      <c r="AO401" s="1" t="s">
        <v>1332</v>
      </c>
      <c r="AP401" s="1">
        <v>66</v>
      </c>
      <c r="AQ401" s="1"/>
      <c r="AR401" s="1"/>
      <c r="AS401" s="1"/>
      <c r="AT401" s="1"/>
      <c r="AU401" s="1"/>
      <c r="AV401" s="1"/>
      <c r="AW401" s="1"/>
      <c r="AX401" s="1" t="s">
        <v>253</v>
      </c>
      <c r="AY401" s="1" t="s">
        <v>7773</v>
      </c>
      <c r="AZ401" s="1" t="s">
        <v>383</v>
      </c>
      <c r="BA401" s="1" t="s">
        <v>1131</v>
      </c>
      <c r="BB401" s="1">
        <v>63.81</v>
      </c>
      <c r="BC401" s="1">
        <v>7.09</v>
      </c>
      <c r="BD401" s="1"/>
      <c r="BE401" s="1"/>
      <c r="BF401" s="1"/>
      <c r="BG401" s="1"/>
      <c r="BH401" s="1"/>
      <c r="BI401" s="1"/>
      <c r="BJ401" s="1" t="s">
        <v>7774</v>
      </c>
      <c r="BK401" s="1" t="s">
        <v>7775</v>
      </c>
      <c r="BL401" s="1" t="s">
        <v>7776</v>
      </c>
      <c r="BM401" s="1" t="s">
        <v>7777</v>
      </c>
      <c r="BN401" s="1">
        <v>13</v>
      </c>
      <c r="BO401" s="1" t="s">
        <v>7778</v>
      </c>
      <c r="BP401" s="1" t="str">
        <f>HYPERLINK("https://nconnect.nicmar.ac.in/storage/profile/ProfilePhoto_P25700352_437125.jpg","Download")</f>
        <v>0</v>
      </c>
      <c r="BQ401" s="3"/>
      <c r="BR401" s="3"/>
    </row>
    <row r="402" spans="1:70">
      <c r="A402" s="1" t="s">
        <v>70</v>
      </c>
      <c r="B402" s="1" t="s">
        <v>1269</v>
      </c>
      <c r="C402" s="1" t="s">
        <v>7779</v>
      </c>
      <c r="D402" s="1" t="s">
        <v>316</v>
      </c>
      <c r="E402" s="1" t="s">
        <v>7780</v>
      </c>
      <c r="F402" s="1" t="s">
        <v>7781</v>
      </c>
      <c r="G402" s="1" t="s">
        <v>7782</v>
      </c>
      <c r="H402" s="1" t="s">
        <v>7783</v>
      </c>
      <c r="I402" s="1" t="s">
        <v>7784</v>
      </c>
      <c r="J402" s="1">
        <v>8379045231</v>
      </c>
      <c r="K402" s="1" t="s">
        <v>79</v>
      </c>
      <c r="L402" s="1" t="s">
        <v>7785</v>
      </c>
      <c r="M402" s="1" t="s">
        <v>81</v>
      </c>
      <c r="N402" s="1" t="s">
        <v>1418</v>
      </c>
      <c r="O402" s="1"/>
      <c r="P402" s="1" t="s">
        <v>1298</v>
      </c>
      <c r="Q402" s="1" t="s">
        <v>7786</v>
      </c>
      <c r="R402" s="1" t="s">
        <v>7787</v>
      </c>
      <c r="S402" s="1">
        <v>9011130331</v>
      </c>
      <c r="T402" s="1" t="s">
        <v>154</v>
      </c>
      <c r="U402" s="1" t="s">
        <v>7788</v>
      </c>
      <c r="V402" s="1">
        <v>7020577158</v>
      </c>
      <c r="W402" s="1" t="s">
        <v>156</v>
      </c>
      <c r="X402" s="1" t="s">
        <v>7789</v>
      </c>
      <c r="Y402" s="1" t="s">
        <v>191</v>
      </c>
      <c r="Z402" s="1" t="s">
        <v>92</v>
      </c>
      <c r="AA402" s="1" t="s">
        <v>7790</v>
      </c>
      <c r="AB402" s="1" t="s">
        <v>246</v>
      </c>
      <c r="AC402" s="1" t="s">
        <v>92</v>
      </c>
      <c r="AD402" s="1">
        <v>8.04</v>
      </c>
      <c r="AE402" s="1" t="s">
        <v>93</v>
      </c>
      <c r="AF402" s="1" t="s">
        <v>7791</v>
      </c>
      <c r="AG402" s="1" t="s">
        <v>5404</v>
      </c>
      <c r="AH402" s="1" t="s">
        <v>479</v>
      </c>
      <c r="AI402" s="1" t="s">
        <v>101</v>
      </c>
      <c r="AJ402" s="1">
        <v>90.6</v>
      </c>
      <c r="AK402" s="1"/>
      <c r="AL402" s="1"/>
      <c r="AM402" s="1"/>
      <c r="AN402" s="1"/>
      <c r="AO402" s="1"/>
      <c r="AP402" s="1"/>
      <c r="AQ402" s="1"/>
      <c r="AR402" s="1" t="s">
        <v>98</v>
      </c>
      <c r="AS402" s="1" t="s">
        <v>7792</v>
      </c>
      <c r="AT402" s="1" t="s">
        <v>636</v>
      </c>
      <c r="AU402" s="1" t="s">
        <v>436</v>
      </c>
      <c r="AV402" s="1">
        <v>91.53</v>
      </c>
      <c r="AW402" s="1"/>
      <c r="AX402" s="1" t="s">
        <v>2705</v>
      </c>
      <c r="AY402" s="1" t="s">
        <v>7793</v>
      </c>
      <c r="AZ402" s="1" t="s">
        <v>897</v>
      </c>
      <c r="BA402" s="1" t="s">
        <v>202</v>
      </c>
      <c r="BB402" s="1">
        <v>80.12</v>
      </c>
      <c r="BC402" s="1">
        <v>8.76</v>
      </c>
      <c r="BD402" s="1"/>
      <c r="BE402" s="1"/>
      <c r="BF402" s="1"/>
      <c r="BG402" s="1"/>
      <c r="BH402" s="1"/>
      <c r="BI402" s="1"/>
      <c r="BJ402" s="1" t="s">
        <v>7794</v>
      </c>
      <c r="BK402" s="1"/>
      <c r="BL402" s="1"/>
      <c r="BM402" s="1" t="s">
        <v>7795</v>
      </c>
      <c r="BN402" s="1">
        <v>13</v>
      </c>
      <c r="BO402" s="1" t="s">
        <v>7796</v>
      </c>
      <c r="BP402" s="1" t="str">
        <f>HYPERLINK("https://nconnect.nicmar.ac.in/storage/profile/ProfilePhoto_P25700353_496532.jpg","Download")</f>
        <v>0</v>
      </c>
      <c r="BQ402" s="3"/>
      <c r="BR402" s="3"/>
    </row>
    <row r="403" spans="1:70">
      <c r="A403" s="1" t="s">
        <v>70</v>
      </c>
      <c r="B403" s="1" t="s">
        <v>1269</v>
      </c>
      <c r="C403" s="1" t="s">
        <v>7797</v>
      </c>
      <c r="D403" s="1" t="s">
        <v>7798</v>
      </c>
      <c r="E403" s="1"/>
      <c r="F403" s="1" t="s">
        <v>7137</v>
      </c>
      <c r="G403" s="1" t="s">
        <v>7799</v>
      </c>
      <c r="H403" s="1" t="s">
        <v>7800</v>
      </c>
      <c r="I403" s="1" t="s">
        <v>7801</v>
      </c>
      <c r="J403" s="1">
        <v>7349789291</v>
      </c>
      <c r="K403" s="1" t="s">
        <v>148</v>
      </c>
      <c r="L403" s="1" t="s">
        <v>7802</v>
      </c>
      <c r="M403" s="1" t="s">
        <v>81</v>
      </c>
      <c r="N403" s="1" t="s">
        <v>7803</v>
      </c>
      <c r="O403" s="1"/>
      <c r="P403" s="1" t="s">
        <v>1298</v>
      </c>
      <c r="Q403" s="1" t="s">
        <v>7804</v>
      </c>
      <c r="R403" s="1" t="s">
        <v>7805</v>
      </c>
      <c r="S403" s="1">
        <v>8056009509</v>
      </c>
      <c r="T403" s="1" t="s">
        <v>520</v>
      </c>
      <c r="U403" s="1" t="s">
        <v>7806</v>
      </c>
      <c r="V403" s="1">
        <v>8217085374</v>
      </c>
      <c r="W403" s="1" t="s">
        <v>156</v>
      </c>
      <c r="X403" s="1" t="s">
        <v>7807</v>
      </c>
      <c r="Y403" s="1" t="s">
        <v>2052</v>
      </c>
      <c r="Z403" s="1" t="s">
        <v>1084</v>
      </c>
      <c r="AA403" s="1" t="s">
        <v>7807</v>
      </c>
      <c r="AB403" s="1" t="s">
        <v>2052</v>
      </c>
      <c r="AC403" s="1" t="s">
        <v>1084</v>
      </c>
      <c r="AD403" s="1">
        <v>8.82</v>
      </c>
      <c r="AE403" s="1" t="s">
        <v>93</v>
      </c>
      <c r="AF403" s="1" t="s">
        <v>7808</v>
      </c>
      <c r="AG403" s="1" t="s">
        <v>2745</v>
      </c>
      <c r="AH403" s="1" t="s">
        <v>527</v>
      </c>
      <c r="AI403" s="1" t="s">
        <v>678</v>
      </c>
      <c r="AJ403" s="1">
        <v>93.28</v>
      </c>
      <c r="AK403" s="1"/>
      <c r="AL403" s="1" t="s">
        <v>612</v>
      </c>
      <c r="AM403" s="1" t="s">
        <v>613</v>
      </c>
      <c r="AN403" s="1" t="s">
        <v>1307</v>
      </c>
      <c r="AO403" s="1" t="s">
        <v>1065</v>
      </c>
      <c r="AP403" s="1">
        <v>94.9</v>
      </c>
      <c r="AQ403" s="1"/>
      <c r="AR403" s="1"/>
      <c r="AS403" s="1"/>
      <c r="AT403" s="1"/>
      <c r="AU403" s="1"/>
      <c r="AV403" s="1"/>
      <c r="AW403" s="1"/>
      <c r="AX403" s="1" t="s">
        <v>1088</v>
      </c>
      <c r="AY403" s="1" t="s">
        <v>7809</v>
      </c>
      <c r="AZ403" s="1" t="s">
        <v>201</v>
      </c>
      <c r="BA403" s="1" t="s">
        <v>174</v>
      </c>
      <c r="BB403" s="1">
        <v>76.5</v>
      </c>
      <c r="BC403" s="1">
        <v>8.55</v>
      </c>
      <c r="BD403" s="1"/>
      <c r="BE403" s="1"/>
      <c r="BF403" s="1"/>
      <c r="BG403" s="1"/>
      <c r="BH403" s="1"/>
      <c r="BI403" s="1"/>
      <c r="BJ403" s="1" t="s">
        <v>7810</v>
      </c>
      <c r="BK403" s="1" t="s">
        <v>7811</v>
      </c>
      <c r="BL403" s="1" t="s">
        <v>1629</v>
      </c>
      <c r="BM403" s="1" t="s">
        <v>7812</v>
      </c>
      <c r="BN403" s="1">
        <v>14</v>
      </c>
      <c r="BO403" s="1"/>
      <c r="BP403" s="1" t="str">
        <f>HYPERLINK("https://nconnect.nicmar.ac.in/storage/profile/ProfilePhoto_P25700354_283475.jpg","Download")</f>
        <v>0</v>
      </c>
      <c r="BQ403" s="3"/>
      <c r="BR403" s="3"/>
    </row>
    <row r="404" spans="1:70">
      <c r="A404" s="1" t="s">
        <v>70</v>
      </c>
      <c r="B404" s="1" t="s">
        <v>1269</v>
      </c>
      <c r="C404" s="1" t="s">
        <v>7813</v>
      </c>
      <c r="D404" s="1" t="s">
        <v>1117</v>
      </c>
      <c r="E404" s="1" t="s">
        <v>1875</v>
      </c>
      <c r="F404" s="1" t="s">
        <v>7814</v>
      </c>
      <c r="G404" s="1" t="s">
        <v>7815</v>
      </c>
      <c r="H404" s="1" t="s">
        <v>7816</v>
      </c>
      <c r="I404" s="1" t="s">
        <v>7817</v>
      </c>
      <c r="J404" s="1">
        <v>9022608903</v>
      </c>
      <c r="K404" s="1" t="s">
        <v>79</v>
      </c>
      <c r="L404" s="1" t="s">
        <v>7818</v>
      </c>
      <c r="M404" s="1" t="s">
        <v>81</v>
      </c>
      <c r="N404" s="1" t="s">
        <v>7819</v>
      </c>
      <c r="O404" s="1"/>
      <c r="P404" s="1" t="s">
        <v>1323</v>
      </c>
      <c r="Q404" s="1" t="s">
        <v>7820</v>
      </c>
      <c r="R404" s="1" t="s">
        <v>1875</v>
      </c>
      <c r="S404" s="1">
        <v>9518904078</v>
      </c>
      <c r="T404" s="1" t="s">
        <v>7821</v>
      </c>
      <c r="U404" s="1" t="s">
        <v>3807</v>
      </c>
      <c r="V404" s="1">
        <v>8262938572</v>
      </c>
      <c r="W404" s="1" t="s">
        <v>156</v>
      </c>
      <c r="X404" s="1" t="s">
        <v>7822</v>
      </c>
      <c r="Y404" s="1" t="s">
        <v>2786</v>
      </c>
      <c r="Z404" s="1" t="s">
        <v>92</v>
      </c>
      <c r="AA404" s="1" t="s">
        <v>7822</v>
      </c>
      <c r="AB404" s="1" t="s">
        <v>2786</v>
      </c>
      <c r="AC404" s="1" t="s">
        <v>92</v>
      </c>
      <c r="AD404" s="1">
        <v>7.78</v>
      </c>
      <c r="AE404" s="1" t="s">
        <v>93</v>
      </c>
      <c r="AF404" s="1" t="s">
        <v>7823</v>
      </c>
      <c r="AG404" s="1" t="s">
        <v>7824</v>
      </c>
      <c r="AH404" s="1" t="s">
        <v>101</v>
      </c>
      <c r="AI404" s="1" t="s">
        <v>409</v>
      </c>
      <c r="AJ404" s="1">
        <v>69.4</v>
      </c>
      <c r="AK404" s="1"/>
      <c r="AL404" s="1"/>
      <c r="AM404" s="1"/>
      <c r="AN404" s="1"/>
      <c r="AO404" s="1"/>
      <c r="AP404" s="1"/>
      <c r="AQ404" s="1"/>
      <c r="AR404" s="1" t="s">
        <v>434</v>
      </c>
      <c r="AS404" s="1" t="s">
        <v>2788</v>
      </c>
      <c r="AT404" s="1" t="s">
        <v>201</v>
      </c>
      <c r="AU404" s="1" t="s">
        <v>105</v>
      </c>
      <c r="AV404" s="1">
        <v>76.94</v>
      </c>
      <c r="AW404" s="1"/>
      <c r="AX404" s="1" t="s">
        <v>4491</v>
      </c>
      <c r="AY404" s="1" t="s">
        <v>7825</v>
      </c>
      <c r="AZ404" s="1" t="s">
        <v>2630</v>
      </c>
      <c r="BA404" s="1" t="s">
        <v>1361</v>
      </c>
      <c r="BB404" s="1">
        <v>70.2</v>
      </c>
      <c r="BC404" s="1">
        <v>7.77</v>
      </c>
      <c r="BD404" s="1"/>
      <c r="BE404" s="1"/>
      <c r="BF404" s="1"/>
      <c r="BG404" s="1"/>
      <c r="BH404" s="1"/>
      <c r="BI404" s="1"/>
      <c r="BJ404" s="1" t="s">
        <v>7826</v>
      </c>
      <c r="BK404" s="1"/>
      <c r="BL404" s="1"/>
      <c r="BM404" s="1" t="s">
        <v>7827</v>
      </c>
      <c r="BN404" s="1">
        <v>14</v>
      </c>
      <c r="BO404" s="1" t="s">
        <v>7828</v>
      </c>
      <c r="BP404" s="1" t="str">
        <f>HYPERLINK("https://nconnect.nicmar.ac.in/storage/profile/ProfilePhoto_P25700355_452968.jpg","Download")</f>
        <v>0</v>
      </c>
      <c r="BQ404" s="3"/>
      <c r="BR404" s="3"/>
    </row>
    <row r="405" spans="1:70">
      <c r="A405" s="1" t="s">
        <v>70</v>
      </c>
      <c r="B405" s="1" t="s">
        <v>1269</v>
      </c>
      <c r="C405" s="1" t="s">
        <v>7829</v>
      </c>
      <c r="D405" s="1" t="s">
        <v>793</v>
      </c>
      <c r="E405" s="1" t="s">
        <v>1455</v>
      </c>
      <c r="F405" s="1" t="s">
        <v>7490</v>
      </c>
      <c r="G405" s="1" t="s">
        <v>7830</v>
      </c>
      <c r="H405" s="1" t="s">
        <v>7831</v>
      </c>
      <c r="I405" s="1" t="s">
        <v>7832</v>
      </c>
      <c r="J405" s="1">
        <v>7977989701</v>
      </c>
      <c r="K405" s="1" t="s">
        <v>79</v>
      </c>
      <c r="L405" s="1" t="s">
        <v>5496</v>
      </c>
      <c r="M405" s="1" t="s">
        <v>81</v>
      </c>
      <c r="N405" s="1" t="s">
        <v>1418</v>
      </c>
      <c r="O405" s="1"/>
      <c r="P405" s="1"/>
      <c r="Q405" s="1" t="s">
        <v>7833</v>
      </c>
      <c r="R405" s="1" t="s">
        <v>7834</v>
      </c>
      <c r="S405" s="1">
        <v>9322395763</v>
      </c>
      <c r="T405" s="1" t="s">
        <v>7835</v>
      </c>
      <c r="U405" s="1" t="s">
        <v>7836</v>
      </c>
      <c r="V405" s="1">
        <v>9320001998</v>
      </c>
      <c r="W405" s="1" t="s">
        <v>2492</v>
      </c>
      <c r="X405" s="1" t="s">
        <v>7837</v>
      </c>
      <c r="Y405" s="1" t="s">
        <v>1018</v>
      </c>
      <c r="Z405" s="1" t="s">
        <v>92</v>
      </c>
      <c r="AA405" s="1" t="s">
        <v>7837</v>
      </c>
      <c r="AB405" s="1" t="s">
        <v>1018</v>
      </c>
      <c r="AC405" s="1" t="s">
        <v>92</v>
      </c>
      <c r="AD405" s="1">
        <v>8.72</v>
      </c>
      <c r="AE405" s="1" t="s">
        <v>93</v>
      </c>
      <c r="AF405" s="1" t="s">
        <v>7838</v>
      </c>
      <c r="AG405" s="1" t="s">
        <v>1665</v>
      </c>
      <c r="AH405" s="1" t="s">
        <v>503</v>
      </c>
      <c r="AI405" s="1" t="s">
        <v>527</v>
      </c>
      <c r="AJ405" s="1">
        <v>88.6</v>
      </c>
      <c r="AK405" s="1">
        <v>9.6</v>
      </c>
      <c r="AL405" s="1"/>
      <c r="AM405" s="1"/>
      <c r="AN405" s="1"/>
      <c r="AO405" s="1"/>
      <c r="AP405" s="1"/>
      <c r="AQ405" s="1"/>
      <c r="AR405" s="1" t="s">
        <v>98</v>
      </c>
      <c r="AS405" s="1" t="s">
        <v>7839</v>
      </c>
      <c r="AT405" s="1" t="s">
        <v>162</v>
      </c>
      <c r="AU405" s="1" t="s">
        <v>433</v>
      </c>
      <c r="AV405" s="1">
        <v>76.73</v>
      </c>
      <c r="AW405" s="1"/>
      <c r="AX405" s="1" t="s">
        <v>1024</v>
      </c>
      <c r="AY405" s="1" t="s">
        <v>7840</v>
      </c>
      <c r="AZ405" s="1" t="s">
        <v>201</v>
      </c>
      <c r="BA405" s="1" t="s">
        <v>105</v>
      </c>
      <c r="BB405" s="1">
        <v>71.55</v>
      </c>
      <c r="BC405" s="1">
        <v>7.99</v>
      </c>
      <c r="BD405" s="1"/>
      <c r="BE405" s="1"/>
      <c r="BF405" s="1"/>
      <c r="BG405" s="1"/>
      <c r="BH405" s="1"/>
      <c r="BI405" s="1"/>
      <c r="BJ405" s="1" t="s">
        <v>7841</v>
      </c>
      <c r="BK405" s="1"/>
      <c r="BL405" s="1"/>
      <c r="BM405" s="1" t="s">
        <v>7842</v>
      </c>
      <c r="BN405" s="1">
        <v>8</v>
      </c>
      <c r="BO405" s="1" t="s">
        <v>7843</v>
      </c>
      <c r="BP405" s="1" t="str">
        <f>HYPERLINK("https://nconnect.nicmar.ac.in/storage/profile/ProfilePhoto_P25700356_431675.jpg","Download")</f>
        <v>0</v>
      </c>
      <c r="BQ405" s="3"/>
      <c r="BR405" s="3"/>
    </row>
    <row r="406" spans="1:70">
      <c r="A406" s="1" t="s">
        <v>70</v>
      </c>
      <c r="B406" s="1" t="s">
        <v>1269</v>
      </c>
      <c r="C406" s="1" t="s">
        <v>7844</v>
      </c>
      <c r="D406" s="1" t="s">
        <v>7845</v>
      </c>
      <c r="E406" s="1" t="s">
        <v>7846</v>
      </c>
      <c r="F406" s="1" t="s">
        <v>7847</v>
      </c>
      <c r="G406" s="1" t="s">
        <v>7848</v>
      </c>
      <c r="H406" s="1" t="s">
        <v>7849</v>
      </c>
      <c r="I406" s="1" t="s">
        <v>7850</v>
      </c>
      <c r="J406" s="1">
        <v>9099909063</v>
      </c>
      <c r="K406" s="1" t="s">
        <v>148</v>
      </c>
      <c r="L406" s="1" t="s">
        <v>7851</v>
      </c>
      <c r="M406" s="1" t="s">
        <v>81</v>
      </c>
      <c r="N406" s="1" t="s">
        <v>7852</v>
      </c>
      <c r="O406" s="1"/>
      <c r="P406" s="1" t="s">
        <v>1278</v>
      </c>
      <c r="Q406" s="1" t="s">
        <v>7853</v>
      </c>
      <c r="R406" s="1" t="s">
        <v>7854</v>
      </c>
      <c r="S406" s="1">
        <v>9375608183</v>
      </c>
      <c r="T406" s="1" t="s">
        <v>842</v>
      </c>
      <c r="U406" s="1" t="s">
        <v>7855</v>
      </c>
      <c r="V406" s="1">
        <v>9099893523</v>
      </c>
      <c r="W406" s="1" t="s">
        <v>156</v>
      </c>
      <c r="X406" s="1" t="s">
        <v>7856</v>
      </c>
      <c r="Y406" s="1" t="s">
        <v>1467</v>
      </c>
      <c r="Z406" s="1" t="s">
        <v>1468</v>
      </c>
      <c r="AA406" s="1" t="s">
        <v>7856</v>
      </c>
      <c r="AB406" s="1" t="s">
        <v>1467</v>
      </c>
      <c r="AC406" s="1" t="s">
        <v>1468</v>
      </c>
      <c r="AD406" s="1">
        <v>8.88</v>
      </c>
      <c r="AE406" s="1" t="s">
        <v>93</v>
      </c>
      <c r="AF406" s="1" t="s">
        <v>7857</v>
      </c>
      <c r="AG406" s="1" t="s">
        <v>1152</v>
      </c>
      <c r="AH406" s="1" t="s">
        <v>281</v>
      </c>
      <c r="AI406" s="1" t="s">
        <v>308</v>
      </c>
      <c r="AJ406" s="1">
        <v>90</v>
      </c>
      <c r="AK406" s="1"/>
      <c r="AL406" s="1" t="s">
        <v>7857</v>
      </c>
      <c r="AM406" s="1" t="s">
        <v>7858</v>
      </c>
      <c r="AN406" s="1" t="s">
        <v>941</v>
      </c>
      <c r="AO406" s="1" t="s">
        <v>506</v>
      </c>
      <c r="AP406" s="1">
        <v>92</v>
      </c>
      <c r="AQ406" s="1"/>
      <c r="AR406" s="1"/>
      <c r="AS406" s="1"/>
      <c r="AT406" s="1"/>
      <c r="AU406" s="1"/>
      <c r="AV406" s="1"/>
      <c r="AW406" s="1"/>
      <c r="AX406" s="1" t="s">
        <v>7859</v>
      </c>
      <c r="AY406" s="1" t="s">
        <v>7860</v>
      </c>
      <c r="AZ406" s="1" t="s">
        <v>135</v>
      </c>
      <c r="BA406" s="1" t="s">
        <v>1584</v>
      </c>
      <c r="BB406" s="1">
        <v>90.9</v>
      </c>
      <c r="BC406" s="1">
        <v>9.59</v>
      </c>
      <c r="BD406" s="1"/>
      <c r="BE406" s="1"/>
      <c r="BF406" s="1"/>
      <c r="BG406" s="1"/>
      <c r="BH406" s="1"/>
      <c r="BI406" s="1"/>
      <c r="BJ406" s="1" t="s">
        <v>7861</v>
      </c>
      <c r="BK406" s="1"/>
      <c r="BL406" s="1"/>
      <c r="BM406" s="1" t="s">
        <v>7862</v>
      </c>
      <c r="BN406" s="1">
        <v>11</v>
      </c>
      <c r="BO406" s="1"/>
      <c r="BP406" s="1" t="str">
        <f>HYPERLINK("https://nconnect.nicmar.ac.in/storage/profile/ProfilePhoto_P25700357_834596.jpg","Download")</f>
        <v>0</v>
      </c>
      <c r="BQ406" s="3"/>
      <c r="BR406" s="3"/>
    </row>
    <row r="407" spans="1:70">
      <c r="A407" s="1" t="s">
        <v>70</v>
      </c>
      <c r="B407" s="1" t="s">
        <v>1269</v>
      </c>
      <c r="C407" s="1" t="s">
        <v>7863</v>
      </c>
      <c r="D407" s="1" t="s">
        <v>7864</v>
      </c>
      <c r="E407" s="1" t="s">
        <v>1653</v>
      </c>
      <c r="F407" s="1" t="s">
        <v>4928</v>
      </c>
      <c r="G407" s="1" t="s">
        <v>7865</v>
      </c>
      <c r="H407" s="1" t="s">
        <v>7866</v>
      </c>
      <c r="I407" s="1" t="s">
        <v>7867</v>
      </c>
      <c r="J407" s="1">
        <v>9740134298</v>
      </c>
      <c r="K407" s="1" t="s">
        <v>148</v>
      </c>
      <c r="L407" s="1" t="s">
        <v>3613</v>
      </c>
      <c r="M407" s="1" t="s">
        <v>81</v>
      </c>
      <c r="N407" s="1" t="s">
        <v>7868</v>
      </c>
      <c r="O407" s="1"/>
      <c r="P407" s="1" t="s">
        <v>1278</v>
      </c>
      <c r="Q407" s="1" t="s">
        <v>7869</v>
      </c>
      <c r="R407" s="1" t="s">
        <v>7870</v>
      </c>
      <c r="S407" s="1">
        <v>9740134298</v>
      </c>
      <c r="T407" s="1" t="s">
        <v>496</v>
      </c>
      <c r="U407" s="1" t="s">
        <v>7871</v>
      </c>
      <c r="V407" s="1">
        <v>9740134298</v>
      </c>
      <c r="W407" s="1" t="s">
        <v>5802</v>
      </c>
      <c r="X407" s="1" t="s">
        <v>7872</v>
      </c>
      <c r="Y407" s="1" t="s">
        <v>3988</v>
      </c>
      <c r="Z407" s="1" t="s">
        <v>125</v>
      </c>
      <c r="AA407" s="1" t="s">
        <v>7872</v>
      </c>
      <c r="AB407" s="1" t="s">
        <v>3988</v>
      </c>
      <c r="AC407" s="1" t="s">
        <v>125</v>
      </c>
      <c r="AD407" s="1">
        <v>8.51</v>
      </c>
      <c r="AE407" s="1" t="s">
        <v>93</v>
      </c>
      <c r="AF407" s="1" t="s">
        <v>7873</v>
      </c>
      <c r="AG407" s="1" t="s">
        <v>939</v>
      </c>
      <c r="AH407" s="1" t="s">
        <v>1197</v>
      </c>
      <c r="AI407" s="1" t="s">
        <v>131</v>
      </c>
      <c r="AJ407" s="1">
        <v>79.8</v>
      </c>
      <c r="AK407" s="1">
        <v>8.4</v>
      </c>
      <c r="AL407" s="1" t="s">
        <v>7873</v>
      </c>
      <c r="AM407" s="1" t="s">
        <v>939</v>
      </c>
      <c r="AN407" s="1" t="s">
        <v>527</v>
      </c>
      <c r="AO407" s="1" t="s">
        <v>479</v>
      </c>
      <c r="AP407" s="1">
        <v>74.4</v>
      </c>
      <c r="AQ407" s="1"/>
      <c r="AR407" s="1"/>
      <c r="AS407" s="1"/>
      <c r="AT407" s="1"/>
      <c r="AU407" s="1"/>
      <c r="AV407" s="1"/>
      <c r="AW407" s="1"/>
      <c r="AX407" s="1" t="s">
        <v>7874</v>
      </c>
      <c r="AY407" s="1" t="s">
        <v>7875</v>
      </c>
      <c r="AZ407" s="1" t="s">
        <v>225</v>
      </c>
      <c r="BA407" s="1" t="s">
        <v>575</v>
      </c>
      <c r="BB407" s="1">
        <v>72.5</v>
      </c>
      <c r="BC407" s="1">
        <v>7.75</v>
      </c>
      <c r="BD407" s="1"/>
      <c r="BE407" s="1"/>
      <c r="BF407" s="1"/>
      <c r="BG407" s="1"/>
      <c r="BH407" s="1"/>
      <c r="BI407" s="1"/>
      <c r="BJ407" s="1" t="s">
        <v>7876</v>
      </c>
      <c r="BK407" s="1" t="s">
        <v>7877</v>
      </c>
      <c r="BL407" s="1" t="s">
        <v>1497</v>
      </c>
      <c r="BM407" s="1" t="s">
        <v>7878</v>
      </c>
      <c r="BN407" s="1">
        <v>27</v>
      </c>
      <c r="BO407" s="1" t="s">
        <v>7879</v>
      </c>
      <c r="BP407" s="1" t="str">
        <f>HYPERLINK("https://nconnect.nicmar.ac.in/storage/profile/ProfilePhoto_P25700358_381456.jpg","Download")</f>
        <v>0</v>
      </c>
      <c r="BQ407" s="3"/>
      <c r="BR407" s="3"/>
    </row>
    <row r="408" spans="1:70">
      <c r="A408" s="1" t="s">
        <v>70</v>
      </c>
      <c r="B408" s="1" t="s">
        <v>1269</v>
      </c>
      <c r="C408" s="1" t="s">
        <v>7880</v>
      </c>
      <c r="D408" s="1" t="s">
        <v>1138</v>
      </c>
      <c r="E408" s="1"/>
      <c r="F408" s="1" t="s">
        <v>7881</v>
      </c>
      <c r="G408" s="1" t="s">
        <v>7882</v>
      </c>
      <c r="H408" s="1" t="s">
        <v>7883</v>
      </c>
      <c r="I408" s="1" t="s">
        <v>7884</v>
      </c>
      <c r="J408" s="1">
        <v>6281400495</v>
      </c>
      <c r="K408" s="1" t="s">
        <v>79</v>
      </c>
      <c r="L408" s="1" t="s">
        <v>7885</v>
      </c>
      <c r="M408" s="1" t="s">
        <v>81</v>
      </c>
      <c r="N408" s="1" t="s">
        <v>7886</v>
      </c>
      <c r="O408" s="1"/>
      <c r="P408" s="1" t="s">
        <v>1323</v>
      </c>
      <c r="Q408" s="1" t="s">
        <v>7887</v>
      </c>
      <c r="R408" s="1" t="s">
        <v>7888</v>
      </c>
      <c r="S408" s="1">
        <v>9391535733</v>
      </c>
      <c r="T408" s="1" t="s">
        <v>7889</v>
      </c>
      <c r="U408" s="1" t="s">
        <v>7890</v>
      </c>
      <c r="V408" s="1">
        <v>9391535733</v>
      </c>
      <c r="W408" s="1" t="s">
        <v>156</v>
      </c>
      <c r="X408" s="1" t="s">
        <v>7891</v>
      </c>
      <c r="Y408" s="1" t="s">
        <v>1304</v>
      </c>
      <c r="Z408" s="1" t="s">
        <v>276</v>
      </c>
      <c r="AA408" s="1" t="s">
        <v>7891</v>
      </c>
      <c r="AB408" s="1" t="s">
        <v>1304</v>
      </c>
      <c r="AC408" s="1" t="s">
        <v>276</v>
      </c>
      <c r="AD408" s="1">
        <v>8.35</v>
      </c>
      <c r="AE408" s="1" t="s">
        <v>93</v>
      </c>
      <c r="AF408" s="1" t="s">
        <v>7892</v>
      </c>
      <c r="AG408" s="1" t="s">
        <v>3118</v>
      </c>
      <c r="AH408" s="1" t="s">
        <v>101</v>
      </c>
      <c r="AI408" s="1" t="s">
        <v>1065</v>
      </c>
      <c r="AJ408" s="1">
        <v>92</v>
      </c>
      <c r="AK408" s="1">
        <v>9.2</v>
      </c>
      <c r="AL408" s="1"/>
      <c r="AM408" s="1"/>
      <c r="AN408" s="1"/>
      <c r="AO408" s="1"/>
      <c r="AP408" s="1"/>
      <c r="AQ408" s="1"/>
      <c r="AR408" s="1" t="s">
        <v>434</v>
      </c>
      <c r="AS408" s="1" t="s">
        <v>7893</v>
      </c>
      <c r="AT408" s="1" t="s">
        <v>433</v>
      </c>
      <c r="AU408" s="1" t="s">
        <v>105</v>
      </c>
      <c r="AV408" s="1">
        <v>80.06</v>
      </c>
      <c r="AW408" s="1"/>
      <c r="AX408" s="1" t="s">
        <v>7894</v>
      </c>
      <c r="AY408" s="1" t="s">
        <v>7895</v>
      </c>
      <c r="AZ408" s="1" t="s">
        <v>874</v>
      </c>
      <c r="BA408" s="1" t="s">
        <v>1408</v>
      </c>
      <c r="BB408" s="1">
        <v>71.3</v>
      </c>
      <c r="BC408" s="1">
        <v>7.88</v>
      </c>
      <c r="BD408" s="1"/>
      <c r="BE408" s="1"/>
      <c r="BF408" s="1"/>
      <c r="BG408" s="1"/>
      <c r="BH408" s="1"/>
      <c r="BI408" s="1"/>
      <c r="BJ408" s="1" t="s">
        <v>7896</v>
      </c>
      <c r="BK408" s="1"/>
      <c r="BL408" s="1"/>
      <c r="BM408" s="1" t="s">
        <v>7897</v>
      </c>
      <c r="BN408" s="1">
        <v>11</v>
      </c>
      <c r="BO408" s="1"/>
      <c r="BP408" s="1" t="str">
        <f>HYPERLINK("https://nconnect.nicmar.ac.in/storage/profile/ProfilePhoto_P25700359_948167.jpg","Download")</f>
        <v>0</v>
      </c>
      <c r="BQ408" s="3"/>
      <c r="BR408" s="3"/>
    </row>
    <row r="409" spans="1:70">
      <c r="A409" s="1" t="s">
        <v>70</v>
      </c>
      <c r="B409" s="1" t="s">
        <v>1269</v>
      </c>
      <c r="C409" s="1" t="s">
        <v>7898</v>
      </c>
      <c r="D409" s="1" t="s">
        <v>7899</v>
      </c>
      <c r="E409" s="1" t="s">
        <v>6786</v>
      </c>
      <c r="F409" s="1" t="s">
        <v>7900</v>
      </c>
      <c r="G409" s="1" t="s">
        <v>7901</v>
      </c>
      <c r="H409" s="1" t="s">
        <v>7902</v>
      </c>
      <c r="I409" s="1" t="s">
        <v>7903</v>
      </c>
      <c r="J409" s="1">
        <v>7420891177</v>
      </c>
      <c r="K409" s="1" t="s">
        <v>148</v>
      </c>
      <c r="L409" s="1" t="s">
        <v>7904</v>
      </c>
      <c r="M409" s="1" t="s">
        <v>81</v>
      </c>
      <c r="N409" s="1" t="s">
        <v>860</v>
      </c>
      <c r="O409" s="1"/>
      <c r="P409" s="1" t="s">
        <v>1298</v>
      </c>
      <c r="Q409" s="1" t="s">
        <v>7905</v>
      </c>
      <c r="R409" s="1" t="s">
        <v>6786</v>
      </c>
      <c r="S409" s="1">
        <v>9096587095</v>
      </c>
      <c r="T409" s="1" t="s">
        <v>120</v>
      </c>
      <c r="U409" s="1" t="s">
        <v>7906</v>
      </c>
      <c r="V409" s="1">
        <v>8482959549</v>
      </c>
      <c r="W409" s="1" t="s">
        <v>89</v>
      </c>
      <c r="X409" s="1" t="s">
        <v>7907</v>
      </c>
      <c r="Y409" s="1" t="s">
        <v>7908</v>
      </c>
      <c r="Z409" s="1" t="s">
        <v>92</v>
      </c>
      <c r="AA409" s="1" t="s">
        <v>7907</v>
      </c>
      <c r="AB409" s="1" t="s">
        <v>7908</v>
      </c>
      <c r="AC409" s="1" t="s">
        <v>92</v>
      </c>
      <c r="AD409" s="1">
        <v>8.56</v>
      </c>
      <c r="AE409" s="1" t="s">
        <v>93</v>
      </c>
      <c r="AF409" s="1" t="s">
        <v>7909</v>
      </c>
      <c r="AG409" s="1" t="s">
        <v>160</v>
      </c>
      <c r="AH409" s="1" t="s">
        <v>96</v>
      </c>
      <c r="AI409" s="1" t="s">
        <v>97</v>
      </c>
      <c r="AJ409" s="1">
        <v>91.6</v>
      </c>
      <c r="AK409" s="1"/>
      <c r="AL409" s="1" t="s">
        <v>7910</v>
      </c>
      <c r="AM409" s="1" t="s">
        <v>7911</v>
      </c>
      <c r="AN409" s="1" t="s">
        <v>527</v>
      </c>
      <c r="AO409" s="1" t="s">
        <v>678</v>
      </c>
      <c r="AP409" s="1">
        <v>90.7</v>
      </c>
      <c r="AQ409" s="1"/>
      <c r="AR409" s="1"/>
      <c r="AS409" s="1"/>
      <c r="AT409" s="1"/>
      <c r="AU409" s="1"/>
      <c r="AV409" s="1"/>
      <c r="AW409" s="1"/>
      <c r="AX409" s="1" t="s">
        <v>7752</v>
      </c>
      <c r="AY409" s="1" t="s">
        <v>7912</v>
      </c>
      <c r="AZ409" s="1" t="s">
        <v>225</v>
      </c>
      <c r="BA409" s="1" t="s">
        <v>504</v>
      </c>
      <c r="BB409" s="1">
        <v>78.5</v>
      </c>
      <c r="BC409" s="1">
        <v>8.6</v>
      </c>
      <c r="BD409" s="1"/>
      <c r="BE409" s="1"/>
      <c r="BF409" s="1"/>
      <c r="BG409" s="1"/>
      <c r="BH409" s="1"/>
      <c r="BI409" s="1"/>
      <c r="BJ409" s="1" t="s">
        <v>7913</v>
      </c>
      <c r="BK409" s="1"/>
      <c r="BL409" s="1"/>
      <c r="BM409" s="1" t="s">
        <v>7914</v>
      </c>
      <c r="BN409" s="1">
        <v>16</v>
      </c>
      <c r="BO409" s="1" t="s">
        <v>7915</v>
      </c>
      <c r="BP409" s="1" t="str">
        <f>HYPERLINK("https://nconnect.nicmar.ac.in/storage/profile/ProfilePhoto_P25700360_657192.jpg","Download")</f>
        <v>0</v>
      </c>
      <c r="BQ409" s="3"/>
      <c r="BR409" s="3"/>
    </row>
    <row r="410" spans="1:70">
      <c r="A410" s="1" t="s">
        <v>70</v>
      </c>
      <c r="B410" s="1" t="s">
        <v>1269</v>
      </c>
      <c r="C410" s="1" t="s">
        <v>7916</v>
      </c>
      <c r="D410" s="1" t="s">
        <v>7917</v>
      </c>
      <c r="E410" s="1"/>
      <c r="F410" s="1" t="s">
        <v>7918</v>
      </c>
      <c r="G410" s="1" t="s">
        <v>7919</v>
      </c>
      <c r="H410" s="1" t="s">
        <v>7920</v>
      </c>
      <c r="I410" s="1" t="s">
        <v>7921</v>
      </c>
      <c r="J410" s="1">
        <v>6302736242</v>
      </c>
      <c r="K410" s="1" t="s">
        <v>79</v>
      </c>
      <c r="L410" s="1" t="s">
        <v>7922</v>
      </c>
      <c r="M410" s="1" t="s">
        <v>81</v>
      </c>
      <c r="N410" s="1" t="s">
        <v>7923</v>
      </c>
      <c r="O410" s="1"/>
      <c r="P410" s="1" t="s">
        <v>1462</v>
      </c>
      <c r="Q410" s="1" t="s">
        <v>7924</v>
      </c>
      <c r="R410" s="1" t="s">
        <v>7925</v>
      </c>
      <c r="S410" s="1">
        <v>9703229871</v>
      </c>
      <c r="T410" s="1" t="s">
        <v>154</v>
      </c>
      <c r="U410" s="1" t="s">
        <v>7926</v>
      </c>
      <c r="V410" s="1">
        <v>9703229871</v>
      </c>
      <c r="W410" s="1" t="s">
        <v>156</v>
      </c>
      <c r="X410" s="1" t="s">
        <v>7927</v>
      </c>
      <c r="Y410" s="1" t="s">
        <v>4306</v>
      </c>
      <c r="Z410" s="1" t="s">
        <v>276</v>
      </c>
      <c r="AA410" s="1" t="s">
        <v>7927</v>
      </c>
      <c r="AB410" s="1" t="s">
        <v>4306</v>
      </c>
      <c r="AC410" s="1" t="s">
        <v>276</v>
      </c>
      <c r="AD410" s="1">
        <v>8.48</v>
      </c>
      <c r="AE410" s="1" t="s">
        <v>93</v>
      </c>
      <c r="AF410" s="1" t="s">
        <v>7928</v>
      </c>
      <c r="AG410" s="1" t="s">
        <v>7929</v>
      </c>
      <c r="AH410" s="1" t="s">
        <v>162</v>
      </c>
      <c r="AI410" s="1" t="s">
        <v>678</v>
      </c>
      <c r="AJ410" s="1">
        <v>95</v>
      </c>
      <c r="AK410" s="1">
        <v>9.5</v>
      </c>
      <c r="AL410" s="1"/>
      <c r="AM410" s="1"/>
      <c r="AN410" s="1"/>
      <c r="AO410" s="1"/>
      <c r="AP410" s="1"/>
      <c r="AQ410" s="1"/>
      <c r="AR410" s="1" t="s">
        <v>7930</v>
      </c>
      <c r="AS410" s="1" t="s">
        <v>7931</v>
      </c>
      <c r="AT410" s="1" t="s">
        <v>165</v>
      </c>
      <c r="AU410" s="1" t="s">
        <v>1833</v>
      </c>
      <c r="AV410" s="1">
        <v>89.29</v>
      </c>
      <c r="AW410" s="1"/>
      <c r="AX410" s="1" t="s">
        <v>7932</v>
      </c>
      <c r="AY410" s="1" t="s">
        <v>7933</v>
      </c>
      <c r="AZ410" s="1" t="s">
        <v>170</v>
      </c>
      <c r="BA410" s="1" t="s">
        <v>590</v>
      </c>
      <c r="BB410" s="1">
        <v>71</v>
      </c>
      <c r="BC410" s="1">
        <v>7.54</v>
      </c>
      <c r="BD410" s="1"/>
      <c r="BE410" s="1"/>
      <c r="BF410" s="1"/>
      <c r="BG410" s="1"/>
      <c r="BH410" s="1"/>
      <c r="BI410" s="1"/>
      <c r="BJ410" s="1" t="s">
        <v>7934</v>
      </c>
      <c r="BK410" s="1" t="s">
        <v>7935</v>
      </c>
      <c r="BL410" s="1" t="s">
        <v>1629</v>
      </c>
      <c r="BM410" s="1" t="s">
        <v>7936</v>
      </c>
      <c r="BN410" s="1">
        <v>7</v>
      </c>
      <c r="BO410" s="1" t="s">
        <v>7937</v>
      </c>
      <c r="BP410" s="1" t="str">
        <f>HYPERLINK("https://nconnect.nicmar.ac.in/storage/profile/ProfilePhoto_P25700361_138974.jpg","Download")</f>
        <v>0</v>
      </c>
      <c r="BQ410" s="3"/>
      <c r="BR410" s="3"/>
    </row>
    <row r="411" spans="1:70">
      <c r="A411" s="1" t="s">
        <v>70</v>
      </c>
      <c r="B411" s="1" t="s">
        <v>1269</v>
      </c>
      <c r="C411" s="1" t="s">
        <v>7938</v>
      </c>
      <c r="D411" s="1" t="s">
        <v>7939</v>
      </c>
      <c r="E411" s="1"/>
      <c r="F411" s="1" t="s">
        <v>2128</v>
      </c>
      <c r="G411" s="1" t="s">
        <v>7940</v>
      </c>
      <c r="H411" s="1" t="s">
        <v>7941</v>
      </c>
      <c r="I411" s="1" t="s">
        <v>7942</v>
      </c>
      <c r="J411" s="1">
        <v>8270382241</v>
      </c>
      <c r="K411" s="1" t="s">
        <v>79</v>
      </c>
      <c r="L411" s="1" t="s">
        <v>7943</v>
      </c>
      <c r="M411" s="1" t="s">
        <v>81</v>
      </c>
      <c r="N411" s="1" t="s">
        <v>1371</v>
      </c>
      <c r="O411" s="1"/>
      <c r="P411" s="1" t="s">
        <v>1278</v>
      </c>
      <c r="Q411" s="1" t="s">
        <v>7944</v>
      </c>
      <c r="R411" s="1" t="s">
        <v>7945</v>
      </c>
      <c r="S411" s="1">
        <v>9787149630</v>
      </c>
      <c r="T411" s="1" t="s">
        <v>7946</v>
      </c>
      <c r="U411" s="1" t="s">
        <v>7947</v>
      </c>
      <c r="V411" s="1">
        <v>9751094421</v>
      </c>
      <c r="W411" s="1" t="s">
        <v>889</v>
      </c>
      <c r="X411" s="1" t="s">
        <v>7948</v>
      </c>
      <c r="Y411" s="1" t="s">
        <v>7949</v>
      </c>
      <c r="Z411" s="1" t="s">
        <v>1377</v>
      </c>
      <c r="AA411" s="1" t="s">
        <v>7948</v>
      </c>
      <c r="AB411" s="1" t="s">
        <v>7949</v>
      </c>
      <c r="AC411" s="1" t="s">
        <v>1377</v>
      </c>
      <c r="AD411" s="1">
        <v>8.57</v>
      </c>
      <c r="AE411" s="1" t="s">
        <v>93</v>
      </c>
      <c r="AF411" s="1" t="s">
        <v>7950</v>
      </c>
      <c r="AG411" s="1" t="s">
        <v>7951</v>
      </c>
      <c r="AH411" s="1" t="s">
        <v>101</v>
      </c>
      <c r="AI411" s="1" t="s">
        <v>308</v>
      </c>
      <c r="AJ411" s="1">
        <v>84.2</v>
      </c>
      <c r="AK411" s="1"/>
      <c r="AL411" s="1" t="s">
        <v>7950</v>
      </c>
      <c r="AM411" s="1" t="s">
        <v>7952</v>
      </c>
      <c r="AN411" s="1" t="s">
        <v>699</v>
      </c>
      <c r="AO411" s="1" t="s">
        <v>506</v>
      </c>
      <c r="AP411" s="1">
        <v>86</v>
      </c>
      <c r="AQ411" s="1"/>
      <c r="AR411" s="1"/>
      <c r="AS411" s="1"/>
      <c r="AT411" s="1"/>
      <c r="AU411" s="1"/>
      <c r="AV411" s="1"/>
      <c r="AW411" s="1"/>
      <c r="AX411" s="1" t="s">
        <v>7953</v>
      </c>
      <c r="AY411" s="1" t="s">
        <v>7954</v>
      </c>
      <c r="AZ411" s="1" t="s">
        <v>1407</v>
      </c>
      <c r="BA411" s="1" t="s">
        <v>1714</v>
      </c>
      <c r="BB411" s="1">
        <v>76.96</v>
      </c>
      <c r="BC411" s="1">
        <v>7.69</v>
      </c>
      <c r="BD411" s="1"/>
      <c r="BE411" s="1"/>
      <c r="BF411" s="1"/>
      <c r="BG411" s="1"/>
      <c r="BH411" s="1"/>
      <c r="BI411" s="1"/>
      <c r="BJ411" s="1" t="s">
        <v>7955</v>
      </c>
      <c r="BK411" s="1"/>
      <c r="BL411" s="1"/>
      <c r="BM411" s="1" t="s">
        <v>7956</v>
      </c>
      <c r="BN411" s="1">
        <v>12</v>
      </c>
      <c r="BO411" s="1"/>
      <c r="BP411" s="1" t="str">
        <f>HYPERLINK("https://nconnect.nicmar.ac.in/storage/profile/ProfilePhoto_P25700362_519874.jpg","Download")</f>
        <v>0</v>
      </c>
      <c r="BQ411" s="3"/>
      <c r="BR411" s="3"/>
    </row>
    <row r="412" spans="1:70">
      <c r="A412" s="1" t="s">
        <v>70</v>
      </c>
      <c r="B412" s="1" t="s">
        <v>1269</v>
      </c>
      <c r="C412" s="1" t="s">
        <v>7957</v>
      </c>
      <c r="D412" s="1" t="s">
        <v>7958</v>
      </c>
      <c r="E412" s="1"/>
      <c r="F412" s="1" t="s">
        <v>345</v>
      </c>
      <c r="G412" s="1" t="s">
        <v>7959</v>
      </c>
      <c r="H412" s="1" t="s">
        <v>7960</v>
      </c>
      <c r="I412" s="1" t="s">
        <v>7961</v>
      </c>
      <c r="J412" s="1">
        <v>7420962677</v>
      </c>
      <c r="K412" s="1" t="s">
        <v>79</v>
      </c>
      <c r="L412" s="1" t="s">
        <v>7962</v>
      </c>
      <c r="M412" s="1" t="s">
        <v>81</v>
      </c>
      <c r="N412" s="1" t="s">
        <v>2008</v>
      </c>
      <c r="O412" s="1"/>
      <c r="P412" s="1" t="s">
        <v>6615</v>
      </c>
      <c r="Q412" s="1" t="s">
        <v>7963</v>
      </c>
      <c r="R412" s="1" t="s">
        <v>7964</v>
      </c>
      <c r="S412" s="1">
        <v>9422669692</v>
      </c>
      <c r="T412" s="1" t="s">
        <v>3210</v>
      </c>
      <c r="U412" s="1" t="s">
        <v>7965</v>
      </c>
      <c r="V412" s="1">
        <v>9307379451</v>
      </c>
      <c r="W412" s="1" t="s">
        <v>156</v>
      </c>
      <c r="X412" s="1" t="s">
        <v>7966</v>
      </c>
      <c r="Y412" s="1" t="s">
        <v>766</v>
      </c>
      <c r="Z412" s="1" t="s">
        <v>92</v>
      </c>
      <c r="AA412" s="1" t="s">
        <v>7966</v>
      </c>
      <c r="AB412" s="1" t="s">
        <v>766</v>
      </c>
      <c r="AC412" s="1" t="s">
        <v>92</v>
      </c>
      <c r="AD412" s="1">
        <v>8.52</v>
      </c>
      <c r="AE412" s="1" t="s">
        <v>93</v>
      </c>
      <c r="AF412" s="1" t="s">
        <v>7967</v>
      </c>
      <c r="AG412" s="1" t="s">
        <v>7968</v>
      </c>
      <c r="AH412" s="1" t="s">
        <v>97</v>
      </c>
      <c r="AI412" s="1" t="s">
        <v>456</v>
      </c>
      <c r="AJ412" s="1">
        <v>81</v>
      </c>
      <c r="AK412" s="1"/>
      <c r="AL412" s="1"/>
      <c r="AM412" s="1"/>
      <c r="AN412" s="1"/>
      <c r="AO412" s="1"/>
      <c r="AP412" s="1"/>
      <c r="AQ412" s="1"/>
      <c r="AR412" s="1" t="s">
        <v>98</v>
      </c>
      <c r="AS412" s="1" t="s">
        <v>7969</v>
      </c>
      <c r="AT412" s="1" t="s">
        <v>134</v>
      </c>
      <c r="AU412" s="1" t="s">
        <v>433</v>
      </c>
      <c r="AV412" s="1">
        <v>68.73</v>
      </c>
      <c r="AW412" s="1"/>
      <c r="AX412" s="1" t="s">
        <v>253</v>
      </c>
      <c r="AY412" s="1" t="s">
        <v>7970</v>
      </c>
      <c r="AZ412" s="1" t="s">
        <v>201</v>
      </c>
      <c r="BA412" s="1" t="s">
        <v>1003</v>
      </c>
      <c r="BB412" s="1">
        <v>71.88</v>
      </c>
      <c r="BC412" s="1">
        <v>8.19</v>
      </c>
      <c r="BD412" s="1"/>
      <c r="BE412" s="1"/>
      <c r="BF412" s="1"/>
      <c r="BG412" s="1"/>
      <c r="BH412" s="1"/>
      <c r="BI412" s="1"/>
      <c r="BJ412" s="1" t="s">
        <v>7971</v>
      </c>
      <c r="BK412" s="1" t="s">
        <v>7972</v>
      </c>
      <c r="BL412" s="1" t="s">
        <v>138</v>
      </c>
      <c r="BM412" s="1" t="s">
        <v>7973</v>
      </c>
      <c r="BN412" s="1">
        <v>13</v>
      </c>
      <c r="BO412" s="1" t="s">
        <v>7974</v>
      </c>
      <c r="BP412" s="1" t="str">
        <f>HYPERLINK("https://nconnect.nicmar.ac.in/storage/profile/ProfilePhoto_P25700363_761958.jpg","Download")</f>
        <v>0</v>
      </c>
      <c r="BQ412" s="3"/>
      <c r="BR412" s="3"/>
    </row>
    <row r="413" spans="1:70">
      <c r="A413" s="1" t="s">
        <v>70</v>
      </c>
      <c r="B413" s="1" t="s">
        <v>1269</v>
      </c>
      <c r="C413" s="1" t="s">
        <v>7975</v>
      </c>
      <c r="D413" s="1" t="s">
        <v>7286</v>
      </c>
      <c r="E413" s="1" t="s">
        <v>3224</v>
      </c>
      <c r="F413" s="1" t="s">
        <v>7976</v>
      </c>
      <c r="G413" s="1" t="s">
        <v>7977</v>
      </c>
      <c r="H413" s="1" t="s">
        <v>7978</v>
      </c>
      <c r="I413" s="1" t="s">
        <v>7979</v>
      </c>
      <c r="J413" s="1">
        <v>9518506049</v>
      </c>
      <c r="K413" s="1" t="s">
        <v>79</v>
      </c>
      <c r="L413" s="1" t="s">
        <v>7980</v>
      </c>
      <c r="M413" s="1" t="s">
        <v>81</v>
      </c>
      <c r="N413" s="1" t="s">
        <v>1418</v>
      </c>
      <c r="O413" s="1"/>
      <c r="P413" s="1" t="s">
        <v>1298</v>
      </c>
      <c r="Q413" s="1" t="s">
        <v>7981</v>
      </c>
      <c r="R413" s="1" t="s">
        <v>3224</v>
      </c>
      <c r="S413" s="1">
        <v>9822408208</v>
      </c>
      <c r="T413" s="1" t="s">
        <v>842</v>
      </c>
      <c r="U413" s="1" t="s">
        <v>2699</v>
      </c>
      <c r="V413" s="1">
        <v>9168255208</v>
      </c>
      <c r="W413" s="1" t="s">
        <v>156</v>
      </c>
      <c r="X413" s="1" t="s">
        <v>7982</v>
      </c>
      <c r="Y413" s="1" t="s">
        <v>191</v>
      </c>
      <c r="Z413" s="1" t="s">
        <v>92</v>
      </c>
      <c r="AA413" s="1" t="s">
        <v>7982</v>
      </c>
      <c r="AB413" s="1" t="s">
        <v>191</v>
      </c>
      <c r="AC413" s="1" t="s">
        <v>92</v>
      </c>
      <c r="AD413" s="1">
        <v>8.81</v>
      </c>
      <c r="AE413" s="1" t="s">
        <v>93</v>
      </c>
      <c r="AF413" s="1" t="s">
        <v>7983</v>
      </c>
      <c r="AG413" s="1" t="s">
        <v>3154</v>
      </c>
      <c r="AH413" s="1" t="s">
        <v>101</v>
      </c>
      <c r="AI413" s="1" t="s">
        <v>308</v>
      </c>
      <c r="AJ413" s="1">
        <v>86</v>
      </c>
      <c r="AK413" s="1"/>
      <c r="AL413" s="1" t="s">
        <v>7984</v>
      </c>
      <c r="AM413" s="1" t="s">
        <v>3154</v>
      </c>
      <c r="AN413" s="1" t="s">
        <v>699</v>
      </c>
      <c r="AO413" s="1" t="s">
        <v>1712</v>
      </c>
      <c r="AP413" s="1">
        <v>91.17</v>
      </c>
      <c r="AQ413" s="1"/>
      <c r="AR413" s="1"/>
      <c r="AS413" s="1"/>
      <c r="AT413" s="1"/>
      <c r="AU413" s="1"/>
      <c r="AV413" s="1"/>
      <c r="AW413" s="1"/>
      <c r="AX413" s="1" t="s">
        <v>361</v>
      </c>
      <c r="AY413" s="1" t="s">
        <v>7985</v>
      </c>
      <c r="AZ413" s="1" t="s">
        <v>897</v>
      </c>
      <c r="BA413" s="1" t="s">
        <v>1714</v>
      </c>
      <c r="BB413" s="1">
        <v>73.78</v>
      </c>
      <c r="BC413" s="1">
        <v>8.29</v>
      </c>
      <c r="BD413" s="1"/>
      <c r="BE413" s="1"/>
      <c r="BF413" s="1"/>
      <c r="BG413" s="1"/>
      <c r="BH413" s="1"/>
      <c r="BI413" s="1"/>
      <c r="BJ413" s="1" t="s">
        <v>4493</v>
      </c>
      <c r="BK413" s="1"/>
      <c r="BL413" s="1"/>
      <c r="BM413" s="1" t="s">
        <v>7986</v>
      </c>
      <c r="BN413" s="1">
        <v>12</v>
      </c>
      <c r="BO413" s="1"/>
      <c r="BP413" s="1" t="str">
        <f>HYPERLINK("https://nconnect.nicmar.ac.in/storage/profile/ProfilePhoto_P25700364_541382.jpg","Download")</f>
        <v>0</v>
      </c>
      <c r="BQ413" s="3"/>
      <c r="BR413" s="3"/>
    </row>
    <row r="414" spans="1:70">
      <c r="A414" s="1" t="s">
        <v>70</v>
      </c>
      <c r="B414" s="1" t="s">
        <v>1269</v>
      </c>
      <c r="C414" s="1" t="s">
        <v>7987</v>
      </c>
      <c r="D414" s="1" t="s">
        <v>2594</v>
      </c>
      <c r="E414" s="1" t="s">
        <v>5393</v>
      </c>
      <c r="F414" s="1" t="s">
        <v>236</v>
      </c>
      <c r="G414" s="1" t="s">
        <v>7988</v>
      </c>
      <c r="H414" s="1" t="s">
        <v>7989</v>
      </c>
      <c r="I414" s="1" t="s">
        <v>7990</v>
      </c>
      <c r="J414" s="1">
        <v>9607779797</v>
      </c>
      <c r="K414" s="1" t="s">
        <v>79</v>
      </c>
      <c r="L414" s="1" t="s">
        <v>6911</v>
      </c>
      <c r="M414" s="1" t="s">
        <v>81</v>
      </c>
      <c r="N414" s="1" t="s">
        <v>6317</v>
      </c>
      <c r="O414" s="1"/>
      <c r="P414" s="1"/>
      <c r="Q414" s="1" t="s">
        <v>7991</v>
      </c>
      <c r="R414" s="1" t="s">
        <v>7992</v>
      </c>
      <c r="S414" s="1">
        <v>9422039641</v>
      </c>
      <c r="T414" s="1" t="s">
        <v>87</v>
      </c>
      <c r="U414" s="1" t="s">
        <v>7993</v>
      </c>
      <c r="V414" s="1">
        <v>9422029441</v>
      </c>
      <c r="W414" s="1" t="s">
        <v>273</v>
      </c>
      <c r="X414" s="1" t="s">
        <v>7994</v>
      </c>
      <c r="Y414" s="1" t="s">
        <v>5915</v>
      </c>
      <c r="Z414" s="1" t="s">
        <v>92</v>
      </c>
      <c r="AA414" s="1" t="s">
        <v>7994</v>
      </c>
      <c r="AB414" s="1" t="s">
        <v>5915</v>
      </c>
      <c r="AC414" s="1" t="s">
        <v>92</v>
      </c>
      <c r="AD414" s="1">
        <v>8.21</v>
      </c>
      <c r="AE414" s="1" t="s">
        <v>93</v>
      </c>
      <c r="AF414" s="1" t="s">
        <v>7995</v>
      </c>
      <c r="AG414" s="1" t="s">
        <v>7996</v>
      </c>
      <c r="AH414" s="1" t="s">
        <v>7997</v>
      </c>
      <c r="AI414" s="1" t="s">
        <v>166</v>
      </c>
      <c r="AJ414" s="1">
        <v>81</v>
      </c>
      <c r="AK414" s="1"/>
      <c r="AL414" s="1" t="s">
        <v>7998</v>
      </c>
      <c r="AM414" s="1" t="s">
        <v>7999</v>
      </c>
      <c r="AN414" s="1" t="s">
        <v>101</v>
      </c>
      <c r="AO414" s="1" t="s">
        <v>360</v>
      </c>
      <c r="AP414" s="1">
        <v>66.46</v>
      </c>
      <c r="AQ414" s="1"/>
      <c r="AR414" s="1"/>
      <c r="AS414" s="1"/>
      <c r="AT414" s="1"/>
      <c r="AU414" s="1"/>
      <c r="AV414" s="1"/>
      <c r="AW414" s="1"/>
      <c r="AX414" s="1" t="s">
        <v>8000</v>
      </c>
      <c r="AY414" s="1" t="s">
        <v>8001</v>
      </c>
      <c r="AZ414" s="1" t="s">
        <v>173</v>
      </c>
      <c r="BA414" s="1" t="s">
        <v>702</v>
      </c>
      <c r="BB414" s="1">
        <v>63.7</v>
      </c>
      <c r="BC414" s="1">
        <v>7.12</v>
      </c>
      <c r="BD414" s="1"/>
      <c r="BE414" s="1"/>
      <c r="BF414" s="1"/>
      <c r="BG414" s="1"/>
      <c r="BH414" s="1"/>
      <c r="BI414" s="1"/>
      <c r="BJ414" s="1" t="s">
        <v>8002</v>
      </c>
      <c r="BK414" s="1"/>
      <c r="BL414" s="1"/>
      <c r="BM414" s="1" t="s">
        <v>8003</v>
      </c>
      <c r="BN414" s="1">
        <v>35</v>
      </c>
      <c r="BO414" s="1"/>
      <c r="BP414" s="1" t="str">
        <f>HYPERLINK("https://nconnect.nicmar.ac.in/storage/profile/ProfilePhoto_P25700366_956721.jpg","Download")</f>
        <v>0</v>
      </c>
      <c r="BQ414" s="3"/>
      <c r="BR414" s="3"/>
    </row>
    <row r="415" spans="1:70">
      <c r="A415" s="1" t="s">
        <v>70</v>
      </c>
      <c r="B415" s="1" t="s">
        <v>1269</v>
      </c>
      <c r="C415" s="1" t="s">
        <v>8004</v>
      </c>
      <c r="D415" s="1" t="s">
        <v>4419</v>
      </c>
      <c r="E415" s="1" t="s">
        <v>181</v>
      </c>
      <c r="F415" s="1" t="s">
        <v>8005</v>
      </c>
      <c r="G415" s="1" t="s">
        <v>8006</v>
      </c>
      <c r="H415" s="1" t="s">
        <v>8007</v>
      </c>
      <c r="I415" s="1" t="s">
        <v>8008</v>
      </c>
      <c r="J415" s="1">
        <v>7972203913</v>
      </c>
      <c r="K415" s="1" t="s">
        <v>79</v>
      </c>
      <c r="L415" s="1" t="s">
        <v>8009</v>
      </c>
      <c r="M415" s="1" t="s">
        <v>81</v>
      </c>
      <c r="N415" s="1" t="s">
        <v>2008</v>
      </c>
      <c r="O415" s="1"/>
      <c r="P415" s="1" t="s">
        <v>1323</v>
      </c>
      <c r="Q415" s="1" t="s">
        <v>8010</v>
      </c>
      <c r="R415" s="1" t="s">
        <v>8011</v>
      </c>
      <c r="S415" s="1">
        <v>9405150730</v>
      </c>
      <c r="T415" s="1" t="s">
        <v>8012</v>
      </c>
      <c r="U415" s="1" t="s">
        <v>8013</v>
      </c>
      <c r="V415" s="1">
        <v>9403290644</v>
      </c>
      <c r="W415" s="1" t="s">
        <v>156</v>
      </c>
      <c r="X415" s="1" t="s">
        <v>8014</v>
      </c>
      <c r="Y415" s="1" t="s">
        <v>191</v>
      </c>
      <c r="Z415" s="1" t="s">
        <v>92</v>
      </c>
      <c r="AA415" s="1" t="s">
        <v>8015</v>
      </c>
      <c r="AB415" s="1" t="s">
        <v>405</v>
      </c>
      <c r="AC415" s="1" t="s">
        <v>92</v>
      </c>
      <c r="AD415" s="1">
        <v>8.2</v>
      </c>
      <c r="AE415" s="1" t="s">
        <v>93</v>
      </c>
      <c r="AF415" s="1" t="s">
        <v>8016</v>
      </c>
      <c r="AG415" s="1" t="s">
        <v>8017</v>
      </c>
      <c r="AH415" s="1" t="s">
        <v>733</v>
      </c>
      <c r="AI415" s="1" t="s">
        <v>195</v>
      </c>
      <c r="AJ415" s="1">
        <v>79.2</v>
      </c>
      <c r="AK415" s="1">
        <v>8.4</v>
      </c>
      <c r="AL415" s="1" t="s">
        <v>8018</v>
      </c>
      <c r="AM415" s="1" t="s">
        <v>8019</v>
      </c>
      <c r="AN415" s="1" t="s">
        <v>169</v>
      </c>
      <c r="AO415" s="1" t="s">
        <v>310</v>
      </c>
      <c r="AP415" s="1">
        <v>61.23</v>
      </c>
      <c r="AQ415" s="1"/>
      <c r="AR415" s="1"/>
      <c r="AS415" s="1"/>
      <c r="AT415" s="1"/>
      <c r="AU415" s="1"/>
      <c r="AV415" s="1"/>
      <c r="AW415" s="1"/>
      <c r="AX415" s="1" t="s">
        <v>8020</v>
      </c>
      <c r="AY415" s="1" t="s">
        <v>8021</v>
      </c>
      <c r="AZ415" s="1" t="s">
        <v>201</v>
      </c>
      <c r="BA415" s="1" t="s">
        <v>174</v>
      </c>
      <c r="BB415" s="1">
        <v>64.7</v>
      </c>
      <c r="BC415" s="1">
        <v>7.22</v>
      </c>
      <c r="BD415" s="1"/>
      <c r="BE415" s="1"/>
      <c r="BF415" s="1"/>
      <c r="BG415" s="1"/>
      <c r="BH415" s="1"/>
      <c r="BI415" s="1"/>
      <c r="BJ415" s="1" t="s">
        <v>364</v>
      </c>
      <c r="BK415" s="1"/>
      <c r="BL415" s="1"/>
      <c r="BM415" s="1" t="s">
        <v>8022</v>
      </c>
      <c r="BN415" s="1">
        <v>65</v>
      </c>
      <c r="BO415" s="1"/>
      <c r="BP415" s="1" t="str">
        <f>HYPERLINK("https://nconnect.nicmar.ac.in/storage/profile/ProfilePhoto_P25700368_157439.jpg","Download")</f>
        <v>0</v>
      </c>
      <c r="BQ415" s="3"/>
      <c r="BR415" s="3"/>
    </row>
    <row r="416" spans="1:70">
      <c r="A416" s="1" t="s">
        <v>70</v>
      </c>
      <c r="B416" s="1" t="s">
        <v>1269</v>
      </c>
      <c r="C416" s="1" t="s">
        <v>8023</v>
      </c>
      <c r="D416" s="1" t="s">
        <v>1039</v>
      </c>
      <c r="E416" s="1" t="s">
        <v>3052</v>
      </c>
      <c r="F416" s="1" t="s">
        <v>142</v>
      </c>
      <c r="G416" s="1" t="s">
        <v>8024</v>
      </c>
      <c r="H416" s="1" t="s">
        <v>8025</v>
      </c>
      <c r="I416" s="1" t="s">
        <v>8026</v>
      </c>
      <c r="J416" s="1">
        <v>9511248747</v>
      </c>
      <c r="K416" s="1" t="s">
        <v>79</v>
      </c>
      <c r="L416" s="1" t="s">
        <v>6614</v>
      </c>
      <c r="M416" s="1" t="s">
        <v>81</v>
      </c>
      <c r="N416" s="1" t="s">
        <v>2966</v>
      </c>
      <c r="O416" s="1"/>
      <c r="P416" s="1" t="s">
        <v>1298</v>
      </c>
      <c r="Q416" s="1" t="s">
        <v>8027</v>
      </c>
      <c r="R416" s="1" t="s">
        <v>3052</v>
      </c>
      <c r="S416" s="1">
        <v>9284050917</v>
      </c>
      <c r="T416" s="1" t="s">
        <v>154</v>
      </c>
      <c r="U416" s="1" t="s">
        <v>3060</v>
      </c>
      <c r="V416" s="1">
        <v>9665580920</v>
      </c>
      <c r="W416" s="1" t="s">
        <v>156</v>
      </c>
      <c r="X416" s="1" t="s">
        <v>8028</v>
      </c>
      <c r="Y416" s="1" t="s">
        <v>191</v>
      </c>
      <c r="Z416" s="1" t="s">
        <v>92</v>
      </c>
      <c r="AA416" s="1" t="s">
        <v>8029</v>
      </c>
      <c r="AB416" s="1" t="s">
        <v>1992</v>
      </c>
      <c r="AC416" s="1" t="s">
        <v>92</v>
      </c>
      <c r="AD416" s="1">
        <v>8.52</v>
      </c>
      <c r="AE416" s="1" t="s">
        <v>93</v>
      </c>
      <c r="AF416" s="1" t="s">
        <v>8030</v>
      </c>
      <c r="AG416" s="1" t="s">
        <v>8031</v>
      </c>
      <c r="AH416" s="1" t="s">
        <v>162</v>
      </c>
      <c r="AI416" s="1" t="s">
        <v>195</v>
      </c>
      <c r="AJ416" s="1">
        <v>89.2</v>
      </c>
      <c r="AK416" s="1"/>
      <c r="AL416" s="1"/>
      <c r="AM416" s="1"/>
      <c r="AN416" s="1"/>
      <c r="AO416" s="1"/>
      <c r="AP416" s="1"/>
      <c r="AQ416" s="1"/>
      <c r="AR416" s="1" t="s">
        <v>434</v>
      </c>
      <c r="AS416" s="1" t="s">
        <v>8032</v>
      </c>
      <c r="AT416" s="1" t="s">
        <v>225</v>
      </c>
      <c r="AU416" s="1" t="s">
        <v>170</v>
      </c>
      <c r="AV416" s="1">
        <v>91.32</v>
      </c>
      <c r="AW416" s="1"/>
      <c r="AX416" s="1" t="s">
        <v>361</v>
      </c>
      <c r="AY416" s="1" t="s">
        <v>2907</v>
      </c>
      <c r="AZ416" s="1" t="s">
        <v>363</v>
      </c>
      <c r="BA416" s="1" t="s">
        <v>174</v>
      </c>
      <c r="BB416" s="1">
        <v>74.36</v>
      </c>
      <c r="BC416" s="1">
        <v>8.28</v>
      </c>
      <c r="BD416" s="1"/>
      <c r="BE416" s="1"/>
      <c r="BF416" s="1"/>
      <c r="BG416" s="1"/>
      <c r="BH416" s="1"/>
      <c r="BI416" s="1"/>
      <c r="BJ416" s="1" t="s">
        <v>8033</v>
      </c>
      <c r="BK416" s="1"/>
      <c r="BL416" s="1"/>
      <c r="BM416" s="1" t="s">
        <v>8034</v>
      </c>
      <c r="BN416" s="1">
        <v>60</v>
      </c>
      <c r="BO416" s="1" t="s">
        <v>8035</v>
      </c>
      <c r="BP416" s="1" t="str">
        <f>HYPERLINK("https://nconnect.nicmar.ac.in/storage/profile/ProfilePhoto_P25700369_745329.jpg","Download")</f>
        <v>0</v>
      </c>
      <c r="BQ416" s="3"/>
      <c r="BR416" s="3"/>
    </row>
    <row r="417" spans="1:70">
      <c r="A417" s="1" t="s">
        <v>70</v>
      </c>
      <c r="B417" s="1" t="s">
        <v>1269</v>
      </c>
      <c r="C417" s="1" t="s">
        <v>8036</v>
      </c>
      <c r="D417" s="1" t="s">
        <v>2127</v>
      </c>
      <c r="E417" s="1" t="s">
        <v>3224</v>
      </c>
      <c r="F417" s="1" t="s">
        <v>8037</v>
      </c>
      <c r="G417" s="1" t="s">
        <v>8038</v>
      </c>
      <c r="H417" s="1" t="s">
        <v>8039</v>
      </c>
      <c r="I417" s="1" t="s">
        <v>8040</v>
      </c>
      <c r="J417" s="1">
        <v>9326015827</v>
      </c>
      <c r="K417" s="1" t="s">
        <v>79</v>
      </c>
      <c r="L417" s="1" t="s">
        <v>8041</v>
      </c>
      <c r="M417" s="1" t="s">
        <v>81</v>
      </c>
      <c r="N417" s="1" t="s">
        <v>8042</v>
      </c>
      <c r="O417" s="1"/>
      <c r="P417" s="1" t="s">
        <v>1298</v>
      </c>
      <c r="Q417" s="1" t="s">
        <v>8043</v>
      </c>
      <c r="R417" s="1" t="s">
        <v>3224</v>
      </c>
      <c r="S417" s="1">
        <v>9594039951</v>
      </c>
      <c r="T417" s="1" t="s">
        <v>8044</v>
      </c>
      <c r="U417" s="1" t="s">
        <v>8045</v>
      </c>
      <c r="V417" s="1">
        <v>9833379880</v>
      </c>
      <c r="W417" s="1" t="s">
        <v>156</v>
      </c>
      <c r="X417" s="1" t="s">
        <v>8046</v>
      </c>
      <c r="Y417" s="1" t="s">
        <v>1623</v>
      </c>
      <c r="Z417" s="1" t="s">
        <v>92</v>
      </c>
      <c r="AA417" s="1" t="s">
        <v>8047</v>
      </c>
      <c r="AB417" s="1" t="s">
        <v>1623</v>
      </c>
      <c r="AC417" s="1" t="s">
        <v>92</v>
      </c>
      <c r="AD417" s="1">
        <v>7.92</v>
      </c>
      <c r="AE417" s="1" t="s">
        <v>93</v>
      </c>
      <c r="AF417" s="1" t="s">
        <v>8048</v>
      </c>
      <c r="AG417" s="1" t="s">
        <v>160</v>
      </c>
      <c r="AH417" s="1" t="s">
        <v>337</v>
      </c>
      <c r="AI417" s="1" t="s">
        <v>527</v>
      </c>
      <c r="AJ417" s="1">
        <v>63.4</v>
      </c>
      <c r="AK417" s="1"/>
      <c r="AL417" s="1"/>
      <c r="AM417" s="1"/>
      <c r="AN417" s="1"/>
      <c r="AO417" s="1"/>
      <c r="AP417" s="1"/>
      <c r="AQ417" s="1"/>
      <c r="AR417" s="1" t="s">
        <v>434</v>
      </c>
      <c r="AS417" s="1" t="s">
        <v>8049</v>
      </c>
      <c r="AT417" s="1" t="s">
        <v>134</v>
      </c>
      <c r="AU417" s="1" t="s">
        <v>228</v>
      </c>
      <c r="AV417" s="1">
        <v>64.12</v>
      </c>
      <c r="AW417" s="1"/>
      <c r="AX417" s="1" t="s">
        <v>253</v>
      </c>
      <c r="AY417" s="1" t="s">
        <v>5858</v>
      </c>
      <c r="AZ417" s="1" t="s">
        <v>363</v>
      </c>
      <c r="BA417" s="1" t="s">
        <v>8050</v>
      </c>
      <c r="BB417" s="1">
        <v>68.86</v>
      </c>
      <c r="BC417" s="1">
        <v>7.84</v>
      </c>
      <c r="BD417" s="1"/>
      <c r="BE417" s="1"/>
      <c r="BF417" s="1"/>
      <c r="BG417" s="1"/>
      <c r="BH417" s="1"/>
      <c r="BI417" s="1"/>
      <c r="BJ417" s="1" t="s">
        <v>255</v>
      </c>
      <c r="BK417" s="1" t="s">
        <v>8051</v>
      </c>
      <c r="BL417" s="1" t="s">
        <v>3239</v>
      </c>
      <c r="BM417" s="1" t="s">
        <v>8052</v>
      </c>
      <c r="BN417" s="1">
        <v>10</v>
      </c>
      <c r="BO417" s="1"/>
      <c r="BP417" s="1" t="str">
        <f>HYPERLINK("https://nconnect.nicmar.ac.in/storage/profile/ProfilePhoto_P25700370_895437.jpg","Download")</f>
        <v>0</v>
      </c>
      <c r="BQ417" s="3"/>
      <c r="BR417" s="3"/>
    </row>
    <row r="418" spans="1:70">
      <c r="A418" s="1" t="s">
        <v>70</v>
      </c>
      <c r="B418" s="1" t="s">
        <v>1269</v>
      </c>
      <c r="C418" s="1" t="s">
        <v>8053</v>
      </c>
      <c r="D418" s="1" t="s">
        <v>4014</v>
      </c>
      <c r="E418" s="1"/>
      <c r="F418" s="1" t="s">
        <v>2793</v>
      </c>
      <c r="G418" s="1" t="s">
        <v>8054</v>
      </c>
      <c r="H418" s="1" t="s">
        <v>8055</v>
      </c>
      <c r="I418" s="1" t="s">
        <v>8056</v>
      </c>
      <c r="J418" s="1">
        <v>9538399704</v>
      </c>
      <c r="K418" s="1" t="s">
        <v>148</v>
      </c>
      <c r="L418" s="1" t="s">
        <v>8057</v>
      </c>
      <c r="M418" s="1" t="s">
        <v>81</v>
      </c>
      <c r="N418" s="1" t="s">
        <v>2046</v>
      </c>
      <c r="O418" s="1"/>
      <c r="P418" s="1" t="s">
        <v>1323</v>
      </c>
      <c r="Q418" s="1" t="s">
        <v>8058</v>
      </c>
      <c r="R418" s="1" t="s">
        <v>8059</v>
      </c>
      <c r="S418" s="1">
        <v>9448245386</v>
      </c>
      <c r="T418" s="1" t="s">
        <v>8060</v>
      </c>
      <c r="U418" s="1" t="s">
        <v>8061</v>
      </c>
      <c r="V418" s="1">
        <v>9448293831</v>
      </c>
      <c r="W418" s="1" t="s">
        <v>4097</v>
      </c>
      <c r="X418" s="1" t="s">
        <v>8062</v>
      </c>
      <c r="Y418" s="1" t="s">
        <v>2052</v>
      </c>
      <c r="Z418" s="1" t="s">
        <v>1084</v>
      </c>
      <c r="AA418" s="1" t="s">
        <v>8062</v>
      </c>
      <c r="AB418" s="1" t="s">
        <v>2052</v>
      </c>
      <c r="AC418" s="1" t="s">
        <v>1084</v>
      </c>
      <c r="AD418" s="1">
        <v>8.95</v>
      </c>
      <c r="AE418" s="1" t="s">
        <v>93</v>
      </c>
      <c r="AF418" s="1" t="s">
        <v>8063</v>
      </c>
      <c r="AG418" s="1" t="s">
        <v>8064</v>
      </c>
      <c r="AH418" s="1" t="s">
        <v>129</v>
      </c>
      <c r="AI418" s="1" t="s">
        <v>1197</v>
      </c>
      <c r="AJ418" s="1">
        <v>84.32</v>
      </c>
      <c r="AK418" s="1"/>
      <c r="AL418" s="1" t="s">
        <v>8065</v>
      </c>
      <c r="AM418" s="1" t="s">
        <v>8066</v>
      </c>
      <c r="AN418" s="1" t="s">
        <v>131</v>
      </c>
      <c r="AO418" s="1" t="s">
        <v>527</v>
      </c>
      <c r="AP418" s="1">
        <v>76.66</v>
      </c>
      <c r="AQ418" s="1"/>
      <c r="AR418" s="1"/>
      <c r="AS418" s="1"/>
      <c r="AT418" s="1"/>
      <c r="AU418" s="1"/>
      <c r="AV418" s="1"/>
      <c r="AW418" s="1"/>
      <c r="AX418" s="1" t="s">
        <v>1088</v>
      </c>
      <c r="AY418" s="1" t="s">
        <v>8067</v>
      </c>
      <c r="AZ418" s="1" t="s">
        <v>134</v>
      </c>
      <c r="BA418" s="1" t="s">
        <v>681</v>
      </c>
      <c r="BB418" s="1">
        <v>74.2</v>
      </c>
      <c r="BC418" s="1">
        <v>8.17</v>
      </c>
      <c r="BD418" s="1" t="s">
        <v>1088</v>
      </c>
      <c r="BE418" s="1" t="s">
        <v>8068</v>
      </c>
      <c r="BF418" s="1" t="s">
        <v>2461</v>
      </c>
      <c r="BG418" s="1" t="s">
        <v>2630</v>
      </c>
      <c r="BH418" s="1">
        <v>81.5</v>
      </c>
      <c r="BI418" s="1">
        <v>8.9</v>
      </c>
      <c r="BJ418" s="1" t="s">
        <v>8069</v>
      </c>
      <c r="BK418" s="1" t="s">
        <v>8070</v>
      </c>
      <c r="BL418" s="1" t="s">
        <v>1543</v>
      </c>
      <c r="BM418" s="1" t="s">
        <v>8071</v>
      </c>
      <c r="BN418" s="1">
        <v>20</v>
      </c>
      <c r="BO418" s="1" t="s">
        <v>8072</v>
      </c>
      <c r="BP418" s="1" t="str">
        <f>HYPERLINK("https://nconnect.nicmar.ac.in/storage/profile/ProfilePhoto_P25700371_572389.jpg","Download")</f>
        <v>0</v>
      </c>
      <c r="BQ418" s="3"/>
      <c r="BR418" s="3"/>
    </row>
    <row r="419" spans="1:70">
      <c r="A419" s="1" t="s">
        <v>70</v>
      </c>
      <c r="B419" s="1" t="s">
        <v>1269</v>
      </c>
      <c r="C419" s="1" t="s">
        <v>8073</v>
      </c>
      <c r="D419" s="1" t="s">
        <v>8074</v>
      </c>
      <c r="E419" s="1"/>
      <c r="F419" s="1" t="s">
        <v>8075</v>
      </c>
      <c r="G419" s="1" t="s">
        <v>8076</v>
      </c>
      <c r="H419" s="1" t="s">
        <v>8077</v>
      </c>
      <c r="I419" s="1" t="s">
        <v>8078</v>
      </c>
      <c r="J419" s="1">
        <v>8077106036</v>
      </c>
      <c r="K419" s="1" t="s">
        <v>79</v>
      </c>
      <c r="L419" s="1" t="s">
        <v>8079</v>
      </c>
      <c r="M419" s="1" t="s">
        <v>81</v>
      </c>
      <c r="N419" s="1" t="s">
        <v>5040</v>
      </c>
      <c r="O419" s="1"/>
      <c r="P419" s="1" t="s">
        <v>1298</v>
      </c>
      <c r="Q419" s="1" t="s">
        <v>8080</v>
      </c>
      <c r="R419" s="1" t="s">
        <v>8081</v>
      </c>
      <c r="S419" s="1">
        <v>7992311874</v>
      </c>
      <c r="T419" s="1" t="s">
        <v>763</v>
      </c>
      <c r="U419" s="1" t="s">
        <v>8082</v>
      </c>
      <c r="V419" s="1">
        <v>8279848766</v>
      </c>
      <c r="W419" s="1" t="s">
        <v>763</v>
      </c>
      <c r="X419" s="1" t="s">
        <v>8083</v>
      </c>
      <c r="Y419" s="1" t="s">
        <v>8084</v>
      </c>
      <c r="Z419" s="1" t="s">
        <v>1355</v>
      </c>
      <c r="AA419" s="1" t="s">
        <v>8083</v>
      </c>
      <c r="AB419" s="1" t="s">
        <v>8084</v>
      </c>
      <c r="AC419" s="1" t="s">
        <v>1355</v>
      </c>
      <c r="AD419" s="1">
        <v>9.29</v>
      </c>
      <c r="AE419" s="1" t="s">
        <v>93</v>
      </c>
      <c r="AF419" s="1" t="s">
        <v>8085</v>
      </c>
      <c r="AG419" s="1" t="s">
        <v>8086</v>
      </c>
      <c r="AH419" s="1" t="s">
        <v>131</v>
      </c>
      <c r="AI419" s="1" t="s">
        <v>527</v>
      </c>
      <c r="AJ419" s="1">
        <v>95</v>
      </c>
      <c r="AK419" s="1">
        <v>10</v>
      </c>
      <c r="AL419" s="1" t="s">
        <v>8087</v>
      </c>
      <c r="AM419" s="1" t="s">
        <v>307</v>
      </c>
      <c r="AN419" s="1" t="s">
        <v>165</v>
      </c>
      <c r="AO419" s="1" t="s">
        <v>166</v>
      </c>
      <c r="AP419" s="1">
        <v>87.02</v>
      </c>
      <c r="AQ419" s="1"/>
      <c r="AR419" s="1"/>
      <c r="AS419" s="1"/>
      <c r="AT419" s="1"/>
      <c r="AU419" s="1"/>
      <c r="AV419" s="1"/>
      <c r="AW419" s="1"/>
      <c r="AX419" s="1" t="s">
        <v>8088</v>
      </c>
      <c r="AY419" s="1" t="s">
        <v>8088</v>
      </c>
      <c r="AZ419" s="1" t="s">
        <v>169</v>
      </c>
      <c r="BA419" s="1" t="s">
        <v>481</v>
      </c>
      <c r="BB419" s="1">
        <v>90.09</v>
      </c>
      <c r="BC419" s="1">
        <v>9.09</v>
      </c>
      <c r="BD419" s="1"/>
      <c r="BE419" s="1"/>
      <c r="BF419" s="1"/>
      <c r="BG419" s="1"/>
      <c r="BH419" s="1"/>
      <c r="BI419" s="1"/>
      <c r="BJ419" s="1" t="s">
        <v>8089</v>
      </c>
      <c r="BK419" s="1" t="s">
        <v>8090</v>
      </c>
      <c r="BL419" s="1" t="s">
        <v>1543</v>
      </c>
      <c r="BM419" s="1" t="s">
        <v>8091</v>
      </c>
      <c r="BN419" s="1">
        <v>28</v>
      </c>
      <c r="BO419" s="1"/>
      <c r="BP419" s="1" t="str">
        <f>HYPERLINK("https://nconnect.nicmar.ac.in/storage/profile/ProfilePhoto_P25700372_298156.jpg","Download")</f>
        <v>0</v>
      </c>
      <c r="BQ419" s="3"/>
      <c r="BR419" s="3"/>
    </row>
    <row r="420" spans="1:70">
      <c r="A420" s="1" t="s">
        <v>70</v>
      </c>
      <c r="B420" s="1" t="s">
        <v>1269</v>
      </c>
      <c r="C420" s="1" t="s">
        <v>8092</v>
      </c>
      <c r="D420" s="1" t="s">
        <v>8093</v>
      </c>
      <c r="E420" s="1" t="s">
        <v>5072</v>
      </c>
      <c r="F420" s="1" t="s">
        <v>8094</v>
      </c>
      <c r="G420" s="1" t="s">
        <v>8095</v>
      </c>
      <c r="H420" s="1" t="s">
        <v>8096</v>
      </c>
      <c r="I420" s="1" t="s">
        <v>8097</v>
      </c>
      <c r="J420" s="1">
        <v>9175903302</v>
      </c>
      <c r="K420" s="1" t="s">
        <v>79</v>
      </c>
      <c r="L420" s="1" t="s">
        <v>8098</v>
      </c>
      <c r="M420" s="1" t="s">
        <v>81</v>
      </c>
      <c r="N420" s="1" t="s">
        <v>2293</v>
      </c>
      <c r="O420" s="1"/>
      <c r="P420" s="1" t="s">
        <v>1323</v>
      </c>
      <c r="Q420" s="1" t="s">
        <v>8099</v>
      </c>
      <c r="R420" s="1" t="s">
        <v>8100</v>
      </c>
      <c r="S420" s="1">
        <v>9422003015</v>
      </c>
      <c r="T420" s="1" t="s">
        <v>496</v>
      </c>
      <c r="U420" s="1" t="s">
        <v>8101</v>
      </c>
      <c r="V420" s="1">
        <v>9423566570</v>
      </c>
      <c r="W420" s="1" t="s">
        <v>674</v>
      </c>
      <c r="X420" s="1" t="s">
        <v>8102</v>
      </c>
      <c r="Y420" s="1" t="s">
        <v>191</v>
      </c>
      <c r="Z420" s="1" t="s">
        <v>92</v>
      </c>
      <c r="AA420" s="1" t="s">
        <v>8102</v>
      </c>
      <c r="AB420" s="1" t="s">
        <v>191</v>
      </c>
      <c r="AC420" s="1" t="s">
        <v>92</v>
      </c>
      <c r="AD420" s="1">
        <v>8.89</v>
      </c>
      <c r="AE420" s="1" t="s">
        <v>93</v>
      </c>
      <c r="AF420" s="1" t="s">
        <v>8103</v>
      </c>
      <c r="AG420" s="1" t="s">
        <v>4100</v>
      </c>
      <c r="AH420" s="1" t="s">
        <v>4572</v>
      </c>
      <c r="AI420" s="1" t="s">
        <v>166</v>
      </c>
      <c r="AJ420" s="1">
        <v>92.33</v>
      </c>
      <c r="AK420" s="1"/>
      <c r="AL420" s="1" t="s">
        <v>1217</v>
      </c>
      <c r="AM420" s="1" t="s">
        <v>8104</v>
      </c>
      <c r="AN420" s="1" t="s">
        <v>101</v>
      </c>
      <c r="AO420" s="1" t="s">
        <v>173</v>
      </c>
      <c r="AP420" s="1">
        <v>77.54</v>
      </c>
      <c r="AQ420" s="1"/>
      <c r="AR420" s="1"/>
      <c r="AS420" s="1"/>
      <c r="AT420" s="1"/>
      <c r="AU420" s="1"/>
      <c r="AV420" s="1"/>
      <c r="AW420" s="1"/>
      <c r="AX420" s="1" t="s">
        <v>361</v>
      </c>
      <c r="AY420" s="1" t="s">
        <v>5790</v>
      </c>
      <c r="AZ420" s="1" t="s">
        <v>173</v>
      </c>
      <c r="BA420" s="1" t="s">
        <v>1714</v>
      </c>
      <c r="BB420" s="1">
        <v>65.15</v>
      </c>
      <c r="BC420" s="1">
        <v>7.32</v>
      </c>
      <c r="BD420" s="1"/>
      <c r="BE420" s="1"/>
      <c r="BF420" s="1"/>
      <c r="BG420" s="1"/>
      <c r="BH420" s="1"/>
      <c r="BI420" s="1"/>
      <c r="BJ420" s="1" t="s">
        <v>8105</v>
      </c>
      <c r="BK420" s="1"/>
      <c r="BL420" s="1"/>
      <c r="BM420" s="1" t="s">
        <v>8106</v>
      </c>
      <c r="BN420" s="1">
        <v>25</v>
      </c>
      <c r="BO420" s="1" t="s">
        <v>8107</v>
      </c>
      <c r="BP420" s="1" t="str">
        <f>HYPERLINK("https://nconnect.nicmar.ac.in/storage/profile/ProfilePhoto_P25700373_975146.jpg","Download")</f>
        <v>0</v>
      </c>
      <c r="BQ420" s="3"/>
      <c r="BR420" s="3"/>
    </row>
    <row r="421" spans="1:70">
      <c r="A421" s="1" t="s">
        <v>70</v>
      </c>
      <c r="B421" s="1" t="s">
        <v>1269</v>
      </c>
      <c r="C421" s="1" t="s">
        <v>8108</v>
      </c>
      <c r="D421" s="1" t="s">
        <v>8109</v>
      </c>
      <c r="E421" s="1"/>
      <c r="F421" s="1" t="s">
        <v>8110</v>
      </c>
      <c r="G421" s="1" t="s">
        <v>8111</v>
      </c>
      <c r="H421" s="1" t="s">
        <v>8112</v>
      </c>
      <c r="I421" s="1" t="s">
        <v>8113</v>
      </c>
      <c r="J421" s="1">
        <v>9354817468</v>
      </c>
      <c r="K421" s="1" t="s">
        <v>148</v>
      </c>
      <c r="L421" s="1" t="s">
        <v>7980</v>
      </c>
      <c r="M421" s="1" t="s">
        <v>81</v>
      </c>
      <c r="N421" s="1" t="s">
        <v>8114</v>
      </c>
      <c r="O421" s="1"/>
      <c r="P421" s="1" t="s">
        <v>1766</v>
      </c>
      <c r="Q421" s="1" t="s">
        <v>8115</v>
      </c>
      <c r="R421" s="1" t="s">
        <v>8116</v>
      </c>
      <c r="S421" s="1">
        <v>9718078233</v>
      </c>
      <c r="T421" s="1" t="s">
        <v>910</v>
      </c>
      <c r="U421" s="1" t="s">
        <v>8117</v>
      </c>
      <c r="V421" s="1">
        <v>7982767566</v>
      </c>
      <c r="W421" s="1" t="s">
        <v>651</v>
      </c>
      <c r="X421" s="1" t="s">
        <v>8118</v>
      </c>
      <c r="Y421" s="1" t="s">
        <v>718</v>
      </c>
      <c r="Z421" s="1" t="s">
        <v>719</v>
      </c>
      <c r="AA421" s="1" t="s">
        <v>8118</v>
      </c>
      <c r="AB421" s="1" t="s">
        <v>718</v>
      </c>
      <c r="AC421" s="1" t="s">
        <v>719</v>
      </c>
      <c r="AD421" s="1">
        <v>9.31</v>
      </c>
      <c r="AE421" s="1" t="s">
        <v>93</v>
      </c>
      <c r="AF421" s="1" t="s">
        <v>501</v>
      </c>
      <c r="AG421" s="1" t="s">
        <v>307</v>
      </c>
      <c r="AH421" s="1" t="s">
        <v>279</v>
      </c>
      <c r="AI421" s="1" t="s">
        <v>165</v>
      </c>
      <c r="AJ421" s="1">
        <v>95</v>
      </c>
      <c r="AK421" s="1">
        <v>10</v>
      </c>
      <c r="AL421" s="1" t="s">
        <v>501</v>
      </c>
      <c r="AM421" s="1" t="s">
        <v>307</v>
      </c>
      <c r="AN421" s="1" t="s">
        <v>1307</v>
      </c>
      <c r="AO421" s="1" t="s">
        <v>308</v>
      </c>
      <c r="AP421" s="1">
        <v>81.5</v>
      </c>
      <c r="AQ421" s="1"/>
      <c r="AR421" s="1"/>
      <c r="AS421" s="1"/>
      <c r="AT421" s="1"/>
      <c r="AU421" s="1"/>
      <c r="AV421" s="1"/>
      <c r="AW421" s="1"/>
      <c r="AX421" s="1" t="s">
        <v>8119</v>
      </c>
      <c r="AY421" s="1" t="s">
        <v>8120</v>
      </c>
      <c r="AZ421" s="1" t="s">
        <v>201</v>
      </c>
      <c r="BA421" s="1" t="s">
        <v>386</v>
      </c>
      <c r="BB421" s="1">
        <v>70.01</v>
      </c>
      <c r="BC421" s="1">
        <v>7.37</v>
      </c>
      <c r="BD421" s="1"/>
      <c r="BE421" s="1"/>
      <c r="BF421" s="1"/>
      <c r="BG421" s="1"/>
      <c r="BH421" s="1"/>
      <c r="BI421" s="1"/>
      <c r="BJ421" s="1" t="s">
        <v>8121</v>
      </c>
      <c r="BK421" s="1"/>
      <c r="BL421" s="1"/>
      <c r="BM421" s="1" t="s">
        <v>8122</v>
      </c>
      <c r="BN421" s="1">
        <v>50</v>
      </c>
      <c r="BO421" s="1" t="s">
        <v>8123</v>
      </c>
      <c r="BP421" s="1" t="str">
        <f>HYPERLINK("https://nconnect.nicmar.ac.in/storage/profile/ProfilePhoto_P25700374_374629.jpg","Download")</f>
        <v>0</v>
      </c>
      <c r="BQ421" s="3"/>
      <c r="BR421" s="3"/>
    </row>
    <row r="422" spans="1:70">
      <c r="A422" s="1" t="s">
        <v>70</v>
      </c>
      <c r="B422" s="1" t="s">
        <v>1269</v>
      </c>
      <c r="C422" s="1" t="s">
        <v>8124</v>
      </c>
      <c r="D422" s="1" t="s">
        <v>2127</v>
      </c>
      <c r="E422" s="1" t="s">
        <v>8125</v>
      </c>
      <c r="F422" s="1" t="s">
        <v>8126</v>
      </c>
      <c r="G422" s="1" t="s">
        <v>8127</v>
      </c>
      <c r="H422" s="1" t="s">
        <v>8128</v>
      </c>
      <c r="I422" s="1" t="s">
        <v>8129</v>
      </c>
      <c r="J422" s="1">
        <v>8380092678</v>
      </c>
      <c r="K422" s="1" t="s">
        <v>79</v>
      </c>
      <c r="L422" s="1" t="s">
        <v>8130</v>
      </c>
      <c r="M422" s="1" t="s">
        <v>81</v>
      </c>
      <c r="N422" s="1" t="s">
        <v>8131</v>
      </c>
      <c r="O422" s="1"/>
      <c r="P422" s="1" t="s">
        <v>1278</v>
      </c>
      <c r="Q422" s="1" t="s">
        <v>8132</v>
      </c>
      <c r="R422" s="1" t="s">
        <v>8133</v>
      </c>
      <c r="S422" s="1">
        <v>9422147409</v>
      </c>
      <c r="T422" s="1" t="s">
        <v>496</v>
      </c>
      <c r="U422" s="1" t="s">
        <v>8134</v>
      </c>
      <c r="V422" s="1">
        <v>7030638158</v>
      </c>
      <c r="W422" s="1" t="s">
        <v>89</v>
      </c>
      <c r="X422" s="1" t="s">
        <v>8135</v>
      </c>
      <c r="Y422" s="1" t="s">
        <v>405</v>
      </c>
      <c r="Z422" s="1" t="s">
        <v>92</v>
      </c>
      <c r="AA422" s="1" t="s">
        <v>8135</v>
      </c>
      <c r="AB422" s="1" t="s">
        <v>405</v>
      </c>
      <c r="AC422" s="1" t="s">
        <v>92</v>
      </c>
      <c r="AD422" s="1">
        <v>8.59</v>
      </c>
      <c r="AE422" s="1" t="s">
        <v>93</v>
      </c>
      <c r="AF422" s="1" t="s">
        <v>8136</v>
      </c>
      <c r="AG422" s="1" t="s">
        <v>8137</v>
      </c>
      <c r="AH422" s="1" t="s">
        <v>1307</v>
      </c>
      <c r="AI422" s="1" t="s">
        <v>308</v>
      </c>
      <c r="AJ422" s="1">
        <v>87.6</v>
      </c>
      <c r="AK422" s="1"/>
      <c r="AL422" s="1"/>
      <c r="AM422" s="1"/>
      <c r="AN422" s="1"/>
      <c r="AO422" s="1"/>
      <c r="AP422" s="1"/>
      <c r="AQ422" s="1"/>
      <c r="AR422" s="1" t="s">
        <v>98</v>
      </c>
      <c r="AS422" s="1" t="s">
        <v>8138</v>
      </c>
      <c r="AT422" s="1" t="s">
        <v>310</v>
      </c>
      <c r="AU422" s="1" t="s">
        <v>105</v>
      </c>
      <c r="AV422" s="1">
        <v>91.7</v>
      </c>
      <c r="AW422" s="1"/>
      <c r="AX422" s="1" t="s">
        <v>5523</v>
      </c>
      <c r="AY422" s="1" t="s">
        <v>8139</v>
      </c>
      <c r="AZ422" s="1" t="s">
        <v>2690</v>
      </c>
      <c r="BA422" s="1" t="s">
        <v>1361</v>
      </c>
      <c r="BB422" s="1">
        <v>81.8</v>
      </c>
      <c r="BC422" s="1">
        <v>8.18</v>
      </c>
      <c r="BD422" s="1"/>
      <c r="BE422" s="1"/>
      <c r="BF422" s="1"/>
      <c r="BG422" s="1"/>
      <c r="BH422" s="1"/>
      <c r="BI422" s="1"/>
      <c r="BJ422" s="1" t="s">
        <v>8140</v>
      </c>
      <c r="BK422" s="1" t="s">
        <v>8141</v>
      </c>
      <c r="BL422" s="1" t="s">
        <v>947</v>
      </c>
      <c r="BM422" s="1" t="s">
        <v>8142</v>
      </c>
      <c r="BN422" s="1">
        <v>27</v>
      </c>
      <c r="BO422" s="1"/>
      <c r="BP422" s="1" t="str">
        <f>HYPERLINK("https://nconnect.nicmar.ac.in/storage/profile/ProfilePhoto_P25700375_963157.jpg","Download")</f>
        <v>0</v>
      </c>
      <c r="BQ422" s="3"/>
      <c r="BR422" s="3"/>
    </row>
    <row r="423" spans="1:70">
      <c r="A423" s="1" t="s">
        <v>70</v>
      </c>
      <c r="B423" s="1" t="s">
        <v>1269</v>
      </c>
      <c r="C423" s="1" t="s">
        <v>8143</v>
      </c>
      <c r="D423" s="1" t="s">
        <v>2024</v>
      </c>
      <c r="E423" s="1" t="s">
        <v>8144</v>
      </c>
      <c r="F423" s="1" t="s">
        <v>3052</v>
      </c>
      <c r="G423" s="1" t="s">
        <v>8145</v>
      </c>
      <c r="H423" s="1" t="s">
        <v>8146</v>
      </c>
      <c r="I423" s="1" t="s">
        <v>8147</v>
      </c>
      <c r="J423" s="1">
        <v>7666525337</v>
      </c>
      <c r="K423" s="1" t="s">
        <v>148</v>
      </c>
      <c r="L423" s="1" t="s">
        <v>8148</v>
      </c>
      <c r="M423" s="1" t="s">
        <v>81</v>
      </c>
      <c r="N423" s="1" t="s">
        <v>1418</v>
      </c>
      <c r="O423" s="1"/>
      <c r="P423" s="1" t="s">
        <v>1323</v>
      </c>
      <c r="Q423" s="1" t="s">
        <v>8149</v>
      </c>
      <c r="R423" s="1" t="s">
        <v>8150</v>
      </c>
      <c r="S423" s="1">
        <v>8788168137</v>
      </c>
      <c r="T423" s="1" t="s">
        <v>863</v>
      </c>
      <c r="U423" s="1" t="s">
        <v>8151</v>
      </c>
      <c r="V423" s="1">
        <v>8788614401</v>
      </c>
      <c r="W423" s="1" t="s">
        <v>273</v>
      </c>
      <c r="X423" s="1" t="s">
        <v>8152</v>
      </c>
      <c r="Y423" s="1" t="s">
        <v>304</v>
      </c>
      <c r="Z423" s="1" t="s">
        <v>92</v>
      </c>
      <c r="AA423" s="1" t="s">
        <v>8152</v>
      </c>
      <c r="AB423" s="1" t="s">
        <v>304</v>
      </c>
      <c r="AC423" s="1" t="s">
        <v>92</v>
      </c>
      <c r="AD423" s="1">
        <v>9.26</v>
      </c>
      <c r="AE423" s="1" t="s">
        <v>93</v>
      </c>
      <c r="AF423" s="1" t="s">
        <v>8153</v>
      </c>
      <c r="AG423" s="1" t="s">
        <v>160</v>
      </c>
      <c r="AH423" s="1" t="s">
        <v>165</v>
      </c>
      <c r="AI423" s="1" t="s">
        <v>281</v>
      </c>
      <c r="AJ423" s="1">
        <v>80.8</v>
      </c>
      <c r="AK423" s="1"/>
      <c r="AL423" s="1"/>
      <c r="AM423" s="1"/>
      <c r="AN423" s="1"/>
      <c r="AO423" s="1"/>
      <c r="AP423" s="1"/>
      <c r="AQ423" s="1"/>
      <c r="AR423" s="1" t="s">
        <v>98</v>
      </c>
      <c r="AS423" s="1" t="s">
        <v>8154</v>
      </c>
      <c r="AT423" s="1" t="s">
        <v>636</v>
      </c>
      <c r="AU423" s="1" t="s">
        <v>436</v>
      </c>
      <c r="AV423" s="1">
        <v>93.84</v>
      </c>
      <c r="AW423" s="1"/>
      <c r="AX423" s="1" t="s">
        <v>361</v>
      </c>
      <c r="AY423" s="1" t="s">
        <v>3855</v>
      </c>
      <c r="AZ423" s="1" t="s">
        <v>1407</v>
      </c>
      <c r="BA423" s="1" t="s">
        <v>702</v>
      </c>
      <c r="BB423" s="1">
        <v>85.4</v>
      </c>
      <c r="BC423" s="1">
        <v>9.2</v>
      </c>
      <c r="BD423" s="1"/>
      <c r="BE423" s="1"/>
      <c r="BF423" s="1"/>
      <c r="BG423" s="1"/>
      <c r="BH423" s="1"/>
      <c r="BI423" s="1"/>
      <c r="BJ423" s="1" t="s">
        <v>8155</v>
      </c>
      <c r="BK423" s="1"/>
      <c r="BL423" s="1"/>
      <c r="BM423" s="1" t="s">
        <v>8156</v>
      </c>
      <c r="BN423" s="1">
        <v>4</v>
      </c>
      <c r="BO423" s="1"/>
      <c r="BP423" s="1" t="str">
        <f>HYPERLINK("https://nconnect.nicmar.ac.in/storage/profile/ProfilePhoto_P25700376_736185.jpg","Download")</f>
        <v>0</v>
      </c>
      <c r="BQ423" s="3"/>
      <c r="BR423" s="3"/>
    </row>
    <row r="424" spans="1:70">
      <c r="A424" s="1" t="s">
        <v>70</v>
      </c>
      <c r="B424" s="1" t="s">
        <v>1269</v>
      </c>
      <c r="C424" s="1" t="s">
        <v>8157</v>
      </c>
      <c r="D424" s="1" t="s">
        <v>643</v>
      </c>
      <c r="E424" s="1" t="s">
        <v>7672</v>
      </c>
      <c r="F424" s="1" t="s">
        <v>8158</v>
      </c>
      <c r="G424" s="1" t="s">
        <v>8159</v>
      </c>
      <c r="H424" s="1" t="s">
        <v>8160</v>
      </c>
      <c r="I424" s="1" t="s">
        <v>8161</v>
      </c>
      <c r="J424" s="1">
        <v>7744972198</v>
      </c>
      <c r="K424" s="1" t="s">
        <v>79</v>
      </c>
      <c r="L424" s="1" t="s">
        <v>8162</v>
      </c>
      <c r="M424" s="1" t="s">
        <v>81</v>
      </c>
      <c r="N424" s="1" t="s">
        <v>7819</v>
      </c>
      <c r="O424" s="1"/>
      <c r="P424" s="1" t="s">
        <v>1298</v>
      </c>
      <c r="Q424" s="1" t="s">
        <v>8163</v>
      </c>
      <c r="R424" s="1" t="s">
        <v>7672</v>
      </c>
      <c r="S424" s="1">
        <v>9011625074</v>
      </c>
      <c r="T424" s="1" t="s">
        <v>122</v>
      </c>
      <c r="U424" s="1" t="s">
        <v>977</v>
      </c>
      <c r="V424" s="1">
        <v>7218626391</v>
      </c>
      <c r="W424" s="1" t="s">
        <v>156</v>
      </c>
      <c r="X424" s="1" t="s">
        <v>8164</v>
      </c>
      <c r="Y424" s="1" t="s">
        <v>2786</v>
      </c>
      <c r="Z424" s="1" t="s">
        <v>92</v>
      </c>
      <c r="AA424" s="1" t="s">
        <v>8165</v>
      </c>
      <c r="AB424" s="1" t="s">
        <v>2786</v>
      </c>
      <c r="AC424" s="1" t="s">
        <v>92</v>
      </c>
      <c r="AD424" s="1">
        <v>9.39</v>
      </c>
      <c r="AE424" s="1" t="s">
        <v>93</v>
      </c>
      <c r="AF424" s="1" t="s">
        <v>8166</v>
      </c>
      <c r="AG424" s="1" t="s">
        <v>7824</v>
      </c>
      <c r="AH424" s="1" t="s">
        <v>101</v>
      </c>
      <c r="AI424" s="1" t="s">
        <v>409</v>
      </c>
      <c r="AJ424" s="1">
        <v>93.2</v>
      </c>
      <c r="AK424" s="1"/>
      <c r="AL424" s="1"/>
      <c r="AM424" s="1"/>
      <c r="AN424" s="1"/>
      <c r="AO424" s="1"/>
      <c r="AP424" s="1"/>
      <c r="AQ424" s="1"/>
      <c r="AR424" s="1" t="s">
        <v>8167</v>
      </c>
      <c r="AS424" s="1" t="s">
        <v>8168</v>
      </c>
      <c r="AT424" s="1" t="s">
        <v>201</v>
      </c>
      <c r="AU424" s="1" t="s">
        <v>481</v>
      </c>
      <c r="AV424" s="1">
        <v>88.53</v>
      </c>
      <c r="AW424" s="1"/>
      <c r="AX424" s="1" t="s">
        <v>4491</v>
      </c>
      <c r="AY424" s="1" t="s">
        <v>7825</v>
      </c>
      <c r="AZ424" s="1" t="s">
        <v>2690</v>
      </c>
      <c r="BA424" s="1" t="s">
        <v>1361</v>
      </c>
      <c r="BB424" s="1">
        <v>79.1</v>
      </c>
      <c r="BC424" s="1">
        <v>8.66</v>
      </c>
      <c r="BD424" s="1"/>
      <c r="BE424" s="1"/>
      <c r="BF424" s="1"/>
      <c r="BG424" s="1"/>
      <c r="BH424" s="1"/>
      <c r="BI424" s="1"/>
      <c r="BJ424" s="1" t="s">
        <v>8169</v>
      </c>
      <c r="BK424" s="1"/>
      <c r="BL424" s="1"/>
      <c r="BM424" s="1" t="s">
        <v>8170</v>
      </c>
      <c r="BN424" s="1">
        <v>8</v>
      </c>
      <c r="BO424" s="1" t="s">
        <v>8171</v>
      </c>
      <c r="BP424" s="1" t="str">
        <f>HYPERLINK("https://nconnect.nicmar.ac.in/storage/profile/ProfilePhoto_P25700378_896243.jpg","Download")</f>
        <v>0</v>
      </c>
      <c r="BQ424" s="3"/>
      <c r="BR424" s="3"/>
    </row>
    <row r="425" spans="1:70">
      <c r="A425" s="1" t="s">
        <v>70</v>
      </c>
      <c r="B425" s="1" t="s">
        <v>1269</v>
      </c>
      <c r="C425" s="1" t="s">
        <v>8172</v>
      </c>
      <c r="D425" s="1" t="s">
        <v>6942</v>
      </c>
      <c r="E425" s="1" t="s">
        <v>8173</v>
      </c>
      <c r="F425" s="1" t="s">
        <v>8174</v>
      </c>
      <c r="G425" s="1" t="s">
        <v>8175</v>
      </c>
      <c r="H425" s="1" t="s">
        <v>8176</v>
      </c>
      <c r="I425" s="1" t="s">
        <v>8177</v>
      </c>
      <c r="J425" s="1">
        <v>7743877477</v>
      </c>
      <c r="K425" s="1" t="s">
        <v>79</v>
      </c>
      <c r="L425" s="1" t="s">
        <v>8178</v>
      </c>
      <c r="M425" s="1" t="s">
        <v>81</v>
      </c>
      <c r="N425" s="1" t="s">
        <v>3229</v>
      </c>
      <c r="O425" s="1"/>
      <c r="P425" s="1" t="s">
        <v>1298</v>
      </c>
      <c r="Q425" s="1" t="s">
        <v>8179</v>
      </c>
      <c r="R425" s="1" t="s">
        <v>8173</v>
      </c>
      <c r="S425" s="1">
        <v>9422651797</v>
      </c>
      <c r="T425" s="1" t="s">
        <v>496</v>
      </c>
      <c r="U425" s="1" t="s">
        <v>977</v>
      </c>
      <c r="V425" s="1">
        <v>7350519677</v>
      </c>
      <c r="W425" s="1" t="s">
        <v>273</v>
      </c>
      <c r="X425" s="1" t="s">
        <v>8180</v>
      </c>
      <c r="Y425" s="1" t="s">
        <v>158</v>
      </c>
      <c r="Z425" s="1" t="s">
        <v>92</v>
      </c>
      <c r="AA425" s="1" t="s">
        <v>8180</v>
      </c>
      <c r="AB425" s="1" t="s">
        <v>158</v>
      </c>
      <c r="AC425" s="1" t="s">
        <v>92</v>
      </c>
      <c r="AD425" s="1">
        <v>7.51</v>
      </c>
      <c r="AE425" s="1" t="s">
        <v>93</v>
      </c>
      <c r="AF425" s="1" t="s">
        <v>8181</v>
      </c>
      <c r="AG425" s="1" t="s">
        <v>160</v>
      </c>
      <c r="AH425" s="1" t="s">
        <v>96</v>
      </c>
      <c r="AI425" s="1" t="s">
        <v>131</v>
      </c>
      <c r="AJ425" s="1">
        <v>79.4</v>
      </c>
      <c r="AK425" s="1"/>
      <c r="AL425" s="1" t="s">
        <v>8182</v>
      </c>
      <c r="AM425" s="1" t="s">
        <v>160</v>
      </c>
      <c r="AN425" s="1" t="s">
        <v>162</v>
      </c>
      <c r="AO425" s="1" t="s">
        <v>479</v>
      </c>
      <c r="AP425" s="1">
        <v>54.77</v>
      </c>
      <c r="AQ425" s="1"/>
      <c r="AR425" s="1" t="s">
        <v>8183</v>
      </c>
      <c r="AS425" s="1" t="s">
        <v>356</v>
      </c>
      <c r="AT425" s="1" t="s">
        <v>383</v>
      </c>
      <c r="AU425" s="1" t="s">
        <v>433</v>
      </c>
      <c r="AV425" s="1">
        <v>83.45</v>
      </c>
      <c r="AW425" s="1"/>
      <c r="AX425" s="1" t="s">
        <v>361</v>
      </c>
      <c r="AY425" s="1" t="s">
        <v>8184</v>
      </c>
      <c r="AZ425" s="1" t="s">
        <v>310</v>
      </c>
      <c r="BA425" s="1" t="s">
        <v>105</v>
      </c>
      <c r="BB425" s="1">
        <v>80.63</v>
      </c>
      <c r="BC425" s="1">
        <v>9.06</v>
      </c>
      <c r="BD425" s="1"/>
      <c r="BE425" s="1"/>
      <c r="BF425" s="1"/>
      <c r="BG425" s="1"/>
      <c r="BH425" s="1"/>
      <c r="BI425" s="1"/>
      <c r="BJ425" s="1" t="s">
        <v>8185</v>
      </c>
      <c r="BK425" s="1"/>
      <c r="BL425" s="1"/>
      <c r="BM425" s="1" t="s">
        <v>8186</v>
      </c>
      <c r="BN425" s="1">
        <v>69</v>
      </c>
      <c r="BO425" s="1"/>
      <c r="BP425" s="1" t="str">
        <f>HYPERLINK("https://nconnect.nicmar.ac.in/storage/profile/ProfilePhoto_P25700379_143659.jpg","Download")</f>
        <v>0</v>
      </c>
      <c r="BQ425" s="3"/>
      <c r="BR425" s="3"/>
    </row>
    <row r="426" spans="1:70">
      <c r="A426" s="1" t="s">
        <v>70</v>
      </c>
      <c r="B426" s="1" t="s">
        <v>1269</v>
      </c>
      <c r="C426" s="1" t="s">
        <v>8187</v>
      </c>
      <c r="D426" s="1" t="s">
        <v>8188</v>
      </c>
      <c r="E426" s="1"/>
      <c r="F426" s="1" t="s">
        <v>8189</v>
      </c>
      <c r="G426" s="1" t="s">
        <v>8190</v>
      </c>
      <c r="H426" s="1" t="s">
        <v>8191</v>
      </c>
      <c r="I426" s="1" t="s">
        <v>8192</v>
      </c>
      <c r="J426" s="1">
        <v>9809408093</v>
      </c>
      <c r="K426" s="1" t="s">
        <v>148</v>
      </c>
      <c r="L426" s="1" t="s">
        <v>8193</v>
      </c>
      <c r="M426" s="1" t="s">
        <v>81</v>
      </c>
      <c r="N426" s="1" t="s">
        <v>5928</v>
      </c>
      <c r="O426" s="1"/>
      <c r="P426" s="1" t="s">
        <v>1278</v>
      </c>
      <c r="Q426" s="1" t="s">
        <v>8194</v>
      </c>
      <c r="R426" s="1" t="s">
        <v>8195</v>
      </c>
      <c r="S426" s="1">
        <v>9349607906</v>
      </c>
      <c r="T426" s="1" t="s">
        <v>496</v>
      </c>
      <c r="U426" s="1" t="s">
        <v>8196</v>
      </c>
      <c r="V426" s="1">
        <v>8075241580</v>
      </c>
      <c r="W426" s="1" t="s">
        <v>273</v>
      </c>
      <c r="X426" s="1" t="s">
        <v>8197</v>
      </c>
      <c r="Y426" s="1" t="s">
        <v>2139</v>
      </c>
      <c r="Z426" s="1" t="s">
        <v>125</v>
      </c>
      <c r="AA426" s="1" t="s">
        <v>8197</v>
      </c>
      <c r="AB426" s="1" t="s">
        <v>2139</v>
      </c>
      <c r="AC426" s="1" t="s">
        <v>125</v>
      </c>
      <c r="AD426" s="1">
        <v>8.84</v>
      </c>
      <c r="AE426" s="1" t="s">
        <v>93</v>
      </c>
      <c r="AF426" s="1" t="s">
        <v>8198</v>
      </c>
      <c r="AG426" s="1" t="s">
        <v>8199</v>
      </c>
      <c r="AH426" s="1" t="s">
        <v>165</v>
      </c>
      <c r="AI426" s="1" t="s">
        <v>166</v>
      </c>
      <c r="AJ426" s="1">
        <v>95</v>
      </c>
      <c r="AK426" s="1"/>
      <c r="AL426" s="1" t="s">
        <v>8198</v>
      </c>
      <c r="AM426" s="1" t="s">
        <v>2119</v>
      </c>
      <c r="AN426" s="1" t="s">
        <v>433</v>
      </c>
      <c r="AO426" s="1" t="s">
        <v>173</v>
      </c>
      <c r="AP426" s="1">
        <v>94.5</v>
      </c>
      <c r="AQ426" s="1"/>
      <c r="AR426" s="1"/>
      <c r="AS426" s="1"/>
      <c r="AT426" s="1"/>
      <c r="AU426" s="1"/>
      <c r="AV426" s="1"/>
      <c r="AW426" s="1"/>
      <c r="AX426" s="1" t="s">
        <v>132</v>
      </c>
      <c r="AY426" s="1" t="s">
        <v>8200</v>
      </c>
      <c r="AZ426" s="1" t="s">
        <v>681</v>
      </c>
      <c r="BA426" s="1" t="s">
        <v>1938</v>
      </c>
      <c r="BB426" s="1">
        <v>86.9</v>
      </c>
      <c r="BC426" s="1">
        <v>8.69</v>
      </c>
      <c r="BD426" s="1"/>
      <c r="BE426" s="1"/>
      <c r="BF426" s="1"/>
      <c r="BG426" s="1"/>
      <c r="BH426" s="1"/>
      <c r="BI426" s="1"/>
      <c r="BJ426" s="1" t="s">
        <v>8201</v>
      </c>
      <c r="BK426" s="1" t="s">
        <v>8202</v>
      </c>
      <c r="BL426" s="1" t="s">
        <v>1220</v>
      </c>
      <c r="BM426" s="1" t="s">
        <v>8203</v>
      </c>
      <c r="BN426" s="1">
        <v>9</v>
      </c>
      <c r="BO426" s="1" t="s">
        <v>8204</v>
      </c>
      <c r="BP426" s="1" t="str">
        <f>HYPERLINK("https://nconnect.nicmar.ac.in/storage/profile/ProfilePhoto_P25700380_857362.jpg","Download")</f>
        <v>0</v>
      </c>
      <c r="BQ426" s="3"/>
      <c r="BR426" s="3"/>
    </row>
    <row r="427" spans="1:70">
      <c r="A427" s="1" t="s">
        <v>70</v>
      </c>
      <c r="B427" s="1" t="s">
        <v>1269</v>
      </c>
      <c r="C427" s="1" t="s">
        <v>8205</v>
      </c>
      <c r="D427" s="1" t="s">
        <v>8206</v>
      </c>
      <c r="E427" s="1" t="s">
        <v>8207</v>
      </c>
      <c r="F427" s="1" t="s">
        <v>8208</v>
      </c>
      <c r="G427" s="1" t="s">
        <v>8209</v>
      </c>
      <c r="H427" s="1" t="s">
        <v>8210</v>
      </c>
      <c r="I427" s="1" t="s">
        <v>8211</v>
      </c>
      <c r="J427" s="1">
        <v>8459420348</v>
      </c>
      <c r="K427" s="1" t="s">
        <v>79</v>
      </c>
      <c r="L427" s="1" t="s">
        <v>8212</v>
      </c>
      <c r="M427" s="1" t="s">
        <v>81</v>
      </c>
      <c r="N427" s="1" t="s">
        <v>8213</v>
      </c>
      <c r="O427" s="1"/>
      <c r="P427" s="1" t="s">
        <v>1298</v>
      </c>
      <c r="Q427" s="1" t="s">
        <v>8214</v>
      </c>
      <c r="R427" s="1" t="s">
        <v>8207</v>
      </c>
      <c r="S427" s="1">
        <v>9423193558</v>
      </c>
      <c r="T427" s="1" t="s">
        <v>377</v>
      </c>
      <c r="U427" s="1" t="s">
        <v>3807</v>
      </c>
      <c r="V427" s="1">
        <v>9423980598</v>
      </c>
      <c r="W427" s="1" t="s">
        <v>89</v>
      </c>
      <c r="X427" s="1" t="s">
        <v>8215</v>
      </c>
      <c r="Y427" s="1" t="s">
        <v>6375</v>
      </c>
      <c r="Z427" s="1" t="s">
        <v>92</v>
      </c>
      <c r="AA427" s="1" t="s">
        <v>8215</v>
      </c>
      <c r="AB427" s="1" t="s">
        <v>6375</v>
      </c>
      <c r="AC427" s="1" t="s">
        <v>92</v>
      </c>
      <c r="AD427" s="1">
        <v>9.52</v>
      </c>
      <c r="AE427" s="1" t="s">
        <v>93</v>
      </c>
      <c r="AF427" s="1" t="s">
        <v>8216</v>
      </c>
      <c r="AG427" s="1" t="s">
        <v>8217</v>
      </c>
      <c r="AH427" s="1" t="s">
        <v>162</v>
      </c>
      <c r="AI427" s="1" t="s">
        <v>308</v>
      </c>
      <c r="AJ427" s="1">
        <v>94.6</v>
      </c>
      <c r="AK427" s="1"/>
      <c r="AL427" s="1" t="s">
        <v>8218</v>
      </c>
      <c r="AM427" s="1" t="s">
        <v>8219</v>
      </c>
      <c r="AN427" s="1" t="s">
        <v>201</v>
      </c>
      <c r="AO427" s="1" t="s">
        <v>436</v>
      </c>
      <c r="AP427" s="1">
        <v>91.17</v>
      </c>
      <c r="AQ427" s="1"/>
      <c r="AR427" s="1"/>
      <c r="AS427" s="1"/>
      <c r="AT427" s="1"/>
      <c r="AU427" s="1"/>
      <c r="AV427" s="1"/>
      <c r="AW427" s="1"/>
      <c r="AX427" s="1" t="s">
        <v>8220</v>
      </c>
      <c r="AY427" s="1" t="s">
        <v>8221</v>
      </c>
      <c r="AZ427" s="1" t="s">
        <v>506</v>
      </c>
      <c r="BA427" s="1" t="s">
        <v>1584</v>
      </c>
      <c r="BB427" s="1">
        <v>89.2</v>
      </c>
      <c r="BC427" s="1">
        <v>9.67</v>
      </c>
      <c r="BD427" s="1"/>
      <c r="BE427" s="1"/>
      <c r="BF427" s="1"/>
      <c r="BG427" s="1"/>
      <c r="BH427" s="1"/>
      <c r="BI427" s="1"/>
      <c r="BJ427" s="1" t="s">
        <v>8222</v>
      </c>
      <c r="BK427" s="1"/>
      <c r="BL427" s="1"/>
      <c r="BM427" s="1" t="s">
        <v>8223</v>
      </c>
      <c r="BN427" s="1">
        <v>25</v>
      </c>
      <c r="BO427" s="1"/>
      <c r="BP427" s="1" t="str">
        <f>HYPERLINK("https://nconnect.nicmar.ac.in/storage/profile/ProfilePhoto_P25700381_413569.jpg","Download")</f>
        <v>0</v>
      </c>
      <c r="BQ427" s="3"/>
      <c r="BR427" s="3"/>
    </row>
    <row r="428" spans="1:70">
      <c r="A428" s="1" t="s">
        <v>70</v>
      </c>
      <c r="B428" s="1" t="s">
        <v>1269</v>
      </c>
      <c r="C428" s="1" t="s">
        <v>8224</v>
      </c>
      <c r="D428" s="1" t="s">
        <v>8225</v>
      </c>
      <c r="E428" s="1" t="s">
        <v>8226</v>
      </c>
      <c r="F428" s="1" t="s">
        <v>4807</v>
      </c>
      <c r="G428" s="1" t="s">
        <v>8227</v>
      </c>
      <c r="H428" s="1" t="s">
        <v>8228</v>
      </c>
      <c r="I428" s="1" t="s">
        <v>8229</v>
      </c>
      <c r="J428" s="1">
        <v>9989995766</v>
      </c>
      <c r="K428" s="1" t="s">
        <v>79</v>
      </c>
      <c r="L428" s="1" t="s">
        <v>8230</v>
      </c>
      <c r="M428" s="1" t="s">
        <v>81</v>
      </c>
      <c r="N428" s="1" t="s">
        <v>267</v>
      </c>
      <c r="O428" s="1"/>
      <c r="P428" s="1" t="s">
        <v>1278</v>
      </c>
      <c r="Q428" s="1" t="s">
        <v>8231</v>
      </c>
      <c r="R428" s="1" t="s">
        <v>8232</v>
      </c>
      <c r="S428" s="1">
        <v>9989995766</v>
      </c>
      <c r="T428" s="1" t="s">
        <v>496</v>
      </c>
      <c r="U428" s="1" t="s">
        <v>8233</v>
      </c>
      <c r="V428" s="1">
        <v>9989995766</v>
      </c>
      <c r="W428" s="1" t="s">
        <v>89</v>
      </c>
      <c r="X428" s="1" t="s">
        <v>8234</v>
      </c>
      <c r="Y428" s="1" t="s">
        <v>1150</v>
      </c>
      <c r="Z428" s="1" t="s">
        <v>276</v>
      </c>
      <c r="AA428" s="1" t="s">
        <v>8234</v>
      </c>
      <c r="AB428" s="1" t="s">
        <v>1150</v>
      </c>
      <c r="AC428" s="1" t="s">
        <v>276</v>
      </c>
      <c r="AD428" s="1">
        <v>7.69</v>
      </c>
      <c r="AE428" s="1" t="s">
        <v>93</v>
      </c>
      <c r="AF428" s="1" t="s">
        <v>8235</v>
      </c>
      <c r="AG428" s="1" t="s">
        <v>8236</v>
      </c>
      <c r="AH428" s="1" t="s">
        <v>162</v>
      </c>
      <c r="AI428" s="1" t="s">
        <v>195</v>
      </c>
      <c r="AJ428" s="1">
        <v>88</v>
      </c>
      <c r="AK428" s="1"/>
      <c r="AL428" s="1"/>
      <c r="AM428" s="1"/>
      <c r="AN428" s="1"/>
      <c r="AO428" s="1"/>
      <c r="AP428" s="1"/>
      <c r="AQ428" s="1"/>
      <c r="AR428" s="1" t="s">
        <v>434</v>
      </c>
      <c r="AS428" s="1" t="s">
        <v>8237</v>
      </c>
      <c r="AT428" s="1" t="s">
        <v>165</v>
      </c>
      <c r="AU428" s="1" t="s">
        <v>2687</v>
      </c>
      <c r="AV428" s="1">
        <v>68.43</v>
      </c>
      <c r="AW428" s="1"/>
      <c r="AX428" s="1" t="s">
        <v>8238</v>
      </c>
      <c r="AY428" s="1" t="s">
        <v>8239</v>
      </c>
      <c r="AZ428" s="1" t="s">
        <v>284</v>
      </c>
      <c r="BA428" s="1" t="s">
        <v>1408</v>
      </c>
      <c r="BB428" s="1">
        <v>77.52</v>
      </c>
      <c r="BC428" s="1">
        <v>8.16</v>
      </c>
      <c r="BD428" s="1"/>
      <c r="BE428" s="1"/>
      <c r="BF428" s="1"/>
      <c r="BG428" s="1"/>
      <c r="BH428" s="1"/>
      <c r="BI428" s="1"/>
      <c r="BJ428" s="1" t="s">
        <v>8240</v>
      </c>
      <c r="BK428" s="1"/>
      <c r="BL428" s="1"/>
      <c r="BM428" s="1" t="s">
        <v>8241</v>
      </c>
      <c r="BN428" s="1">
        <v>30</v>
      </c>
      <c r="BO428" s="1"/>
      <c r="BP428" s="1" t="str">
        <f>HYPERLINK("https://nconnect.nicmar.ac.in/storage/profile/ProfilePhoto_P25700382_413295.jpg","Download")</f>
        <v>0</v>
      </c>
      <c r="BQ428" s="3"/>
      <c r="BR428" s="3"/>
    </row>
    <row r="429" spans="1:70">
      <c r="A429" s="1" t="s">
        <v>70</v>
      </c>
      <c r="B429" s="1" t="s">
        <v>1269</v>
      </c>
      <c r="C429" s="1" t="s">
        <v>8242</v>
      </c>
      <c r="D429" s="1" t="s">
        <v>2793</v>
      </c>
      <c r="E429" s="1"/>
      <c r="F429" s="1" t="s">
        <v>8243</v>
      </c>
      <c r="G429" s="1" t="s">
        <v>8244</v>
      </c>
      <c r="H429" s="1" t="s">
        <v>8245</v>
      </c>
      <c r="I429" s="1" t="s">
        <v>8246</v>
      </c>
      <c r="J429" s="1">
        <v>6309627275</v>
      </c>
      <c r="K429" s="1" t="s">
        <v>79</v>
      </c>
      <c r="L429" s="1" t="s">
        <v>8247</v>
      </c>
      <c r="M429" s="1" t="s">
        <v>81</v>
      </c>
      <c r="N429" s="1" t="s">
        <v>8248</v>
      </c>
      <c r="O429" s="1"/>
      <c r="P429" s="1" t="s">
        <v>1323</v>
      </c>
      <c r="Q429" s="1" t="s">
        <v>8249</v>
      </c>
      <c r="R429" s="1" t="s">
        <v>8250</v>
      </c>
      <c r="S429" s="1">
        <v>9490418388</v>
      </c>
      <c r="T429" s="1" t="s">
        <v>8251</v>
      </c>
      <c r="U429" s="1" t="s">
        <v>8252</v>
      </c>
      <c r="V429" s="1">
        <v>9000371190</v>
      </c>
      <c r="W429" s="1" t="s">
        <v>273</v>
      </c>
      <c r="X429" s="1" t="s">
        <v>8253</v>
      </c>
      <c r="Y429" s="1" t="s">
        <v>4251</v>
      </c>
      <c r="Z429" s="1" t="s">
        <v>276</v>
      </c>
      <c r="AA429" s="1" t="s">
        <v>8254</v>
      </c>
      <c r="AB429" s="1" t="s">
        <v>2723</v>
      </c>
      <c r="AC429" s="1" t="s">
        <v>276</v>
      </c>
      <c r="AD429" s="1">
        <v>7.53</v>
      </c>
      <c r="AE429" s="1" t="s">
        <v>93</v>
      </c>
      <c r="AF429" s="1" t="s">
        <v>8255</v>
      </c>
      <c r="AG429" s="1" t="s">
        <v>8256</v>
      </c>
      <c r="AH429" s="1" t="s">
        <v>165</v>
      </c>
      <c r="AI429" s="1" t="s">
        <v>1307</v>
      </c>
      <c r="AJ429" s="1">
        <v>63</v>
      </c>
      <c r="AK429" s="1">
        <v>6.3</v>
      </c>
      <c r="AL429" s="1" t="s">
        <v>8257</v>
      </c>
      <c r="AM429" s="1" t="s">
        <v>1154</v>
      </c>
      <c r="AN429" s="1" t="s">
        <v>433</v>
      </c>
      <c r="AO429" s="1" t="s">
        <v>699</v>
      </c>
      <c r="AP429" s="1">
        <v>79.4</v>
      </c>
      <c r="AQ429" s="1">
        <v>7.94</v>
      </c>
      <c r="AR429" s="1"/>
      <c r="AS429" s="1"/>
      <c r="AT429" s="1"/>
      <c r="AU429" s="1"/>
      <c r="AV429" s="1"/>
      <c r="AW429" s="1"/>
      <c r="AX429" s="1" t="s">
        <v>8258</v>
      </c>
      <c r="AY429" s="1" t="s">
        <v>8259</v>
      </c>
      <c r="AZ429" s="1" t="s">
        <v>228</v>
      </c>
      <c r="BA429" s="1" t="s">
        <v>202</v>
      </c>
      <c r="BB429" s="1">
        <v>73.2</v>
      </c>
      <c r="BC429" s="1">
        <v>7.32</v>
      </c>
      <c r="BD429" s="1"/>
      <c r="BE429" s="1"/>
      <c r="BF429" s="1"/>
      <c r="BG429" s="1"/>
      <c r="BH429" s="1"/>
      <c r="BI429" s="1"/>
      <c r="BJ429" s="1" t="s">
        <v>8260</v>
      </c>
      <c r="BK429" s="1"/>
      <c r="BL429" s="1"/>
      <c r="BM429" s="1" t="s">
        <v>8261</v>
      </c>
      <c r="BN429" s="1">
        <v>60</v>
      </c>
      <c r="BO429" s="1"/>
      <c r="BP429" s="1" t="str">
        <f>HYPERLINK("https://nconnect.nicmar.ac.in/storage/profile/ProfilePhoto_P25700383_831254.jpg","Download")</f>
        <v>0</v>
      </c>
      <c r="BQ429" s="3"/>
      <c r="BR429" s="3"/>
    </row>
    <row r="430" spans="1:70">
      <c r="A430" s="1" t="s">
        <v>70</v>
      </c>
      <c r="B430" s="1" t="s">
        <v>1269</v>
      </c>
      <c r="C430" s="1" t="s">
        <v>8262</v>
      </c>
      <c r="D430" s="1" t="s">
        <v>8263</v>
      </c>
      <c r="E430" s="1" t="s">
        <v>1566</v>
      </c>
      <c r="F430" s="1" t="s">
        <v>8264</v>
      </c>
      <c r="G430" s="1" t="s">
        <v>8265</v>
      </c>
      <c r="H430" s="1" t="s">
        <v>8266</v>
      </c>
      <c r="I430" s="1" t="s">
        <v>8267</v>
      </c>
      <c r="J430" s="1">
        <v>9373944569</v>
      </c>
      <c r="K430" s="1" t="s">
        <v>148</v>
      </c>
      <c r="L430" s="1" t="s">
        <v>8268</v>
      </c>
      <c r="M430" s="1" t="s">
        <v>81</v>
      </c>
      <c r="N430" s="1" t="s">
        <v>1418</v>
      </c>
      <c r="O430" s="1"/>
      <c r="P430" s="1" t="s">
        <v>1278</v>
      </c>
      <c r="Q430" s="1" t="s">
        <v>8269</v>
      </c>
      <c r="R430" s="1" t="s">
        <v>1566</v>
      </c>
      <c r="S430" s="1">
        <v>8888493967</v>
      </c>
      <c r="T430" s="1" t="s">
        <v>976</v>
      </c>
      <c r="U430" s="1" t="s">
        <v>8270</v>
      </c>
      <c r="V430" s="1">
        <v>9921942123</v>
      </c>
      <c r="W430" s="1" t="s">
        <v>156</v>
      </c>
      <c r="X430" s="1" t="s">
        <v>8271</v>
      </c>
      <c r="Y430" s="1" t="s">
        <v>328</v>
      </c>
      <c r="Z430" s="1" t="s">
        <v>92</v>
      </c>
      <c r="AA430" s="1" t="s">
        <v>8271</v>
      </c>
      <c r="AB430" s="1" t="s">
        <v>328</v>
      </c>
      <c r="AC430" s="1" t="s">
        <v>92</v>
      </c>
      <c r="AD430" s="1">
        <v>8.8</v>
      </c>
      <c r="AE430" s="1" t="s">
        <v>93</v>
      </c>
      <c r="AF430" s="1" t="s">
        <v>4289</v>
      </c>
      <c r="AG430" s="1" t="s">
        <v>4438</v>
      </c>
      <c r="AH430" s="1" t="s">
        <v>165</v>
      </c>
      <c r="AI430" s="1" t="s">
        <v>101</v>
      </c>
      <c r="AJ430" s="1">
        <v>89.4</v>
      </c>
      <c r="AK430" s="1"/>
      <c r="AL430" s="1" t="s">
        <v>8272</v>
      </c>
      <c r="AM430" s="1" t="s">
        <v>4438</v>
      </c>
      <c r="AN430" s="1" t="s">
        <v>310</v>
      </c>
      <c r="AO430" s="1" t="s">
        <v>173</v>
      </c>
      <c r="AP430" s="1">
        <v>79.23</v>
      </c>
      <c r="AQ430" s="1"/>
      <c r="AR430" s="1"/>
      <c r="AS430" s="1"/>
      <c r="AT430" s="1"/>
      <c r="AU430" s="1"/>
      <c r="AV430" s="1"/>
      <c r="AW430" s="1"/>
      <c r="AX430" s="1" t="s">
        <v>335</v>
      </c>
      <c r="AY430" s="1" t="s">
        <v>8273</v>
      </c>
      <c r="AZ430" s="1" t="s">
        <v>920</v>
      </c>
      <c r="BA430" s="1" t="s">
        <v>202</v>
      </c>
      <c r="BB430" s="1">
        <v>71.8</v>
      </c>
      <c r="BC430" s="1">
        <v>7.93</v>
      </c>
      <c r="BD430" s="1"/>
      <c r="BE430" s="1"/>
      <c r="BF430" s="1"/>
      <c r="BG430" s="1"/>
      <c r="BH430" s="1"/>
      <c r="BI430" s="1"/>
      <c r="BJ430" s="1" t="s">
        <v>8274</v>
      </c>
      <c r="BK430" s="1"/>
      <c r="BL430" s="1"/>
      <c r="BM430" s="1" t="s">
        <v>8275</v>
      </c>
      <c r="BN430" s="1">
        <v>7</v>
      </c>
      <c r="BO430" s="1"/>
      <c r="BP430" s="1" t="str">
        <f>HYPERLINK("https://nconnect.nicmar.ac.in/storage/profile/ProfilePhoto_P25700384_318246.jpg","Download")</f>
        <v>0</v>
      </c>
      <c r="BQ430" s="3"/>
      <c r="BR430" s="3"/>
    </row>
    <row r="431" spans="1:70">
      <c r="A431" s="1" t="s">
        <v>70</v>
      </c>
      <c r="B431" s="1" t="s">
        <v>1269</v>
      </c>
      <c r="C431" s="1" t="s">
        <v>8276</v>
      </c>
      <c r="D431" s="1" t="s">
        <v>1566</v>
      </c>
      <c r="E431" s="1"/>
      <c r="F431" s="1" t="s">
        <v>8277</v>
      </c>
      <c r="G431" s="1" t="s">
        <v>8278</v>
      </c>
      <c r="H431" s="1" t="s">
        <v>8279</v>
      </c>
      <c r="I431" s="1" t="s">
        <v>8280</v>
      </c>
      <c r="J431" s="1">
        <v>8431133606</v>
      </c>
      <c r="K431" s="1" t="s">
        <v>79</v>
      </c>
      <c r="L431" s="1" t="s">
        <v>6389</v>
      </c>
      <c r="M431" s="1" t="s">
        <v>81</v>
      </c>
      <c r="N431" s="1" t="s">
        <v>4750</v>
      </c>
      <c r="O431" s="1"/>
      <c r="P431" s="1" t="s">
        <v>1323</v>
      </c>
      <c r="Q431" s="1" t="s">
        <v>8281</v>
      </c>
      <c r="R431" s="1" t="s">
        <v>8282</v>
      </c>
      <c r="S431" s="1">
        <v>9972444704</v>
      </c>
      <c r="T431" s="1" t="s">
        <v>8283</v>
      </c>
      <c r="U431" s="1" t="s">
        <v>8284</v>
      </c>
      <c r="V431" s="1">
        <v>9741390770</v>
      </c>
      <c r="W431" s="1" t="s">
        <v>273</v>
      </c>
      <c r="X431" s="1" t="s">
        <v>8285</v>
      </c>
      <c r="Y431" s="1" t="s">
        <v>2178</v>
      </c>
      <c r="Z431" s="1" t="s">
        <v>1084</v>
      </c>
      <c r="AA431" s="1" t="s">
        <v>8285</v>
      </c>
      <c r="AB431" s="1" t="s">
        <v>2178</v>
      </c>
      <c r="AC431" s="1" t="s">
        <v>1084</v>
      </c>
      <c r="AD431" s="1">
        <v>8.82</v>
      </c>
      <c r="AE431" s="1" t="s">
        <v>93</v>
      </c>
      <c r="AF431" s="1" t="s">
        <v>8286</v>
      </c>
      <c r="AG431" s="1" t="s">
        <v>2745</v>
      </c>
      <c r="AH431" s="1" t="s">
        <v>165</v>
      </c>
      <c r="AI431" s="1" t="s">
        <v>1307</v>
      </c>
      <c r="AJ431" s="1">
        <v>86.72</v>
      </c>
      <c r="AK431" s="1"/>
      <c r="AL431" s="1" t="s">
        <v>8287</v>
      </c>
      <c r="AM431" s="1" t="s">
        <v>2056</v>
      </c>
      <c r="AN431" s="1" t="s">
        <v>433</v>
      </c>
      <c r="AO431" s="1" t="s">
        <v>941</v>
      </c>
      <c r="AP431" s="1">
        <v>79.33</v>
      </c>
      <c r="AQ431" s="1"/>
      <c r="AR431" s="1"/>
      <c r="AS431" s="1"/>
      <c r="AT431" s="1"/>
      <c r="AU431" s="1"/>
      <c r="AV431" s="1"/>
      <c r="AW431" s="1"/>
      <c r="AX431" s="1" t="s">
        <v>1088</v>
      </c>
      <c r="AY431" s="1" t="s">
        <v>8288</v>
      </c>
      <c r="AZ431" s="1" t="s">
        <v>228</v>
      </c>
      <c r="BA431" s="1" t="s">
        <v>202</v>
      </c>
      <c r="BB431" s="1">
        <v>75.5</v>
      </c>
      <c r="BC431" s="1">
        <v>8.3</v>
      </c>
      <c r="BD431" s="1"/>
      <c r="BE431" s="1"/>
      <c r="BF431" s="1"/>
      <c r="BG431" s="1"/>
      <c r="BH431" s="1"/>
      <c r="BI431" s="1"/>
      <c r="BJ431" s="1" t="s">
        <v>8289</v>
      </c>
      <c r="BK431" s="1" t="s">
        <v>8290</v>
      </c>
      <c r="BL431" s="1" t="s">
        <v>1475</v>
      </c>
      <c r="BM431" s="1" t="s">
        <v>8291</v>
      </c>
      <c r="BN431" s="1">
        <v>11</v>
      </c>
      <c r="BO431" s="1" t="s">
        <v>8292</v>
      </c>
      <c r="BP431" s="1" t="str">
        <f>HYPERLINK("https://nconnect.nicmar.ac.in/storage/profile/ProfilePhoto_P25700385_936548.jpg","Download")</f>
        <v>0</v>
      </c>
      <c r="BQ431" s="3"/>
      <c r="BR431" s="3"/>
    </row>
    <row r="432" spans="1:70">
      <c r="A432" s="1" t="s">
        <v>70</v>
      </c>
      <c r="B432" s="1" t="s">
        <v>1269</v>
      </c>
      <c r="C432" s="1" t="s">
        <v>8293</v>
      </c>
      <c r="D432" s="1" t="s">
        <v>8294</v>
      </c>
      <c r="E432" s="1"/>
      <c r="F432" s="1" t="s">
        <v>596</v>
      </c>
      <c r="G432" s="1" t="s">
        <v>8295</v>
      </c>
      <c r="H432" s="1" t="s">
        <v>8296</v>
      </c>
      <c r="I432" s="1" t="s">
        <v>8297</v>
      </c>
      <c r="J432" s="1">
        <v>7017412065</v>
      </c>
      <c r="K432" s="1" t="s">
        <v>79</v>
      </c>
      <c r="L432" s="1" t="s">
        <v>8298</v>
      </c>
      <c r="M432" s="1" t="s">
        <v>81</v>
      </c>
      <c r="N432" s="1" t="s">
        <v>5040</v>
      </c>
      <c r="O432" s="1"/>
      <c r="P432" s="1" t="s">
        <v>1298</v>
      </c>
      <c r="Q432" s="1" t="s">
        <v>8299</v>
      </c>
      <c r="R432" s="1" t="s">
        <v>8300</v>
      </c>
      <c r="S432" s="1">
        <v>9955912826</v>
      </c>
      <c r="T432" s="1" t="s">
        <v>154</v>
      </c>
      <c r="U432" s="1" t="s">
        <v>301</v>
      </c>
      <c r="V432" s="1">
        <v>8271961319</v>
      </c>
      <c r="W432" s="1" t="s">
        <v>156</v>
      </c>
      <c r="X432" s="1" t="s">
        <v>8301</v>
      </c>
      <c r="Y432" s="1" t="s">
        <v>91</v>
      </c>
      <c r="Z432" s="1" t="s">
        <v>846</v>
      </c>
      <c r="AA432" s="1" t="s">
        <v>8301</v>
      </c>
      <c r="AB432" s="1" t="s">
        <v>91</v>
      </c>
      <c r="AC432" s="1" t="s">
        <v>846</v>
      </c>
      <c r="AD432" s="1">
        <v>8.22</v>
      </c>
      <c r="AE432" s="1" t="s">
        <v>93</v>
      </c>
      <c r="AF432" s="1" t="s">
        <v>8302</v>
      </c>
      <c r="AG432" s="1" t="s">
        <v>8303</v>
      </c>
      <c r="AH432" s="1" t="s">
        <v>4212</v>
      </c>
      <c r="AI432" s="1" t="s">
        <v>130</v>
      </c>
      <c r="AJ432" s="1">
        <v>81.6</v>
      </c>
      <c r="AK432" s="1">
        <v>8.6</v>
      </c>
      <c r="AL432" s="1" t="s">
        <v>8304</v>
      </c>
      <c r="AM432" s="1" t="s">
        <v>8305</v>
      </c>
      <c r="AN432" s="1" t="s">
        <v>503</v>
      </c>
      <c r="AO432" s="1" t="s">
        <v>733</v>
      </c>
      <c r="AP432" s="1">
        <v>64</v>
      </c>
      <c r="AQ432" s="1"/>
      <c r="AR432" s="1"/>
      <c r="AS432" s="1"/>
      <c r="AT432" s="1"/>
      <c r="AU432" s="1"/>
      <c r="AV432" s="1"/>
      <c r="AW432" s="1"/>
      <c r="AX432" s="1" t="s">
        <v>8306</v>
      </c>
      <c r="AY432" s="1" t="s">
        <v>8307</v>
      </c>
      <c r="AZ432" s="1" t="s">
        <v>134</v>
      </c>
      <c r="BA432" s="1" t="s">
        <v>173</v>
      </c>
      <c r="BB432" s="1">
        <v>61.8</v>
      </c>
      <c r="BC432" s="1">
        <v>6.18</v>
      </c>
      <c r="BD432" s="1"/>
      <c r="BE432" s="1"/>
      <c r="BF432" s="1"/>
      <c r="BG432" s="1"/>
      <c r="BH432" s="1"/>
      <c r="BI432" s="1"/>
      <c r="BJ432" s="1" t="s">
        <v>1383</v>
      </c>
      <c r="BK432" s="1" t="s">
        <v>8308</v>
      </c>
      <c r="BL432" s="1" t="s">
        <v>8309</v>
      </c>
      <c r="BM432" s="1" t="s">
        <v>8310</v>
      </c>
      <c r="BN432" s="1">
        <v>23</v>
      </c>
      <c r="BO432" s="1"/>
      <c r="BP432" s="1" t="str">
        <f>HYPERLINK("https://nconnect.nicmar.ac.in/storage/profile/ProfilePhoto_P25700386_189623.jpg","Download")</f>
        <v>0</v>
      </c>
      <c r="BQ432" s="3"/>
      <c r="BR432" s="3"/>
    </row>
    <row r="433" spans="1:70">
      <c r="A433" s="1" t="s">
        <v>70</v>
      </c>
      <c r="B433" s="1" t="s">
        <v>1269</v>
      </c>
      <c r="C433" s="1" t="s">
        <v>8311</v>
      </c>
      <c r="D433" s="1" t="s">
        <v>417</v>
      </c>
      <c r="E433" s="1" t="s">
        <v>1566</v>
      </c>
      <c r="F433" s="1" t="s">
        <v>8312</v>
      </c>
      <c r="G433" s="1" t="s">
        <v>8313</v>
      </c>
      <c r="H433" s="1" t="s">
        <v>8314</v>
      </c>
      <c r="I433" s="1" t="s">
        <v>8315</v>
      </c>
      <c r="J433" s="1">
        <v>9767413833</v>
      </c>
      <c r="K433" s="1" t="s">
        <v>148</v>
      </c>
      <c r="L433" s="1" t="s">
        <v>8316</v>
      </c>
      <c r="M433" s="1" t="s">
        <v>81</v>
      </c>
      <c r="N433" s="1" t="s">
        <v>1418</v>
      </c>
      <c r="O433" s="1"/>
      <c r="P433" s="1" t="s">
        <v>1323</v>
      </c>
      <c r="Q433" s="1" t="s">
        <v>8317</v>
      </c>
      <c r="R433" s="1" t="s">
        <v>8318</v>
      </c>
      <c r="S433" s="1">
        <v>9922615090</v>
      </c>
      <c r="T433" s="1" t="s">
        <v>472</v>
      </c>
      <c r="U433" s="1" t="s">
        <v>8319</v>
      </c>
      <c r="V433" s="1">
        <v>9922263755</v>
      </c>
      <c r="W433" s="1" t="s">
        <v>89</v>
      </c>
      <c r="X433" s="1" t="s">
        <v>8320</v>
      </c>
      <c r="Y433" s="1" t="s">
        <v>5915</v>
      </c>
      <c r="Z433" s="1" t="s">
        <v>92</v>
      </c>
      <c r="AA433" s="1" t="s">
        <v>8320</v>
      </c>
      <c r="AB433" s="1" t="s">
        <v>5915</v>
      </c>
      <c r="AC433" s="1" t="s">
        <v>92</v>
      </c>
      <c r="AD433" s="1">
        <v>8.74</v>
      </c>
      <c r="AE433" s="1" t="s">
        <v>93</v>
      </c>
      <c r="AF433" s="1" t="s">
        <v>8321</v>
      </c>
      <c r="AG433" s="1" t="s">
        <v>8322</v>
      </c>
      <c r="AH433" s="1" t="s">
        <v>527</v>
      </c>
      <c r="AI433" s="1" t="s">
        <v>165</v>
      </c>
      <c r="AJ433" s="1">
        <v>79.6</v>
      </c>
      <c r="AK433" s="1"/>
      <c r="AL433" s="1" t="s">
        <v>8323</v>
      </c>
      <c r="AM433" s="1" t="s">
        <v>8324</v>
      </c>
      <c r="AN433" s="1" t="s">
        <v>166</v>
      </c>
      <c r="AO433" s="1" t="s">
        <v>308</v>
      </c>
      <c r="AP433" s="1">
        <v>66.15</v>
      </c>
      <c r="AQ433" s="1"/>
      <c r="AR433" s="1"/>
      <c r="AS433" s="1"/>
      <c r="AT433" s="1"/>
      <c r="AU433" s="1"/>
      <c r="AV433" s="1"/>
      <c r="AW433" s="1"/>
      <c r="AX433" s="1" t="s">
        <v>361</v>
      </c>
      <c r="AY433" s="1" t="s">
        <v>8325</v>
      </c>
      <c r="AZ433" s="1" t="s">
        <v>201</v>
      </c>
      <c r="BA433" s="1" t="s">
        <v>174</v>
      </c>
      <c r="BB433" s="1">
        <v>73.5</v>
      </c>
      <c r="BC433" s="1">
        <v>7.88</v>
      </c>
      <c r="BD433" s="1"/>
      <c r="BE433" s="1"/>
      <c r="BF433" s="1"/>
      <c r="BG433" s="1"/>
      <c r="BH433" s="1"/>
      <c r="BI433" s="1"/>
      <c r="BJ433" s="1" t="s">
        <v>8326</v>
      </c>
      <c r="BK433" s="1" t="s">
        <v>8327</v>
      </c>
      <c r="BL433" s="1" t="s">
        <v>4917</v>
      </c>
      <c r="BM433" s="1" t="s">
        <v>8328</v>
      </c>
      <c r="BN433" s="1">
        <v>4</v>
      </c>
      <c r="BO433" s="1"/>
      <c r="BP433" s="1" t="str">
        <f>HYPERLINK("https://nconnect.nicmar.ac.in/storage/profile/ProfilePhoto_P25700387_318952.jpg","Download")</f>
        <v>0</v>
      </c>
      <c r="BQ433" s="3"/>
      <c r="BR433" s="3"/>
    </row>
    <row r="434" spans="1:70">
      <c r="A434" s="1" t="s">
        <v>70</v>
      </c>
      <c r="B434" s="1" t="s">
        <v>1269</v>
      </c>
      <c r="C434" s="1" t="s">
        <v>8329</v>
      </c>
      <c r="D434" s="1" t="s">
        <v>8330</v>
      </c>
      <c r="E434" s="1"/>
      <c r="F434" s="1" t="s">
        <v>2190</v>
      </c>
      <c r="G434" s="1" t="s">
        <v>8331</v>
      </c>
      <c r="H434" s="1" t="s">
        <v>8332</v>
      </c>
      <c r="I434" s="1" t="s">
        <v>8333</v>
      </c>
      <c r="J434" s="1">
        <v>6282413343</v>
      </c>
      <c r="K434" s="1" t="s">
        <v>79</v>
      </c>
      <c r="L434" s="1" t="s">
        <v>8334</v>
      </c>
      <c r="M434" s="1" t="s">
        <v>81</v>
      </c>
      <c r="N434" s="1" t="s">
        <v>8335</v>
      </c>
      <c r="O434" s="1"/>
      <c r="P434" s="1" t="s">
        <v>1323</v>
      </c>
      <c r="Q434" s="1" t="s">
        <v>8336</v>
      </c>
      <c r="R434" s="1" t="s">
        <v>8337</v>
      </c>
      <c r="S434" s="1">
        <v>9497884301</v>
      </c>
      <c r="T434" s="1" t="s">
        <v>8338</v>
      </c>
      <c r="U434" s="1" t="s">
        <v>8339</v>
      </c>
      <c r="V434" s="1">
        <v>8547634302</v>
      </c>
      <c r="W434" s="1" t="s">
        <v>8338</v>
      </c>
      <c r="X434" s="1" t="s">
        <v>8340</v>
      </c>
      <c r="Y434" s="1" t="s">
        <v>891</v>
      </c>
      <c r="Z434" s="1" t="s">
        <v>125</v>
      </c>
      <c r="AA434" s="1" t="s">
        <v>8340</v>
      </c>
      <c r="AB434" s="1" t="s">
        <v>891</v>
      </c>
      <c r="AC434" s="1" t="s">
        <v>125</v>
      </c>
      <c r="AD434" s="1">
        <v>9.15</v>
      </c>
      <c r="AE434" s="1" t="s">
        <v>93</v>
      </c>
      <c r="AF434" s="1" t="s">
        <v>8341</v>
      </c>
      <c r="AG434" s="1" t="s">
        <v>307</v>
      </c>
      <c r="AH434" s="1" t="s">
        <v>527</v>
      </c>
      <c r="AI434" s="1" t="s">
        <v>166</v>
      </c>
      <c r="AJ434" s="1">
        <v>85</v>
      </c>
      <c r="AK434" s="1"/>
      <c r="AL434" s="1" t="s">
        <v>8341</v>
      </c>
      <c r="AM434" s="1" t="s">
        <v>307</v>
      </c>
      <c r="AN434" s="1" t="s">
        <v>308</v>
      </c>
      <c r="AO434" s="1" t="s">
        <v>173</v>
      </c>
      <c r="AP434" s="1">
        <v>83.2</v>
      </c>
      <c r="AQ434" s="1"/>
      <c r="AR434" s="1"/>
      <c r="AS434" s="1"/>
      <c r="AT434" s="1"/>
      <c r="AU434" s="1"/>
      <c r="AV434" s="1"/>
      <c r="AW434" s="1"/>
      <c r="AX434" s="1" t="s">
        <v>132</v>
      </c>
      <c r="AY434" s="1" t="s">
        <v>8342</v>
      </c>
      <c r="AZ434" s="1" t="s">
        <v>170</v>
      </c>
      <c r="BA434" s="1" t="s">
        <v>202</v>
      </c>
      <c r="BB434" s="1">
        <v>82.2</v>
      </c>
      <c r="BC434" s="1">
        <v>8.22</v>
      </c>
      <c r="BD434" s="1"/>
      <c r="BE434" s="1"/>
      <c r="BF434" s="1"/>
      <c r="BG434" s="1"/>
      <c r="BH434" s="1"/>
      <c r="BI434" s="1"/>
      <c r="BJ434" s="1" t="s">
        <v>8343</v>
      </c>
      <c r="BK434" s="1"/>
      <c r="BL434" s="1"/>
      <c r="BM434" s="1" t="s">
        <v>8344</v>
      </c>
      <c r="BN434" s="1">
        <v>10</v>
      </c>
      <c r="BO434" s="1" t="s">
        <v>8345</v>
      </c>
      <c r="BP434" s="1" t="str">
        <f>HYPERLINK("https://nconnect.nicmar.ac.in/storage/profile/ProfilePhoto_P25700388_863591.jpg","Download")</f>
        <v>0</v>
      </c>
      <c r="BQ434" s="3"/>
      <c r="BR434" s="3"/>
    </row>
    <row r="435" spans="1:70">
      <c r="A435" s="1" t="s">
        <v>70</v>
      </c>
      <c r="B435" s="1" t="s">
        <v>1269</v>
      </c>
      <c r="C435" s="1" t="s">
        <v>8346</v>
      </c>
      <c r="D435" s="1" t="s">
        <v>443</v>
      </c>
      <c r="E435" s="1" t="s">
        <v>8347</v>
      </c>
      <c r="F435" s="1" t="s">
        <v>8348</v>
      </c>
      <c r="G435" s="1" t="s">
        <v>8349</v>
      </c>
      <c r="H435" s="1" t="s">
        <v>8350</v>
      </c>
      <c r="I435" s="1" t="s">
        <v>8351</v>
      </c>
      <c r="J435" s="1">
        <v>7507067672</v>
      </c>
      <c r="K435" s="1" t="s">
        <v>79</v>
      </c>
      <c r="L435" s="1" t="s">
        <v>8352</v>
      </c>
      <c r="M435" s="1" t="s">
        <v>81</v>
      </c>
      <c r="N435" s="1" t="s">
        <v>3187</v>
      </c>
      <c r="O435" s="1"/>
      <c r="P435" s="1" t="s">
        <v>1298</v>
      </c>
      <c r="Q435" s="1" t="s">
        <v>8353</v>
      </c>
      <c r="R435" s="1" t="s">
        <v>756</v>
      </c>
      <c r="S435" s="1">
        <v>9422852015</v>
      </c>
      <c r="T435" s="1" t="s">
        <v>271</v>
      </c>
      <c r="U435" s="1" t="s">
        <v>3060</v>
      </c>
      <c r="V435" s="1">
        <v>9975145373</v>
      </c>
      <c r="W435" s="1" t="s">
        <v>156</v>
      </c>
      <c r="X435" s="1" t="s">
        <v>8354</v>
      </c>
      <c r="Y435" s="1" t="s">
        <v>8355</v>
      </c>
      <c r="Z435" s="1" t="s">
        <v>92</v>
      </c>
      <c r="AA435" s="1" t="s">
        <v>8354</v>
      </c>
      <c r="AB435" s="1" t="s">
        <v>8355</v>
      </c>
      <c r="AC435" s="1" t="s">
        <v>92</v>
      </c>
      <c r="AD435" s="1">
        <v>8.56</v>
      </c>
      <c r="AE435" s="1" t="s">
        <v>93</v>
      </c>
      <c r="AF435" s="1" t="s">
        <v>8356</v>
      </c>
      <c r="AG435" s="1" t="s">
        <v>160</v>
      </c>
      <c r="AH435" s="1" t="s">
        <v>128</v>
      </c>
      <c r="AI435" s="1" t="s">
        <v>1242</v>
      </c>
      <c r="AJ435" s="1">
        <v>75.64</v>
      </c>
      <c r="AK435" s="1">
        <v>7.96</v>
      </c>
      <c r="AL435" s="1"/>
      <c r="AM435" s="1"/>
      <c r="AN435" s="1"/>
      <c r="AO435" s="1"/>
      <c r="AP435" s="1"/>
      <c r="AQ435" s="1"/>
      <c r="AR435" s="1" t="s">
        <v>98</v>
      </c>
      <c r="AS435" s="1" t="s">
        <v>8357</v>
      </c>
      <c r="AT435" s="1" t="s">
        <v>1245</v>
      </c>
      <c r="AU435" s="1" t="s">
        <v>162</v>
      </c>
      <c r="AV435" s="1">
        <v>79.88</v>
      </c>
      <c r="AW435" s="1">
        <v>8.4</v>
      </c>
      <c r="AX435" s="1" t="s">
        <v>8358</v>
      </c>
      <c r="AY435" s="1" t="s">
        <v>8359</v>
      </c>
      <c r="AZ435" s="1" t="s">
        <v>134</v>
      </c>
      <c r="BA435" s="1" t="s">
        <v>310</v>
      </c>
      <c r="BB435" s="1">
        <v>67.9</v>
      </c>
      <c r="BC435" s="1">
        <v>7.54</v>
      </c>
      <c r="BD435" s="1"/>
      <c r="BE435" s="1"/>
      <c r="BF435" s="1"/>
      <c r="BG435" s="1"/>
      <c r="BH435" s="1"/>
      <c r="BI435" s="1"/>
      <c r="BJ435" s="1" t="s">
        <v>8360</v>
      </c>
      <c r="BK435" s="1" t="s">
        <v>8361</v>
      </c>
      <c r="BL435" s="1" t="s">
        <v>8362</v>
      </c>
      <c r="BM435" s="1" t="s">
        <v>8363</v>
      </c>
      <c r="BN435" s="1">
        <v>41</v>
      </c>
      <c r="BO435" s="1" t="s">
        <v>8364</v>
      </c>
      <c r="BP435" s="1" t="str">
        <f>HYPERLINK("https://nconnect.nicmar.ac.in/storage/profile/ProfilePhoto_P25700389_893247.jpg","Download")</f>
        <v>0</v>
      </c>
      <c r="BQ435" s="3"/>
      <c r="BR435" s="3"/>
    </row>
    <row r="436" spans="1:70">
      <c r="A436" s="1" t="s">
        <v>70</v>
      </c>
      <c r="B436" s="1" t="s">
        <v>1269</v>
      </c>
      <c r="C436" s="1" t="s">
        <v>8365</v>
      </c>
      <c r="D436" s="1" t="s">
        <v>8366</v>
      </c>
      <c r="E436" s="1" t="s">
        <v>234</v>
      </c>
      <c r="F436" s="1" t="s">
        <v>8367</v>
      </c>
      <c r="G436" s="1" t="s">
        <v>8368</v>
      </c>
      <c r="H436" s="1" t="s">
        <v>8369</v>
      </c>
      <c r="I436" s="1" t="s">
        <v>8370</v>
      </c>
      <c r="J436" s="1">
        <v>8669341501</v>
      </c>
      <c r="K436" s="1" t="s">
        <v>79</v>
      </c>
      <c r="L436" s="1" t="s">
        <v>8371</v>
      </c>
      <c r="M436" s="1" t="s">
        <v>81</v>
      </c>
      <c r="N436" s="1" t="s">
        <v>1618</v>
      </c>
      <c r="O436" s="1"/>
      <c r="P436" s="1" t="s">
        <v>1323</v>
      </c>
      <c r="Q436" s="1" t="s">
        <v>8372</v>
      </c>
      <c r="R436" s="1" t="s">
        <v>8373</v>
      </c>
      <c r="S436" s="1">
        <v>9096064250</v>
      </c>
      <c r="T436" s="1" t="s">
        <v>8374</v>
      </c>
      <c r="U436" s="1" t="s">
        <v>8375</v>
      </c>
      <c r="V436" s="1">
        <v>9970125918</v>
      </c>
      <c r="W436" s="1" t="s">
        <v>156</v>
      </c>
      <c r="X436" s="1" t="s">
        <v>8376</v>
      </c>
      <c r="Y436" s="1" t="s">
        <v>191</v>
      </c>
      <c r="Z436" s="1" t="s">
        <v>92</v>
      </c>
      <c r="AA436" s="1" t="s">
        <v>8377</v>
      </c>
      <c r="AB436" s="1" t="s">
        <v>379</v>
      </c>
      <c r="AC436" s="1" t="s">
        <v>92</v>
      </c>
      <c r="AD436" s="1" t="s">
        <v>93</v>
      </c>
      <c r="AE436" s="1" t="s">
        <v>93</v>
      </c>
      <c r="AF436" s="1" t="s">
        <v>8378</v>
      </c>
      <c r="AG436" s="1" t="s">
        <v>8379</v>
      </c>
      <c r="AH436" s="1" t="s">
        <v>1307</v>
      </c>
      <c r="AI436" s="1" t="s">
        <v>308</v>
      </c>
      <c r="AJ436" s="1">
        <v>68.4</v>
      </c>
      <c r="AK436" s="1">
        <v>7.2</v>
      </c>
      <c r="AL436" s="1" t="s">
        <v>8380</v>
      </c>
      <c r="AM436" s="1" t="s">
        <v>8379</v>
      </c>
      <c r="AN436" s="1" t="s">
        <v>412</v>
      </c>
      <c r="AO436" s="1" t="s">
        <v>436</v>
      </c>
      <c r="AP436" s="1">
        <v>71.5</v>
      </c>
      <c r="AQ436" s="1"/>
      <c r="AR436" s="1"/>
      <c r="AS436" s="1"/>
      <c r="AT436" s="1"/>
      <c r="AU436" s="1"/>
      <c r="AV436" s="1"/>
      <c r="AW436" s="1"/>
      <c r="AX436" s="1" t="s">
        <v>361</v>
      </c>
      <c r="AY436" s="1" t="s">
        <v>8381</v>
      </c>
      <c r="AZ436" s="1" t="s">
        <v>5467</v>
      </c>
      <c r="BA436" s="1" t="s">
        <v>1361</v>
      </c>
      <c r="BB436" s="1">
        <v>68.3</v>
      </c>
      <c r="BC436" s="1">
        <v>7.19</v>
      </c>
      <c r="BD436" s="1"/>
      <c r="BE436" s="1"/>
      <c r="BF436" s="1"/>
      <c r="BG436" s="1"/>
      <c r="BH436" s="1"/>
      <c r="BI436" s="1"/>
      <c r="BJ436" s="1" t="s">
        <v>364</v>
      </c>
      <c r="BK436" s="1"/>
      <c r="BL436" s="1"/>
      <c r="BM436" s="1" t="s">
        <v>8382</v>
      </c>
      <c r="BN436" s="1">
        <v>25</v>
      </c>
      <c r="BO436" s="1"/>
      <c r="BP436" s="1" t="str">
        <f>HYPERLINK("https://nconnect.nicmar.ac.in/storage/profile/ProfilePhoto_P25700390_748536.jpg","Download")</f>
        <v>0</v>
      </c>
      <c r="BQ436" s="3"/>
      <c r="BR436" s="3"/>
    </row>
    <row r="437" spans="1:70">
      <c r="A437" s="1" t="s">
        <v>70</v>
      </c>
      <c r="B437" s="1" t="s">
        <v>1269</v>
      </c>
      <c r="C437" s="1" t="s">
        <v>8383</v>
      </c>
      <c r="D437" s="1" t="s">
        <v>8384</v>
      </c>
      <c r="E437" s="1" t="s">
        <v>2655</v>
      </c>
      <c r="F437" s="1" t="s">
        <v>8385</v>
      </c>
      <c r="G437" s="1" t="s">
        <v>8386</v>
      </c>
      <c r="H437" s="1" t="s">
        <v>8387</v>
      </c>
      <c r="I437" s="1" t="s">
        <v>8388</v>
      </c>
      <c r="J437" s="1">
        <v>9082006296</v>
      </c>
      <c r="K437" s="1" t="s">
        <v>79</v>
      </c>
      <c r="L437" s="1" t="s">
        <v>2897</v>
      </c>
      <c r="M437" s="1" t="s">
        <v>81</v>
      </c>
      <c r="N437" s="1" t="s">
        <v>8389</v>
      </c>
      <c r="O437" s="1"/>
      <c r="P437" s="1" t="s">
        <v>1323</v>
      </c>
      <c r="Q437" s="1" t="s">
        <v>8390</v>
      </c>
      <c r="R437" s="1" t="s">
        <v>8391</v>
      </c>
      <c r="S437" s="1">
        <v>9833560917</v>
      </c>
      <c r="T437" s="1" t="s">
        <v>1488</v>
      </c>
      <c r="U437" s="1" t="s">
        <v>8392</v>
      </c>
      <c r="V437" s="1">
        <v>9833635302</v>
      </c>
      <c r="W437" s="1" t="s">
        <v>156</v>
      </c>
      <c r="X437" s="1" t="s">
        <v>8393</v>
      </c>
      <c r="Y437" s="1" t="s">
        <v>1018</v>
      </c>
      <c r="Z437" s="1" t="s">
        <v>92</v>
      </c>
      <c r="AA437" s="1" t="s">
        <v>8393</v>
      </c>
      <c r="AB437" s="1" t="s">
        <v>1018</v>
      </c>
      <c r="AC437" s="1" t="s">
        <v>92</v>
      </c>
      <c r="AD437" s="1">
        <v>7.71</v>
      </c>
      <c r="AE437" s="1" t="s">
        <v>93</v>
      </c>
      <c r="AF437" s="1" t="s">
        <v>8394</v>
      </c>
      <c r="AG437" s="1" t="s">
        <v>8395</v>
      </c>
      <c r="AH437" s="1" t="s">
        <v>279</v>
      </c>
      <c r="AI437" s="1" t="s">
        <v>165</v>
      </c>
      <c r="AJ437" s="1">
        <v>89.3</v>
      </c>
      <c r="AK437" s="1">
        <v>9.4</v>
      </c>
      <c r="AL437" s="1" t="s">
        <v>8396</v>
      </c>
      <c r="AM437" s="1" t="s">
        <v>8395</v>
      </c>
      <c r="AN437" s="1" t="s">
        <v>1307</v>
      </c>
      <c r="AO437" s="1" t="s">
        <v>308</v>
      </c>
      <c r="AP437" s="1">
        <v>67.2</v>
      </c>
      <c r="AQ437" s="1">
        <v>7.4</v>
      </c>
      <c r="AR437" s="1"/>
      <c r="AS437" s="1"/>
      <c r="AT437" s="1"/>
      <c r="AU437" s="1"/>
      <c r="AV437" s="1"/>
      <c r="AW437" s="1"/>
      <c r="AX437" s="1" t="s">
        <v>253</v>
      </c>
      <c r="AY437" s="1" t="s">
        <v>8397</v>
      </c>
      <c r="AZ437" s="1" t="s">
        <v>433</v>
      </c>
      <c r="BA437" s="1" t="s">
        <v>8398</v>
      </c>
      <c r="BB437" s="1">
        <v>68.68</v>
      </c>
      <c r="BC437" s="1">
        <v>7.78</v>
      </c>
      <c r="BD437" s="1"/>
      <c r="BE437" s="1"/>
      <c r="BF437" s="1"/>
      <c r="BG437" s="1"/>
      <c r="BH437" s="1"/>
      <c r="BI437" s="1"/>
      <c r="BJ437" s="1" t="s">
        <v>8399</v>
      </c>
      <c r="BK437" s="1"/>
      <c r="BL437" s="1"/>
      <c r="BM437" s="1" t="s">
        <v>8400</v>
      </c>
      <c r="BN437" s="1">
        <v>84</v>
      </c>
      <c r="BO437" s="1" t="s">
        <v>1715</v>
      </c>
      <c r="BP437" s="1" t="str">
        <f>HYPERLINK("https://nconnect.nicmar.ac.in/storage/profile/ProfilePhoto_P25700391_259437.jpg","Download")</f>
        <v>0</v>
      </c>
      <c r="BQ437" s="3"/>
      <c r="BR437" s="3"/>
    </row>
    <row r="438" spans="1:70">
      <c r="A438" s="1" t="s">
        <v>70</v>
      </c>
      <c r="B438" s="1" t="s">
        <v>1269</v>
      </c>
      <c r="C438" s="1" t="s">
        <v>8401</v>
      </c>
      <c r="D438" s="1" t="s">
        <v>8402</v>
      </c>
      <c r="E438" s="1"/>
      <c r="F438" s="1" t="s">
        <v>8402</v>
      </c>
      <c r="G438" s="1" t="s">
        <v>8403</v>
      </c>
      <c r="H438" s="1" t="s">
        <v>8404</v>
      </c>
      <c r="I438" s="1" t="s">
        <v>8405</v>
      </c>
      <c r="J438" s="1">
        <v>9538442621</v>
      </c>
      <c r="K438" s="1" t="s">
        <v>148</v>
      </c>
      <c r="L438" s="1" t="s">
        <v>4468</v>
      </c>
      <c r="M438" s="1" t="s">
        <v>81</v>
      </c>
      <c r="N438" s="1" t="s">
        <v>8406</v>
      </c>
      <c r="O438" s="1"/>
      <c r="P438" s="1" t="s">
        <v>1298</v>
      </c>
      <c r="Q438" s="1" t="s">
        <v>8407</v>
      </c>
      <c r="R438" s="1" t="s">
        <v>8408</v>
      </c>
      <c r="S438" s="1">
        <v>9611984367</v>
      </c>
      <c r="T438" s="1" t="s">
        <v>8409</v>
      </c>
      <c r="U438" s="1" t="s">
        <v>8410</v>
      </c>
      <c r="V438" s="1">
        <v>9620857969</v>
      </c>
      <c r="W438" s="1" t="s">
        <v>89</v>
      </c>
      <c r="X438" s="1" t="s">
        <v>8411</v>
      </c>
      <c r="Y438" s="1" t="s">
        <v>1083</v>
      </c>
      <c r="Z438" s="1" t="s">
        <v>1084</v>
      </c>
      <c r="AA438" s="1" t="s">
        <v>8411</v>
      </c>
      <c r="AB438" s="1" t="s">
        <v>1083</v>
      </c>
      <c r="AC438" s="1" t="s">
        <v>1084</v>
      </c>
      <c r="AD438" s="1">
        <v>8.87</v>
      </c>
      <c r="AE438" s="1" t="s">
        <v>93</v>
      </c>
      <c r="AF438" s="1" t="s">
        <v>8402</v>
      </c>
      <c r="AG438" s="1" t="s">
        <v>2745</v>
      </c>
      <c r="AH438" s="1" t="s">
        <v>479</v>
      </c>
      <c r="AI438" s="1" t="s">
        <v>1307</v>
      </c>
      <c r="AJ438" s="1">
        <v>95.68</v>
      </c>
      <c r="AK438" s="1"/>
      <c r="AL438" s="1" t="s">
        <v>8412</v>
      </c>
      <c r="AM438" s="1" t="s">
        <v>2745</v>
      </c>
      <c r="AN438" s="1" t="s">
        <v>198</v>
      </c>
      <c r="AO438" s="1" t="s">
        <v>941</v>
      </c>
      <c r="AP438" s="1">
        <v>79.66</v>
      </c>
      <c r="AQ438" s="1"/>
      <c r="AR438" s="1"/>
      <c r="AS438" s="1"/>
      <c r="AT438" s="1"/>
      <c r="AU438" s="1"/>
      <c r="AV438" s="1"/>
      <c r="AW438" s="1"/>
      <c r="AX438" s="1" t="s">
        <v>8413</v>
      </c>
      <c r="AY438" s="1" t="s">
        <v>1088</v>
      </c>
      <c r="AZ438" s="1" t="s">
        <v>228</v>
      </c>
      <c r="BA438" s="1" t="s">
        <v>1408</v>
      </c>
      <c r="BB438" s="1">
        <v>66.9</v>
      </c>
      <c r="BC438" s="1">
        <v>7.44</v>
      </c>
      <c r="BD438" s="1"/>
      <c r="BE438" s="1"/>
      <c r="BF438" s="1"/>
      <c r="BG438" s="1"/>
      <c r="BH438" s="1"/>
      <c r="BI438" s="1"/>
      <c r="BJ438" s="1" t="s">
        <v>8414</v>
      </c>
      <c r="BK438" s="1"/>
      <c r="BL438" s="1"/>
      <c r="BM438" s="1" t="s">
        <v>8415</v>
      </c>
      <c r="BN438" s="1">
        <v>24</v>
      </c>
      <c r="BO438" s="1" t="s">
        <v>8416</v>
      </c>
      <c r="BP438" s="1" t="str">
        <f>HYPERLINK("https://nconnect.nicmar.ac.in/storage/profile/ProfilePhoto_P25700392_517643.jpg","Download")</f>
        <v>0</v>
      </c>
      <c r="BQ438" s="3"/>
      <c r="BR438" s="3"/>
    </row>
    <row r="439" spans="1:70">
      <c r="A439" s="1" t="s">
        <v>70</v>
      </c>
      <c r="B439" s="1" t="s">
        <v>1269</v>
      </c>
      <c r="C439" s="1" t="s">
        <v>8417</v>
      </c>
      <c r="D439" s="1" t="s">
        <v>8418</v>
      </c>
      <c r="E439" s="1"/>
      <c r="F439" s="1" t="s">
        <v>8419</v>
      </c>
      <c r="G439" s="1" t="s">
        <v>8420</v>
      </c>
      <c r="H439" s="1" t="s">
        <v>8421</v>
      </c>
      <c r="I439" s="1" t="s">
        <v>8422</v>
      </c>
      <c r="J439" s="1">
        <v>9110471281</v>
      </c>
      <c r="K439" s="1" t="s">
        <v>79</v>
      </c>
      <c r="L439" s="1" t="s">
        <v>8423</v>
      </c>
      <c r="M439" s="1" t="s">
        <v>81</v>
      </c>
      <c r="N439" s="1" t="s">
        <v>8424</v>
      </c>
      <c r="O439" s="1"/>
      <c r="P439" s="1" t="s">
        <v>1278</v>
      </c>
      <c r="Q439" s="1" t="s">
        <v>8425</v>
      </c>
      <c r="R439" s="1" t="s">
        <v>8426</v>
      </c>
      <c r="S439" s="1">
        <v>7019330358</v>
      </c>
      <c r="T439" s="1" t="s">
        <v>8427</v>
      </c>
      <c r="U439" s="1" t="s">
        <v>8428</v>
      </c>
      <c r="V439" s="1">
        <v>9113098618</v>
      </c>
      <c r="W439" s="1" t="s">
        <v>156</v>
      </c>
      <c r="X439" s="1" t="s">
        <v>8429</v>
      </c>
      <c r="Y439" s="1" t="s">
        <v>2052</v>
      </c>
      <c r="Z439" s="1" t="s">
        <v>1084</v>
      </c>
      <c r="AA439" s="1" t="s">
        <v>8429</v>
      </c>
      <c r="AB439" s="1" t="s">
        <v>2052</v>
      </c>
      <c r="AC439" s="1" t="s">
        <v>1084</v>
      </c>
      <c r="AD439" s="1">
        <v>8.42</v>
      </c>
      <c r="AE439" s="1" t="s">
        <v>93</v>
      </c>
      <c r="AF439" s="1" t="s">
        <v>8430</v>
      </c>
      <c r="AG439" s="1" t="s">
        <v>307</v>
      </c>
      <c r="AH439" s="1" t="s">
        <v>1197</v>
      </c>
      <c r="AI439" s="1" t="s">
        <v>97</v>
      </c>
      <c r="AJ439" s="1">
        <v>72.2</v>
      </c>
      <c r="AK439" s="1">
        <v>7.6</v>
      </c>
      <c r="AL439" s="1"/>
      <c r="AM439" s="1"/>
      <c r="AN439" s="1"/>
      <c r="AO439" s="1"/>
      <c r="AP439" s="1"/>
      <c r="AQ439" s="1"/>
      <c r="AR439" s="1" t="s">
        <v>8431</v>
      </c>
      <c r="AS439" s="1" t="s">
        <v>8432</v>
      </c>
      <c r="AT439" s="1" t="s">
        <v>165</v>
      </c>
      <c r="AU439" s="1" t="s">
        <v>2461</v>
      </c>
      <c r="AV439" s="1">
        <v>83.74</v>
      </c>
      <c r="AW439" s="1"/>
      <c r="AX439" s="1" t="s">
        <v>8433</v>
      </c>
      <c r="AY439" s="1" t="s">
        <v>8434</v>
      </c>
      <c r="AZ439" s="1" t="s">
        <v>363</v>
      </c>
      <c r="BA439" s="1" t="s">
        <v>6010</v>
      </c>
      <c r="BB439" s="1">
        <v>69.2</v>
      </c>
      <c r="BC439" s="1">
        <v>7.67</v>
      </c>
      <c r="BD439" s="1"/>
      <c r="BE439" s="1"/>
      <c r="BF439" s="1"/>
      <c r="BG439" s="1"/>
      <c r="BH439" s="1"/>
      <c r="BI439" s="1"/>
      <c r="BJ439" s="1" t="s">
        <v>8435</v>
      </c>
      <c r="BK439" s="1" t="s">
        <v>8436</v>
      </c>
      <c r="BL439" s="1" t="s">
        <v>3103</v>
      </c>
      <c r="BM439" s="1" t="s">
        <v>8437</v>
      </c>
      <c r="BN439" s="1">
        <v>22</v>
      </c>
      <c r="BO439" s="1"/>
      <c r="BP439" s="1" t="str">
        <f>HYPERLINK("https://nconnect.nicmar.ac.in/storage/profile/ProfilePhoto_P25700393_435691.jpg","Download")</f>
        <v>0</v>
      </c>
      <c r="BQ439" s="3"/>
      <c r="BR439" s="3"/>
    </row>
    <row r="440" spans="1:70">
      <c r="A440" s="1" t="s">
        <v>70</v>
      </c>
      <c r="B440" s="1" t="s">
        <v>1269</v>
      </c>
      <c r="C440" s="1" t="s">
        <v>8438</v>
      </c>
      <c r="D440" s="1" t="s">
        <v>707</v>
      </c>
      <c r="E440" s="1"/>
      <c r="F440" s="1" t="s">
        <v>707</v>
      </c>
      <c r="G440" s="1" t="s">
        <v>8439</v>
      </c>
      <c r="H440" s="1" t="s">
        <v>8440</v>
      </c>
      <c r="I440" s="1" t="s">
        <v>8441</v>
      </c>
      <c r="J440" s="1">
        <v>9588774772</v>
      </c>
      <c r="K440" s="1" t="s">
        <v>79</v>
      </c>
      <c r="L440" s="1" t="s">
        <v>8442</v>
      </c>
      <c r="M440" s="1" t="s">
        <v>81</v>
      </c>
      <c r="N440" s="1" t="s">
        <v>8443</v>
      </c>
      <c r="O440" s="1"/>
      <c r="P440" s="1" t="s">
        <v>1298</v>
      </c>
      <c r="Q440" s="1" t="s">
        <v>8444</v>
      </c>
      <c r="R440" s="1" t="s">
        <v>8445</v>
      </c>
      <c r="S440" s="1">
        <v>9416719637</v>
      </c>
      <c r="T440" s="1" t="s">
        <v>122</v>
      </c>
      <c r="U440" s="1" t="s">
        <v>8446</v>
      </c>
      <c r="V440" s="1">
        <v>9416703927</v>
      </c>
      <c r="W440" s="1" t="s">
        <v>122</v>
      </c>
      <c r="X440" s="1" t="s">
        <v>8447</v>
      </c>
      <c r="Y440" s="1" t="s">
        <v>8448</v>
      </c>
      <c r="Z440" s="1" t="s">
        <v>719</v>
      </c>
      <c r="AA440" s="1" t="s">
        <v>8447</v>
      </c>
      <c r="AB440" s="1" t="s">
        <v>8448</v>
      </c>
      <c r="AC440" s="1" t="s">
        <v>719</v>
      </c>
      <c r="AD440" s="1">
        <v>9.1</v>
      </c>
      <c r="AE440" s="1" t="s">
        <v>93</v>
      </c>
      <c r="AF440" s="1" t="s">
        <v>8449</v>
      </c>
      <c r="AG440" s="1" t="s">
        <v>3347</v>
      </c>
      <c r="AH440" s="1" t="s">
        <v>678</v>
      </c>
      <c r="AI440" s="1" t="s">
        <v>166</v>
      </c>
      <c r="AJ440" s="1">
        <v>62.8</v>
      </c>
      <c r="AK440" s="1"/>
      <c r="AL440" s="1" t="s">
        <v>8450</v>
      </c>
      <c r="AM440" s="1" t="s">
        <v>8451</v>
      </c>
      <c r="AN440" s="1" t="s">
        <v>1065</v>
      </c>
      <c r="AO440" s="1" t="s">
        <v>173</v>
      </c>
      <c r="AP440" s="1">
        <v>87.8</v>
      </c>
      <c r="AQ440" s="1">
        <v>8.2</v>
      </c>
      <c r="AR440" s="1"/>
      <c r="AS440" s="1"/>
      <c r="AT440" s="1"/>
      <c r="AU440" s="1"/>
      <c r="AV440" s="1"/>
      <c r="AW440" s="1"/>
      <c r="AX440" s="1" t="s">
        <v>8452</v>
      </c>
      <c r="AY440" s="1" t="s">
        <v>8452</v>
      </c>
      <c r="AZ440" s="1" t="s">
        <v>2461</v>
      </c>
      <c r="BA440" s="1" t="s">
        <v>1938</v>
      </c>
      <c r="BB440" s="1">
        <v>74.2</v>
      </c>
      <c r="BC440" s="1">
        <v>7.42</v>
      </c>
      <c r="BD440" s="1"/>
      <c r="BE440" s="1"/>
      <c r="BF440" s="1"/>
      <c r="BG440" s="1"/>
      <c r="BH440" s="1"/>
      <c r="BI440" s="1"/>
      <c r="BJ440" s="1" t="s">
        <v>8453</v>
      </c>
      <c r="BK440" s="1"/>
      <c r="BL440" s="1"/>
      <c r="BM440" s="1" t="s">
        <v>8454</v>
      </c>
      <c r="BN440" s="1">
        <v>28</v>
      </c>
      <c r="BO440" s="1"/>
      <c r="BP440" s="1" t="str">
        <f>HYPERLINK("https://nconnect.nicmar.ac.in/storage/profile/ProfilePhoto_P25700394_167349.jpg","Download")</f>
        <v>0</v>
      </c>
      <c r="BQ440" s="3"/>
      <c r="BR440" s="3"/>
    </row>
    <row r="441" spans="1:70">
      <c r="A441" s="1" t="s">
        <v>70</v>
      </c>
      <c r="B441" s="1" t="s">
        <v>1269</v>
      </c>
      <c r="C441" s="1" t="s">
        <v>8455</v>
      </c>
      <c r="D441" s="1" t="s">
        <v>8456</v>
      </c>
      <c r="E441" s="1" t="s">
        <v>368</v>
      </c>
      <c r="F441" s="1" t="s">
        <v>4107</v>
      </c>
      <c r="G441" s="1" t="s">
        <v>8457</v>
      </c>
      <c r="H441" s="1" t="s">
        <v>8458</v>
      </c>
      <c r="I441" s="1" t="s">
        <v>8459</v>
      </c>
      <c r="J441" s="1">
        <v>7506570941</v>
      </c>
      <c r="K441" s="1" t="s">
        <v>79</v>
      </c>
      <c r="L441" s="1" t="s">
        <v>8460</v>
      </c>
      <c r="M441" s="1" t="s">
        <v>81</v>
      </c>
      <c r="N441" s="1" t="s">
        <v>860</v>
      </c>
      <c r="O441" s="1"/>
      <c r="P441" s="1" t="s">
        <v>1298</v>
      </c>
      <c r="Q441" s="1" t="s">
        <v>8461</v>
      </c>
      <c r="R441" s="1" t="s">
        <v>8462</v>
      </c>
      <c r="S441" s="1">
        <v>9930577125</v>
      </c>
      <c r="T441" s="1" t="s">
        <v>496</v>
      </c>
      <c r="U441" s="1" t="s">
        <v>8463</v>
      </c>
      <c r="V441" s="1">
        <v>8291997908</v>
      </c>
      <c r="W441" s="1" t="s">
        <v>156</v>
      </c>
      <c r="X441" s="1" t="s">
        <v>8464</v>
      </c>
      <c r="Y441" s="1" t="s">
        <v>1623</v>
      </c>
      <c r="Z441" s="1" t="s">
        <v>92</v>
      </c>
      <c r="AA441" s="1" t="s">
        <v>8464</v>
      </c>
      <c r="AB441" s="1" t="s">
        <v>1623</v>
      </c>
      <c r="AC441" s="1" t="s">
        <v>92</v>
      </c>
      <c r="AD441" s="1">
        <v>7.67</v>
      </c>
      <c r="AE441" s="1" t="s">
        <v>93</v>
      </c>
      <c r="AF441" s="1" t="s">
        <v>8465</v>
      </c>
      <c r="AG441" s="1" t="s">
        <v>8466</v>
      </c>
      <c r="AH441" s="1" t="s">
        <v>161</v>
      </c>
      <c r="AI441" s="1" t="s">
        <v>456</v>
      </c>
      <c r="AJ441" s="1">
        <v>60</v>
      </c>
      <c r="AK441" s="1"/>
      <c r="AL441" s="1"/>
      <c r="AM441" s="1"/>
      <c r="AN441" s="1"/>
      <c r="AO441" s="1"/>
      <c r="AP441" s="1"/>
      <c r="AQ441" s="1"/>
      <c r="AR441" s="1" t="s">
        <v>98</v>
      </c>
      <c r="AS441" s="1" t="s">
        <v>3045</v>
      </c>
      <c r="AT441" s="1" t="s">
        <v>134</v>
      </c>
      <c r="AU441" s="1" t="s">
        <v>170</v>
      </c>
      <c r="AV441" s="1">
        <v>80.06</v>
      </c>
      <c r="AW441" s="1"/>
      <c r="AX441" s="1" t="s">
        <v>1024</v>
      </c>
      <c r="AY441" s="1" t="s">
        <v>8467</v>
      </c>
      <c r="AZ441" s="1" t="s">
        <v>363</v>
      </c>
      <c r="BA441" s="1" t="s">
        <v>682</v>
      </c>
      <c r="BB441" s="1">
        <v>69.54</v>
      </c>
      <c r="BC441" s="1">
        <v>7.32</v>
      </c>
      <c r="BD441" s="1"/>
      <c r="BE441" s="1"/>
      <c r="BF441" s="1"/>
      <c r="BG441" s="1"/>
      <c r="BH441" s="1"/>
      <c r="BI441" s="1"/>
      <c r="BJ441" s="1" t="s">
        <v>4493</v>
      </c>
      <c r="BK441" s="1" t="s">
        <v>8468</v>
      </c>
      <c r="BL441" s="1" t="s">
        <v>1629</v>
      </c>
      <c r="BM441" s="1" t="s">
        <v>8469</v>
      </c>
      <c r="BN441" s="1">
        <v>8</v>
      </c>
      <c r="BO441" s="1"/>
      <c r="BP441" s="1" t="str">
        <f>HYPERLINK("https://nconnect.nicmar.ac.in/storage/profile/ProfilePhoto_P25700395_597218.jpg","Download")</f>
        <v>0</v>
      </c>
      <c r="BQ441" s="3"/>
      <c r="BR441" s="3"/>
    </row>
    <row r="442" spans="1:70">
      <c r="A442" s="1" t="s">
        <v>70</v>
      </c>
      <c r="B442" s="1" t="s">
        <v>1269</v>
      </c>
      <c r="C442" s="1" t="s">
        <v>8470</v>
      </c>
      <c r="D442" s="1" t="s">
        <v>8471</v>
      </c>
      <c r="E442" s="1" t="s">
        <v>5072</v>
      </c>
      <c r="F442" s="1" t="s">
        <v>8472</v>
      </c>
      <c r="G442" s="1" t="s">
        <v>8473</v>
      </c>
      <c r="H442" s="1" t="s">
        <v>8474</v>
      </c>
      <c r="I442" s="1" t="s">
        <v>8475</v>
      </c>
      <c r="J442" s="1">
        <v>7666829049</v>
      </c>
      <c r="K442" s="1" t="s">
        <v>79</v>
      </c>
      <c r="L442" s="1" t="s">
        <v>8476</v>
      </c>
      <c r="M442" s="1" t="s">
        <v>81</v>
      </c>
      <c r="N442" s="1" t="s">
        <v>8477</v>
      </c>
      <c r="O442" s="1"/>
      <c r="P442" s="1" t="s">
        <v>1298</v>
      </c>
      <c r="Q442" s="1" t="s">
        <v>8478</v>
      </c>
      <c r="R442" s="1" t="s">
        <v>8479</v>
      </c>
      <c r="S442" s="1">
        <v>9370789041</v>
      </c>
      <c r="T442" s="1" t="s">
        <v>8480</v>
      </c>
      <c r="U442" s="1" t="s">
        <v>8481</v>
      </c>
      <c r="V442" s="1">
        <v>9130823409</v>
      </c>
      <c r="W442" s="1" t="s">
        <v>156</v>
      </c>
      <c r="X442" s="1" t="s">
        <v>8482</v>
      </c>
      <c r="Y442" s="1" t="s">
        <v>6375</v>
      </c>
      <c r="Z442" s="1" t="s">
        <v>92</v>
      </c>
      <c r="AA442" s="1" t="s">
        <v>8482</v>
      </c>
      <c r="AB442" s="1" t="s">
        <v>6375</v>
      </c>
      <c r="AC442" s="1" t="s">
        <v>92</v>
      </c>
      <c r="AD442" s="1">
        <v>7.84</v>
      </c>
      <c r="AE442" s="1" t="s">
        <v>93</v>
      </c>
      <c r="AF442" s="1" t="s">
        <v>8483</v>
      </c>
      <c r="AG442" s="1" t="s">
        <v>1665</v>
      </c>
      <c r="AH442" s="1" t="s">
        <v>166</v>
      </c>
      <c r="AI442" s="1" t="s">
        <v>308</v>
      </c>
      <c r="AJ442" s="1">
        <v>70.8</v>
      </c>
      <c r="AK442" s="1">
        <v>7.45</v>
      </c>
      <c r="AL442" s="1"/>
      <c r="AM442" s="1"/>
      <c r="AN442" s="1"/>
      <c r="AO442" s="1"/>
      <c r="AP442" s="1"/>
      <c r="AQ442" s="1"/>
      <c r="AR442" s="1" t="s">
        <v>98</v>
      </c>
      <c r="AS442" s="1" t="s">
        <v>8484</v>
      </c>
      <c r="AT442" s="1" t="s">
        <v>310</v>
      </c>
      <c r="AU442" s="1" t="s">
        <v>481</v>
      </c>
      <c r="AV442" s="1">
        <v>85.11</v>
      </c>
      <c r="AW442" s="1"/>
      <c r="AX442" s="1" t="s">
        <v>8485</v>
      </c>
      <c r="AY442" s="1" t="s">
        <v>8486</v>
      </c>
      <c r="AZ442" s="1" t="s">
        <v>105</v>
      </c>
      <c r="BA442" s="1" t="s">
        <v>1361</v>
      </c>
      <c r="BB442" s="1">
        <v>73.8</v>
      </c>
      <c r="BC442" s="1">
        <v>7.77</v>
      </c>
      <c r="BD442" s="1"/>
      <c r="BE442" s="1"/>
      <c r="BF442" s="1"/>
      <c r="BG442" s="1"/>
      <c r="BH442" s="1"/>
      <c r="BI442" s="1"/>
      <c r="BJ442" s="1" t="s">
        <v>1383</v>
      </c>
      <c r="BK442" s="1"/>
      <c r="BL442" s="1"/>
      <c r="BM442" s="1" t="s">
        <v>8487</v>
      </c>
      <c r="BN442" s="1">
        <v>34</v>
      </c>
      <c r="BO442" s="1" t="s">
        <v>8488</v>
      </c>
      <c r="BP442" s="1" t="str">
        <f>HYPERLINK("https://nconnect.nicmar.ac.in/storage/profile/ProfilePhoto_P25700396_127438.jpg","Download")</f>
        <v>0</v>
      </c>
      <c r="BQ442" s="3"/>
      <c r="BR442" s="3"/>
    </row>
    <row r="443" spans="1:70">
      <c r="A443" s="1" t="s">
        <v>70</v>
      </c>
      <c r="B443" s="1" t="s">
        <v>1269</v>
      </c>
      <c r="C443" s="1" t="s">
        <v>8489</v>
      </c>
      <c r="D443" s="1" t="s">
        <v>6189</v>
      </c>
      <c r="E443" s="1" t="s">
        <v>1546</v>
      </c>
      <c r="F443" s="1" t="s">
        <v>8490</v>
      </c>
      <c r="G443" s="1" t="s">
        <v>8491</v>
      </c>
      <c r="H443" s="1" t="s">
        <v>8492</v>
      </c>
      <c r="I443" s="1" t="s">
        <v>8493</v>
      </c>
      <c r="J443" s="1">
        <v>8530265005</v>
      </c>
      <c r="K443" s="1" t="s">
        <v>79</v>
      </c>
      <c r="L443" s="1" t="s">
        <v>8494</v>
      </c>
      <c r="M443" s="1" t="s">
        <v>81</v>
      </c>
      <c r="N443" s="1" t="s">
        <v>8495</v>
      </c>
      <c r="O443" s="1"/>
      <c r="P443" s="1" t="s">
        <v>1278</v>
      </c>
      <c r="Q443" s="1" t="s">
        <v>8496</v>
      </c>
      <c r="R443" s="1" t="s">
        <v>8497</v>
      </c>
      <c r="S443" s="1">
        <v>9689052282</v>
      </c>
      <c r="T443" s="1" t="s">
        <v>8498</v>
      </c>
      <c r="U443" s="1" t="s">
        <v>8499</v>
      </c>
      <c r="V443" s="1">
        <v>8080699685</v>
      </c>
      <c r="W443" s="1" t="s">
        <v>156</v>
      </c>
      <c r="X443" s="1" t="s">
        <v>8500</v>
      </c>
      <c r="Y443" s="1" t="s">
        <v>191</v>
      </c>
      <c r="Z443" s="1" t="s">
        <v>92</v>
      </c>
      <c r="AA443" s="1" t="s">
        <v>8501</v>
      </c>
      <c r="AB443" s="1" t="s">
        <v>1018</v>
      </c>
      <c r="AC443" s="1" t="s">
        <v>92</v>
      </c>
      <c r="AD443" s="1">
        <v>8.2</v>
      </c>
      <c r="AE443" s="1" t="s">
        <v>93</v>
      </c>
      <c r="AF443" s="1" t="s">
        <v>8502</v>
      </c>
      <c r="AG443" s="1" t="s">
        <v>8503</v>
      </c>
      <c r="AH443" s="1" t="s">
        <v>162</v>
      </c>
      <c r="AI443" s="1" t="s">
        <v>165</v>
      </c>
      <c r="AJ443" s="1">
        <v>64.2</v>
      </c>
      <c r="AK443" s="1"/>
      <c r="AL443" s="1"/>
      <c r="AM443" s="1"/>
      <c r="AN443" s="1"/>
      <c r="AO443" s="1"/>
      <c r="AP443" s="1"/>
      <c r="AQ443" s="1"/>
      <c r="AR443" s="1" t="s">
        <v>98</v>
      </c>
      <c r="AS443" s="1" t="s">
        <v>8504</v>
      </c>
      <c r="AT443" s="1" t="s">
        <v>225</v>
      </c>
      <c r="AU443" s="1" t="s">
        <v>170</v>
      </c>
      <c r="AV443" s="1">
        <v>80.68</v>
      </c>
      <c r="AW443" s="1"/>
      <c r="AX443" s="1" t="s">
        <v>361</v>
      </c>
      <c r="AY443" s="1" t="s">
        <v>8505</v>
      </c>
      <c r="AZ443" s="1" t="s">
        <v>363</v>
      </c>
      <c r="BA443" s="1" t="s">
        <v>174</v>
      </c>
      <c r="BB443" s="1">
        <v>74.48</v>
      </c>
      <c r="BC443" s="1">
        <v>8.29</v>
      </c>
      <c r="BD443" s="1"/>
      <c r="BE443" s="1"/>
      <c r="BF443" s="1"/>
      <c r="BG443" s="1"/>
      <c r="BH443" s="1"/>
      <c r="BI443" s="1"/>
      <c r="BJ443" s="1" t="s">
        <v>8506</v>
      </c>
      <c r="BK443" s="1" t="s">
        <v>8507</v>
      </c>
      <c r="BL443" s="1" t="s">
        <v>1629</v>
      </c>
      <c r="BM443" s="1" t="s">
        <v>8508</v>
      </c>
      <c r="BN443" s="1">
        <v>15</v>
      </c>
      <c r="BO443" s="1" t="s">
        <v>8509</v>
      </c>
      <c r="BP443" s="1" t="str">
        <f>HYPERLINK("https://nconnect.nicmar.ac.in/storage/profile/ProfilePhoto_P25700397_947536.jpg","Download")</f>
        <v>0</v>
      </c>
      <c r="BQ443" s="3"/>
      <c r="BR443" s="3"/>
    </row>
    <row r="444" spans="1:70">
      <c r="A444" s="1" t="s">
        <v>70</v>
      </c>
      <c r="B444" s="1" t="s">
        <v>1269</v>
      </c>
      <c r="C444" s="1" t="s">
        <v>8510</v>
      </c>
      <c r="D444" s="1" t="s">
        <v>8511</v>
      </c>
      <c r="E444" s="1" t="s">
        <v>1465</v>
      </c>
      <c r="F444" s="1" t="s">
        <v>1546</v>
      </c>
      <c r="G444" s="1" t="s">
        <v>8512</v>
      </c>
      <c r="H444" s="1" t="s">
        <v>8513</v>
      </c>
      <c r="I444" s="1" t="s">
        <v>8514</v>
      </c>
      <c r="J444" s="1">
        <v>9307500543</v>
      </c>
      <c r="K444" s="1" t="s">
        <v>148</v>
      </c>
      <c r="L444" s="1" t="s">
        <v>8515</v>
      </c>
      <c r="M444" s="1" t="s">
        <v>81</v>
      </c>
      <c r="N444" s="1" t="s">
        <v>1765</v>
      </c>
      <c r="O444" s="1"/>
      <c r="P444" s="1" t="s">
        <v>1278</v>
      </c>
      <c r="Q444" s="1" t="s">
        <v>8516</v>
      </c>
      <c r="R444" s="1" t="s">
        <v>1546</v>
      </c>
      <c r="S444" s="1">
        <v>9423266066</v>
      </c>
      <c r="T444" s="1" t="s">
        <v>496</v>
      </c>
      <c r="U444" s="1" t="s">
        <v>8517</v>
      </c>
      <c r="V444" s="1">
        <v>9403492325</v>
      </c>
      <c r="W444" s="1" t="s">
        <v>156</v>
      </c>
      <c r="X444" s="1" t="s">
        <v>8518</v>
      </c>
      <c r="Y444" s="1" t="s">
        <v>191</v>
      </c>
      <c r="Z444" s="1" t="s">
        <v>92</v>
      </c>
      <c r="AA444" s="1" t="s">
        <v>8519</v>
      </c>
      <c r="AB444" s="1" t="s">
        <v>5819</v>
      </c>
      <c r="AC444" s="1" t="s">
        <v>92</v>
      </c>
      <c r="AD444" s="1">
        <v>8.85</v>
      </c>
      <c r="AE444" s="1" t="s">
        <v>93</v>
      </c>
      <c r="AF444" s="1" t="s">
        <v>8520</v>
      </c>
      <c r="AG444" s="1" t="s">
        <v>455</v>
      </c>
      <c r="AH444" s="1" t="s">
        <v>101</v>
      </c>
      <c r="AI444" s="1" t="s">
        <v>433</v>
      </c>
      <c r="AJ444" s="1">
        <v>86.8</v>
      </c>
      <c r="AK444" s="1"/>
      <c r="AL444" s="1"/>
      <c r="AM444" s="1"/>
      <c r="AN444" s="1"/>
      <c r="AO444" s="1"/>
      <c r="AP444" s="1"/>
      <c r="AQ444" s="1"/>
      <c r="AR444" s="1" t="s">
        <v>98</v>
      </c>
      <c r="AS444" s="1" t="s">
        <v>8521</v>
      </c>
      <c r="AT444" s="1" t="s">
        <v>201</v>
      </c>
      <c r="AU444" s="1" t="s">
        <v>105</v>
      </c>
      <c r="AV444" s="1">
        <v>88.2</v>
      </c>
      <c r="AW444" s="1"/>
      <c r="AX444" s="1" t="s">
        <v>361</v>
      </c>
      <c r="AY444" s="1" t="s">
        <v>7793</v>
      </c>
      <c r="AZ444" s="1" t="s">
        <v>2690</v>
      </c>
      <c r="BA444" s="1" t="s">
        <v>1714</v>
      </c>
      <c r="BB444" s="1">
        <v>79.16</v>
      </c>
      <c r="BC444" s="1">
        <v>8.68</v>
      </c>
      <c r="BD444" s="1"/>
      <c r="BE444" s="1"/>
      <c r="BF444" s="1"/>
      <c r="BG444" s="1"/>
      <c r="BH444" s="1"/>
      <c r="BI444" s="1"/>
      <c r="BJ444" s="1" t="s">
        <v>7913</v>
      </c>
      <c r="BK444" s="1"/>
      <c r="BL444" s="1"/>
      <c r="BM444" s="1" t="s">
        <v>8522</v>
      </c>
      <c r="BN444" s="1">
        <v>13</v>
      </c>
      <c r="BO444" s="1"/>
      <c r="BP444" s="1" t="str">
        <f>HYPERLINK("https://nconnect.nicmar.ac.in/storage/profile/ProfilePhoto_P25700398_439256.jpg","Download")</f>
        <v>0</v>
      </c>
      <c r="BQ444" s="3"/>
      <c r="BR444" s="3"/>
    </row>
    <row r="445" spans="1:70">
      <c r="A445" s="1" t="s">
        <v>70</v>
      </c>
      <c r="B445" s="1" t="s">
        <v>1269</v>
      </c>
      <c r="C445" s="1" t="s">
        <v>8523</v>
      </c>
      <c r="D445" s="1" t="s">
        <v>1316</v>
      </c>
      <c r="E445" s="1" t="s">
        <v>8524</v>
      </c>
      <c r="F445" s="1" t="s">
        <v>8525</v>
      </c>
      <c r="G445" s="1" t="s">
        <v>8526</v>
      </c>
      <c r="H445" s="1" t="s">
        <v>8527</v>
      </c>
      <c r="I445" s="1" t="s">
        <v>8528</v>
      </c>
      <c r="J445" s="1">
        <v>7899767043</v>
      </c>
      <c r="K445" s="1" t="s">
        <v>79</v>
      </c>
      <c r="L445" s="1" t="s">
        <v>8529</v>
      </c>
      <c r="M445" s="1" t="s">
        <v>81</v>
      </c>
      <c r="N445" s="1" t="s">
        <v>8530</v>
      </c>
      <c r="O445" s="1"/>
      <c r="P445" s="1" t="s">
        <v>1278</v>
      </c>
      <c r="Q445" s="1" t="s">
        <v>8531</v>
      </c>
      <c r="R445" s="1" t="s">
        <v>8532</v>
      </c>
      <c r="S445" s="1">
        <v>9945817044</v>
      </c>
      <c r="T445" s="1" t="s">
        <v>8533</v>
      </c>
      <c r="U445" s="1" t="s">
        <v>8534</v>
      </c>
      <c r="V445" s="1">
        <v>9008951479</v>
      </c>
      <c r="W445" s="1" t="s">
        <v>273</v>
      </c>
      <c r="X445" s="1" t="s">
        <v>8535</v>
      </c>
      <c r="Y445" s="1" t="s">
        <v>2743</v>
      </c>
      <c r="Z445" s="1" t="s">
        <v>1084</v>
      </c>
      <c r="AA445" s="1" t="s">
        <v>8535</v>
      </c>
      <c r="AB445" s="1" t="s">
        <v>2743</v>
      </c>
      <c r="AC445" s="1" t="s">
        <v>1084</v>
      </c>
      <c r="AD445" s="1">
        <v>8.49</v>
      </c>
      <c r="AE445" s="1" t="s">
        <v>93</v>
      </c>
      <c r="AF445" s="1" t="s">
        <v>8536</v>
      </c>
      <c r="AG445" s="1" t="s">
        <v>2745</v>
      </c>
      <c r="AH445" s="1" t="s">
        <v>101</v>
      </c>
      <c r="AI445" s="1" t="s">
        <v>1065</v>
      </c>
      <c r="AJ445" s="1">
        <v>78.4</v>
      </c>
      <c r="AK445" s="1"/>
      <c r="AL445" s="1"/>
      <c r="AM445" s="1"/>
      <c r="AN445" s="1"/>
      <c r="AO445" s="1"/>
      <c r="AP445" s="1"/>
      <c r="AQ445" s="1"/>
      <c r="AR445" s="1" t="s">
        <v>434</v>
      </c>
      <c r="AS445" s="1" t="s">
        <v>8537</v>
      </c>
      <c r="AT445" s="1" t="s">
        <v>433</v>
      </c>
      <c r="AU445" s="1" t="s">
        <v>575</v>
      </c>
      <c r="AV445" s="1">
        <v>78.43</v>
      </c>
      <c r="AW445" s="1"/>
      <c r="AX445" s="1" t="s">
        <v>1088</v>
      </c>
      <c r="AY445" s="1" t="s">
        <v>8538</v>
      </c>
      <c r="AZ445" s="1" t="s">
        <v>616</v>
      </c>
      <c r="BA445" s="1" t="s">
        <v>1361</v>
      </c>
      <c r="BB445" s="1">
        <v>80.6</v>
      </c>
      <c r="BC445" s="1">
        <v>8.06</v>
      </c>
      <c r="BD445" s="1"/>
      <c r="BE445" s="1"/>
      <c r="BF445" s="1"/>
      <c r="BG445" s="1"/>
      <c r="BH445" s="1"/>
      <c r="BI445" s="1"/>
      <c r="BJ445" s="1" t="s">
        <v>8539</v>
      </c>
      <c r="BK445" s="1"/>
      <c r="BL445" s="1"/>
      <c r="BM445" s="1" t="s">
        <v>8540</v>
      </c>
      <c r="BN445" s="1">
        <v>15</v>
      </c>
      <c r="BO445" s="1" t="s">
        <v>8541</v>
      </c>
      <c r="BP445" s="1" t="str">
        <f>HYPERLINK("https://nconnect.nicmar.ac.in/storage/profile/ProfilePhoto_P25700399_623841.jpg","Download")</f>
        <v>0</v>
      </c>
      <c r="BQ445" s="3"/>
      <c r="BR445" s="3"/>
    </row>
    <row r="446" spans="1:70">
      <c r="A446" s="1" t="s">
        <v>70</v>
      </c>
      <c r="B446" s="1" t="s">
        <v>1269</v>
      </c>
      <c r="C446" s="1" t="s">
        <v>8542</v>
      </c>
      <c r="D446" s="1" t="s">
        <v>8543</v>
      </c>
      <c r="E446" s="1" t="s">
        <v>8544</v>
      </c>
      <c r="F446" s="1" t="s">
        <v>756</v>
      </c>
      <c r="G446" s="1" t="s">
        <v>8545</v>
      </c>
      <c r="H446" s="1" t="s">
        <v>8546</v>
      </c>
      <c r="I446" s="1" t="s">
        <v>8547</v>
      </c>
      <c r="J446" s="1">
        <v>8698165098</v>
      </c>
      <c r="K446" s="1" t="s">
        <v>79</v>
      </c>
      <c r="L446" s="1" t="s">
        <v>8548</v>
      </c>
      <c r="M446" s="1" t="s">
        <v>81</v>
      </c>
      <c r="N446" s="1" t="s">
        <v>8131</v>
      </c>
      <c r="O446" s="1"/>
      <c r="P446" s="1" t="s">
        <v>1278</v>
      </c>
      <c r="Q446" s="1" t="s">
        <v>8549</v>
      </c>
      <c r="R446" s="1" t="s">
        <v>756</v>
      </c>
      <c r="S446" s="1">
        <v>9922671642</v>
      </c>
      <c r="T446" s="1" t="s">
        <v>5400</v>
      </c>
      <c r="U446" s="1" t="s">
        <v>755</v>
      </c>
      <c r="V446" s="1">
        <v>8669566807</v>
      </c>
      <c r="W446" s="1" t="s">
        <v>273</v>
      </c>
      <c r="X446" s="1" t="s">
        <v>8550</v>
      </c>
      <c r="Y446" s="1" t="s">
        <v>2786</v>
      </c>
      <c r="Z446" s="1" t="s">
        <v>92</v>
      </c>
      <c r="AA446" s="1" t="s">
        <v>8550</v>
      </c>
      <c r="AB446" s="1" t="s">
        <v>2786</v>
      </c>
      <c r="AC446" s="1" t="s">
        <v>92</v>
      </c>
      <c r="AD446" s="1">
        <v>7.93</v>
      </c>
      <c r="AE446" s="1" t="s">
        <v>93</v>
      </c>
      <c r="AF446" s="1" t="s">
        <v>8551</v>
      </c>
      <c r="AG446" s="1" t="s">
        <v>160</v>
      </c>
      <c r="AH446" s="1" t="s">
        <v>162</v>
      </c>
      <c r="AI446" s="1" t="s">
        <v>409</v>
      </c>
      <c r="AJ446" s="1">
        <v>68.2</v>
      </c>
      <c r="AK446" s="1"/>
      <c r="AL446" s="1"/>
      <c r="AM446" s="1"/>
      <c r="AN446" s="1"/>
      <c r="AO446" s="1"/>
      <c r="AP446" s="1"/>
      <c r="AQ446" s="1"/>
      <c r="AR446" s="1" t="s">
        <v>434</v>
      </c>
      <c r="AS446" s="1" t="s">
        <v>8552</v>
      </c>
      <c r="AT446" s="1" t="s">
        <v>201</v>
      </c>
      <c r="AU446" s="1" t="s">
        <v>105</v>
      </c>
      <c r="AV446" s="1">
        <v>84.7</v>
      </c>
      <c r="AW446" s="1"/>
      <c r="AX446" s="1" t="s">
        <v>8553</v>
      </c>
      <c r="AY446" s="1" t="s">
        <v>8554</v>
      </c>
      <c r="AZ446" s="1" t="s">
        <v>2690</v>
      </c>
      <c r="BA446" s="1" t="s">
        <v>1714</v>
      </c>
      <c r="BB446" s="1">
        <v>64.2</v>
      </c>
      <c r="BC446" s="1">
        <v>7.17</v>
      </c>
      <c r="BD446" s="1"/>
      <c r="BE446" s="1"/>
      <c r="BF446" s="1"/>
      <c r="BG446" s="1"/>
      <c r="BH446" s="1"/>
      <c r="BI446" s="1"/>
      <c r="BJ446" s="1" t="s">
        <v>7913</v>
      </c>
      <c r="BK446" s="1"/>
      <c r="BL446" s="1"/>
      <c r="BM446" s="1" t="s">
        <v>8555</v>
      </c>
      <c r="BN446" s="1">
        <v>12</v>
      </c>
      <c r="BO446" s="1"/>
      <c r="BP446" s="1" t="str">
        <f>HYPERLINK("https://nconnect.nicmar.ac.in/storage/profile/ProfilePhoto_P25700400_638452.jpg","Download")</f>
        <v>0</v>
      </c>
      <c r="BQ446" s="3"/>
      <c r="BR446" s="3"/>
    </row>
    <row r="447" spans="1:70">
      <c r="A447" s="1" t="s">
        <v>70</v>
      </c>
      <c r="B447" s="1" t="s">
        <v>1269</v>
      </c>
      <c r="C447" s="1" t="s">
        <v>8556</v>
      </c>
      <c r="D447" s="1" t="s">
        <v>8557</v>
      </c>
      <c r="E447" s="1" t="s">
        <v>513</v>
      </c>
      <c r="F447" s="1" t="s">
        <v>2024</v>
      </c>
      <c r="G447" s="1" t="s">
        <v>8558</v>
      </c>
      <c r="H447" s="1" t="s">
        <v>8559</v>
      </c>
      <c r="I447" s="1" t="s">
        <v>8560</v>
      </c>
      <c r="J447" s="1">
        <v>8484048841</v>
      </c>
      <c r="K447" s="1" t="s">
        <v>79</v>
      </c>
      <c r="L447" s="1" t="s">
        <v>8561</v>
      </c>
      <c r="M447" s="1" t="s">
        <v>81</v>
      </c>
      <c r="N447" s="1" t="s">
        <v>8562</v>
      </c>
      <c r="O447" s="1"/>
      <c r="P447" s="1" t="s">
        <v>1278</v>
      </c>
      <c r="Q447" s="1" t="s">
        <v>8563</v>
      </c>
      <c r="R447" s="1" t="s">
        <v>513</v>
      </c>
      <c r="S447" s="1">
        <v>9689268062</v>
      </c>
      <c r="T447" s="1" t="s">
        <v>8564</v>
      </c>
      <c r="U447" s="1" t="s">
        <v>8565</v>
      </c>
      <c r="V447" s="1">
        <v>7030575878</v>
      </c>
      <c r="W447" s="1" t="s">
        <v>8564</v>
      </c>
      <c r="X447" s="1" t="s">
        <v>8566</v>
      </c>
      <c r="Y447" s="1" t="s">
        <v>8567</v>
      </c>
      <c r="Z447" s="1" t="s">
        <v>92</v>
      </c>
      <c r="AA447" s="1" t="s">
        <v>8568</v>
      </c>
      <c r="AB447" s="1" t="s">
        <v>8567</v>
      </c>
      <c r="AC447" s="1" t="s">
        <v>92</v>
      </c>
      <c r="AD447" s="1">
        <v>7.87</v>
      </c>
      <c r="AE447" s="1" t="s">
        <v>93</v>
      </c>
      <c r="AF447" s="1" t="s">
        <v>8569</v>
      </c>
      <c r="AG447" s="1" t="s">
        <v>160</v>
      </c>
      <c r="AH447" s="1" t="s">
        <v>162</v>
      </c>
      <c r="AI447" s="1" t="s">
        <v>383</v>
      </c>
      <c r="AJ447" s="1">
        <v>92.4</v>
      </c>
      <c r="AK447" s="1"/>
      <c r="AL447" s="1" t="s">
        <v>8570</v>
      </c>
      <c r="AM447" s="1" t="s">
        <v>8031</v>
      </c>
      <c r="AN447" s="1" t="s">
        <v>636</v>
      </c>
      <c r="AO447" s="1" t="s">
        <v>310</v>
      </c>
      <c r="AP447" s="1">
        <v>71.08</v>
      </c>
      <c r="AQ447" s="1"/>
      <c r="AR447" s="1"/>
      <c r="AS447" s="1"/>
      <c r="AT447" s="1"/>
      <c r="AU447" s="1"/>
      <c r="AV447" s="1"/>
      <c r="AW447" s="1"/>
      <c r="AX447" s="1" t="s">
        <v>361</v>
      </c>
      <c r="AY447" s="1" t="s">
        <v>8571</v>
      </c>
      <c r="AZ447" s="1" t="s">
        <v>201</v>
      </c>
      <c r="BA447" s="1" t="s">
        <v>174</v>
      </c>
      <c r="BB447" s="1">
        <v>71.2</v>
      </c>
      <c r="BC447" s="1">
        <v>7.87</v>
      </c>
      <c r="BD447" s="1"/>
      <c r="BE447" s="1"/>
      <c r="BF447" s="1"/>
      <c r="BG447" s="1"/>
      <c r="BH447" s="1"/>
      <c r="BI447" s="1"/>
      <c r="BJ447" s="1" t="s">
        <v>8572</v>
      </c>
      <c r="BK447" s="1"/>
      <c r="BL447" s="1"/>
      <c r="BM447" s="1" t="s">
        <v>8573</v>
      </c>
      <c r="BN447" s="1">
        <v>43</v>
      </c>
      <c r="BO447" s="1" t="s">
        <v>8574</v>
      </c>
      <c r="BP447" s="1" t="str">
        <f>HYPERLINK("https://nconnect.nicmar.ac.in/storage/profile/ProfilePhoto_P25700401_764591.jpg","Download")</f>
        <v>0</v>
      </c>
      <c r="BQ447" s="3"/>
      <c r="BR447" s="3"/>
    </row>
    <row r="448" spans="1:70">
      <c r="A448" s="1" t="s">
        <v>70</v>
      </c>
      <c r="B448" s="1" t="s">
        <v>1269</v>
      </c>
      <c r="C448" s="1" t="s">
        <v>8575</v>
      </c>
      <c r="D448" s="1" t="s">
        <v>5451</v>
      </c>
      <c r="E448" s="1"/>
      <c r="F448" s="1" t="s">
        <v>835</v>
      </c>
      <c r="G448" s="1" t="s">
        <v>8576</v>
      </c>
      <c r="H448" s="1" t="s">
        <v>8577</v>
      </c>
      <c r="I448" s="1" t="s">
        <v>8578</v>
      </c>
      <c r="J448" s="1">
        <v>7302951885</v>
      </c>
      <c r="K448" s="1" t="s">
        <v>79</v>
      </c>
      <c r="L448" s="1" t="s">
        <v>8579</v>
      </c>
      <c r="M448" s="1" t="s">
        <v>81</v>
      </c>
      <c r="N448" s="1" t="s">
        <v>82</v>
      </c>
      <c r="O448" s="1"/>
      <c r="P448" s="1" t="s">
        <v>1766</v>
      </c>
      <c r="Q448" s="1" t="s">
        <v>8580</v>
      </c>
      <c r="R448" s="1" t="s">
        <v>8581</v>
      </c>
      <c r="S448" s="1">
        <v>9634332185</v>
      </c>
      <c r="T448" s="1" t="s">
        <v>1351</v>
      </c>
      <c r="U448" s="1" t="s">
        <v>8582</v>
      </c>
      <c r="V448" s="1">
        <v>8266970780</v>
      </c>
      <c r="W448" s="1" t="s">
        <v>156</v>
      </c>
      <c r="X448" s="1" t="s">
        <v>8583</v>
      </c>
      <c r="Y448" s="1" t="s">
        <v>8584</v>
      </c>
      <c r="Z448" s="1" t="s">
        <v>8585</v>
      </c>
      <c r="AA448" s="1" t="s">
        <v>8583</v>
      </c>
      <c r="AB448" s="1" t="s">
        <v>8584</v>
      </c>
      <c r="AC448" s="1" t="s">
        <v>8585</v>
      </c>
      <c r="AD448" s="1">
        <v>8.38</v>
      </c>
      <c r="AE448" s="1" t="s">
        <v>93</v>
      </c>
      <c r="AF448" s="1" t="s">
        <v>8586</v>
      </c>
      <c r="AG448" s="1" t="s">
        <v>8587</v>
      </c>
      <c r="AH448" s="1" t="s">
        <v>678</v>
      </c>
      <c r="AI448" s="1" t="s">
        <v>166</v>
      </c>
      <c r="AJ448" s="1">
        <v>77</v>
      </c>
      <c r="AK448" s="1"/>
      <c r="AL448" s="1" t="s">
        <v>8586</v>
      </c>
      <c r="AM448" s="1" t="s">
        <v>8587</v>
      </c>
      <c r="AN448" s="1" t="s">
        <v>1065</v>
      </c>
      <c r="AO448" s="1" t="s">
        <v>173</v>
      </c>
      <c r="AP448" s="1">
        <v>77</v>
      </c>
      <c r="AQ448" s="1"/>
      <c r="AR448" s="1"/>
      <c r="AS448" s="1"/>
      <c r="AT448" s="1"/>
      <c r="AU448" s="1"/>
      <c r="AV448" s="1"/>
      <c r="AW448" s="1"/>
      <c r="AX448" s="1" t="s">
        <v>8588</v>
      </c>
      <c r="AY448" s="1" t="s">
        <v>8589</v>
      </c>
      <c r="AZ448" s="1" t="s">
        <v>920</v>
      </c>
      <c r="BA448" s="1" t="s">
        <v>1938</v>
      </c>
      <c r="BB448" s="1">
        <v>73.47</v>
      </c>
      <c r="BC448" s="1"/>
      <c r="BD448" s="1"/>
      <c r="BE448" s="1"/>
      <c r="BF448" s="1"/>
      <c r="BG448" s="1"/>
      <c r="BH448" s="1"/>
      <c r="BI448" s="1"/>
      <c r="BJ448" s="1" t="s">
        <v>8590</v>
      </c>
      <c r="BK448" s="1"/>
      <c r="BL448" s="1"/>
      <c r="BM448" s="1" t="s">
        <v>8591</v>
      </c>
      <c r="BN448" s="1">
        <v>17</v>
      </c>
      <c r="BO448" s="1" t="s">
        <v>8592</v>
      </c>
      <c r="BP448" s="1" t="str">
        <f>HYPERLINK("https://nconnect.nicmar.ac.in/storage/profile/ProfilePhoto_P25700402_718253.jpg","Download")</f>
        <v>0</v>
      </c>
      <c r="BQ448" s="3"/>
      <c r="BR448" s="3"/>
    </row>
    <row r="449" spans="1:70">
      <c r="A449" s="1" t="s">
        <v>70</v>
      </c>
      <c r="B449" s="1" t="s">
        <v>1269</v>
      </c>
      <c r="C449" s="1" t="s">
        <v>8593</v>
      </c>
      <c r="D449" s="1" t="s">
        <v>7958</v>
      </c>
      <c r="E449" s="1"/>
      <c r="F449" s="1" t="s">
        <v>8594</v>
      </c>
      <c r="G449" s="1" t="s">
        <v>8595</v>
      </c>
      <c r="H449" s="1" t="s">
        <v>8596</v>
      </c>
      <c r="I449" s="1" t="s">
        <v>8597</v>
      </c>
      <c r="J449" s="1">
        <v>8085725222</v>
      </c>
      <c r="K449" s="1" t="s">
        <v>79</v>
      </c>
      <c r="L449" s="1" t="s">
        <v>8598</v>
      </c>
      <c r="M449" s="1" t="s">
        <v>81</v>
      </c>
      <c r="N449" s="1" t="s">
        <v>8599</v>
      </c>
      <c r="O449" s="1"/>
      <c r="P449" s="1" t="s">
        <v>1278</v>
      </c>
      <c r="Q449" s="1" t="s">
        <v>8600</v>
      </c>
      <c r="R449" s="1" t="s">
        <v>8601</v>
      </c>
      <c r="S449" s="1">
        <v>9826289522</v>
      </c>
      <c r="T449" s="1" t="s">
        <v>496</v>
      </c>
      <c r="U449" s="1" t="s">
        <v>8602</v>
      </c>
      <c r="V449" s="1">
        <v>9826557992</v>
      </c>
      <c r="W449" s="1" t="s">
        <v>156</v>
      </c>
      <c r="X449" s="1" t="s">
        <v>8603</v>
      </c>
      <c r="Y449" s="1" t="s">
        <v>935</v>
      </c>
      <c r="Z449" s="1" t="s">
        <v>936</v>
      </c>
      <c r="AA449" s="1" t="s">
        <v>8603</v>
      </c>
      <c r="AB449" s="1" t="s">
        <v>935</v>
      </c>
      <c r="AC449" s="1" t="s">
        <v>936</v>
      </c>
      <c r="AD449" s="1">
        <v>8.59</v>
      </c>
      <c r="AE449" s="1" t="s">
        <v>93</v>
      </c>
      <c r="AF449" s="1" t="s">
        <v>8604</v>
      </c>
      <c r="AG449" s="1" t="s">
        <v>8605</v>
      </c>
      <c r="AH449" s="1" t="s">
        <v>1307</v>
      </c>
      <c r="AI449" s="1" t="s">
        <v>308</v>
      </c>
      <c r="AJ449" s="1">
        <v>82.4</v>
      </c>
      <c r="AK449" s="1">
        <v>8.67</v>
      </c>
      <c r="AL449" s="1" t="s">
        <v>8604</v>
      </c>
      <c r="AM449" s="1" t="s">
        <v>8605</v>
      </c>
      <c r="AN449" s="1" t="s">
        <v>1833</v>
      </c>
      <c r="AO449" s="1" t="s">
        <v>506</v>
      </c>
      <c r="AP449" s="1">
        <v>91.2</v>
      </c>
      <c r="AQ449" s="1">
        <v>9.6</v>
      </c>
      <c r="AR449" s="1"/>
      <c r="AS449" s="1"/>
      <c r="AT449" s="1"/>
      <c r="AU449" s="1"/>
      <c r="AV449" s="1"/>
      <c r="AW449" s="1"/>
      <c r="AX449" s="1" t="s">
        <v>8606</v>
      </c>
      <c r="AY449" s="1" t="s">
        <v>8607</v>
      </c>
      <c r="AZ449" s="1" t="s">
        <v>897</v>
      </c>
      <c r="BA449" s="1" t="s">
        <v>1714</v>
      </c>
      <c r="BB449" s="1">
        <v>82.36</v>
      </c>
      <c r="BC449" s="1">
        <v>8.67</v>
      </c>
      <c r="BD449" s="1"/>
      <c r="BE449" s="1"/>
      <c r="BF449" s="1"/>
      <c r="BG449" s="1"/>
      <c r="BH449" s="1"/>
      <c r="BI449" s="1"/>
      <c r="BJ449" s="1" t="s">
        <v>8608</v>
      </c>
      <c r="BK449" s="1"/>
      <c r="BL449" s="1"/>
      <c r="BM449" s="1" t="s">
        <v>8609</v>
      </c>
      <c r="BN449" s="1">
        <v>15</v>
      </c>
      <c r="BO449" s="1" t="s">
        <v>8610</v>
      </c>
      <c r="BP449" s="1" t="str">
        <f>HYPERLINK("https://nconnect.nicmar.ac.in/storage/profile/ProfilePhoto_P25700403_273965.jpg","Download")</f>
        <v>0</v>
      </c>
      <c r="BQ449" s="3"/>
      <c r="BR449" s="3"/>
    </row>
    <row r="450" spans="1:70">
      <c r="A450" s="1" t="s">
        <v>70</v>
      </c>
      <c r="B450" s="1" t="s">
        <v>1269</v>
      </c>
      <c r="C450" s="1" t="s">
        <v>8611</v>
      </c>
      <c r="D450" s="1" t="s">
        <v>8612</v>
      </c>
      <c r="E450" s="1" t="s">
        <v>1566</v>
      </c>
      <c r="F450" s="1" t="s">
        <v>8613</v>
      </c>
      <c r="G450" s="1" t="s">
        <v>8614</v>
      </c>
      <c r="H450" s="1" t="s">
        <v>8615</v>
      </c>
      <c r="I450" s="1" t="s">
        <v>8616</v>
      </c>
      <c r="J450" s="1">
        <v>9823574514</v>
      </c>
      <c r="K450" s="1" t="s">
        <v>79</v>
      </c>
      <c r="L450" s="1" t="s">
        <v>8617</v>
      </c>
      <c r="M450" s="1" t="s">
        <v>81</v>
      </c>
      <c r="N450" s="1" t="s">
        <v>1418</v>
      </c>
      <c r="O450" s="1"/>
      <c r="P450" s="1" t="s">
        <v>1766</v>
      </c>
      <c r="Q450" s="1" t="s">
        <v>8618</v>
      </c>
      <c r="R450" s="1" t="s">
        <v>8619</v>
      </c>
      <c r="S450" s="1">
        <v>9823594114</v>
      </c>
      <c r="T450" s="1" t="s">
        <v>2922</v>
      </c>
      <c r="U450" s="1" t="s">
        <v>8620</v>
      </c>
      <c r="V450" s="1">
        <v>9022477348</v>
      </c>
      <c r="W450" s="1" t="s">
        <v>89</v>
      </c>
      <c r="X450" s="1" t="s">
        <v>8621</v>
      </c>
      <c r="Y450" s="1" t="s">
        <v>91</v>
      </c>
      <c r="Z450" s="1" t="s">
        <v>92</v>
      </c>
      <c r="AA450" s="1" t="s">
        <v>8621</v>
      </c>
      <c r="AB450" s="1" t="s">
        <v>91</v>
      </c>
      <c r="AC450" s="1" t="s">
        <v>92</v>
      </c>
      <c r="AD450" s="1">
        <v>7.69</v>
      </c>
      <c r="AE450" s="1" t="s">
        <v>93</v>
      </c>
      <c r="AF450" s="1" t="s">
        <v>1831</v>
      </c>
      <c r="AG450" s="1" t="s">
        <v>8622</v>
      </c>
      <c r="AH450" s="1" t="s">
        <v>7997</v>
      </c>
      <c r="AI450" s="1" t="s">
        <v>101</v>
      </c>
      <c r="AJ450" s="1">
        <v>69.83</v>
      </c>
      <c r="AK450" s="1"/>
      <c r="AL450" s="1" t="s">
        <v>8623</v>
      </c>
      <c r="AM450" s="1" t="s">
        <v>160</v>
      </c>
      <c r="AN450" s="1" t="s">
        <v>101</v>
      </c>
      <c r="AO450" s="1" t="s">
        <v>699</v>
      </c>
      <c r="AP450" s="1">
        <v>62.31</v>
      </c>
      <c r="AQ450" s="1"/>
      <c r="AR450" s="1"/>
      <c r="AS450" s="1"/>
      <c r="AT450" s="1"/>
      <c r="AU450" s="1"/>
      <c r="AV450" s="1"/>
      <c r="AW450" s="1"/>
      <c r="AX450" s="1" t="s">
        <v>102</v>
      </c>
      <c r="AY450" s="1" t="s">
        <v>8624</v>
      </c>
      <c r="AZ450" s="1" t="s">
        <v>363</v>
      </c>
      <c r="BA450" s="1" t="s">
        <v>1938</v>
      </c>
      <c r="BB450" s="1">
        <v>64.5</v>
      </c>
      <c r="BC450" s="1">
        <v>6.95</v>
      </c>
      <c r="BD450" s="1"/>
      <c r="BE450" s="1"/>
      <c r="BF450" s="1"/>
      <c r="BG450" s="1"/>
      <c r="BH450" s="1"/>
      <c r="BI450" s="1"/>
      <c r="BJ450" s="1" t="s">
        <v>1383</v>
      </c>
      <c r="BK450" s="1"/>
      <c r="BL450" s="1"/>
      <c r="BM450" s="1" t="s">
        <v>8625</v>
      </c>
      <c r="BN450" s="1">
        <v>12</v>
      </c>
      <c r="BO450" s="1" t="s">
        <v>1715</v>
      </c>
      <c r="BP450" s="1" t="str">
        <f>HYPERLINK("https://nconnect.nicmar.ac.in/storage/profile/ProfilePhoto_P25700404_821954.jpg","Download")</f>
        <v>0</v>
      </c>
      <c r="BQ450" s="3"/>
      <c r="BR450" s="3"/>
    </row>
    <row r="451" spans="1:70">
      <c r="A451" s="1" t="s">
        <v>70</v>
      </c>
      <c r="B451" s="1" t="s">
        <v>1269</v>
      </c>
      <c r="C451" s="1" t="s">
        <v>8626</v>
      </c>
      <c r="D451" s="1" t="s">
        <v>8627</v>
      </c>
      <c r="E451" s="1"/>
      <c r="F451" s="1" t="s">
        <v>8628</v>
      </c>
      <c r="G451" s="1" t="s">
        <v>8629</v>
      </c>
      <c r="H451" s="1" t="s">
        <v>8630</v>
      </c>
      <c r="I451" s="1" t="s">
        <v>8631</v>
      </c>
      <c r="J451" s="1">
        <v>8891658174</v>
      </c>
      <c r="K451" s="1" t="s">
        <v>148</v>
      </c>
      <c r="L451" s="1" t="s">
        <v>8632</v>
      </c>
      <c r="M451" s="1" t="s">
        <v>81</v>
      </c>
      <c r="N451" s="1" t="s">
        <v>7726</v>
      </c>
      <c r="O451" s="1"/>
      <c r="P451" s="1" t="s">
        <v>1278</v>
      </c>
      <c r="Q451" s="1" t="s">
        <v>8633</v>
      </c>
      <c r="R451" s="1" t="s">
        <v>8634</v>
      </c>
      <c r="S451" s="1">
        <v>9567129624</v>
      </c>
      <c r="T451" s="1" t="s">
        <v>8635</v>
      </c>
      <c r="U451" s="1" t="s">
        <v>8636</v>
      </c>
      <c r="V451" s="1">
        <v>9446748024</v>
      </c>
      <c r="W451" s="1" t="s">
        <v>651</v>
      </c>
      <c r="X451" s="1" t="s">
        <v>8637</v>
      </c>
      <c r="Y451" s="1" t="s">
        <v>1491</v>
      </c>
      <c r="Z451" s="1" t="s">
        <v>125</v>
      </c>
      <c r="AA451" s="1" t="s">
        <v>8637</v>
      </c>
      <c r="AB451" s="1" t="s">
        <v>1491</v>
      </c>
      <c r="AC451" s="1" t="s">
        <v>125</v>
      </c>
      <c r="AD451" s="1">
        <v>8.05</v>
      </c>
      <c r="AE451" s="1" t="s">
        <v>93</v>
      </c>
      <c r="AF451" s="1" t="s">
        <v>8638</v>
      </c>
      <c r="AG451" s="1" t="s">
        <v>8639</v>
      </c>
      <c r="AH451" s="1" t="s">
        <v>101</v>
      </c>
      <c r="AI451" s="1" t="s">
        <v>308</v>
      </c>
      <c r="AJ451" s="1">
        <v>81.8</v>
      </c>
      <c r="AK451" s="1"/>
      <c r="AL451" s="1" t="s">
        <v>8640</v>
      </c>
      <c r="AM451" s="1" t="s">
        <v>6681</v>
      </c>
      <c r="AN451" s="1" t="s">
        <v>433</v>
      </c>
      <c r="AO451" s="1" t="s">
        <v>506</v>
      </c>
      <c r="AP451" s="1">
        <v>86.41</v>
      </c>
      <c r="AQ451" s="1"/>
      <c r="AR451" s="1"/>
      <c r="AS451" s="1"/>
      <c r="AT451" s="1"/>
      <c r="AU451" s="1"/>
      <c r="AV451" s="1"/>
      <c r="AW451" s="1"/>
      <c r="AX451" s="1" t="s">
        <v>132</v>
      </c>
      <c r="AY451" s="1" t="s">
        <v>8641</v>
      </c>
      <c r="AZ451" s="1" t="s">
        <v>3081</v>
      </c>
      <c r="BA451" s="1" t="s">
        <v>1408</v>
      </c>
      <c r="BB451" s="1">
        <v>71.7</v>
      </c>
      <c r="BC451" s="1">
        <v>7.17</v>
      </c>
      <c r="BD451" s="1"/>
      <c r="BE451" s="1"/>
      <c r="BF451" s="1"/>
      <c r="BG451" s="1"/>
      <c r="BH451" s="1"/>
      <c r="BI451" s="1"/>
      <c r="BJ451" s="1" t="s">
        <v>8642</v>
      </c>
      <c r="BK451" s="1"/>
      <c r="BL451" s="1"/>
      <c r="BM451" s="1" t="s">
        <v>8643</v>
      </c>
      <c r="BN451" s="1">
        <v>8</v>
      </c>
      <c r="BO451" s="1"/>
      <c r="BP451" s="1" t="str">
        <f>HYPERLINK("https://nconnect.nicmar.ac.in/storage/profile/ProfilePhoto_P25700405_326714.jpg","Download")</f>
        <v>0</v>
      </c>
      <c r="BQ451" s="3"/>
      <c r="BR451" s="3"/>
    </row>
    <row r="452" spans="1:70">
      <c r="A452" s="1" t="s">
        <v>70</v>
      </c>
      <c r="B452" s="1" t="s">
        <v>1269</v>
      </c>
      <c r="C452" s="1" t="s">
        <v>8644</v>
      </c>
      <c r="D452" s="1" t="s">
        <v>8645</v>
      </c>
      <c r="E452" s="1"/>
      <c r="F452" s="1" t="s">
        <v>8646</v>
      </c>
      <c r="G452" s="1" t="s">
        <v>8647</v>
      </c>
      <c r="H452" s="1" t="s">
        <v>8648</v>
      </c>
      <c r="I452" s="1" t="s">
        <v>8649</v>
      </c>
      <c r="J452" s="1">
        <v>7024932567</v>
      </c>
      <c r="K452" s="1" t="s">
        <v>79</v>
      </c>
      <c r="L452" s="1" t="s">
        <v>8650</v>
      </c>
      <c r="M452" s="1" t="s">
        <v>81</v>
      </c>
      <c r="N452" s="1" t="s">
        <v>7084</v>
      </c>
      <c r="O452" s="1"/>
      <c r="P452" s="1" t="s">
        <v>1278</v>
      </c>
      <c r="Q452" s="1" t="s">
        <v>8651</v>
      </c>
      <c r="R452" s="1" t="s">
        <v>8652</v>
      </c>
      <c r="S452" s="1">
        <v>9993191567</v>
      </c>
      <c r="T452" s="1" t="s">
        <v>154</v>
      </c>
      <c r="U452" s="1" t="s">
        <v>8653</v>
      </c>
      <c r="V452" s="1">
        <v>6263883748</v>
      </c>
      <c r="W452" s="1" t="s">
        <v>156</v>
      </c>
      <c r="X452" s="1" t="s">
        <v>8654</v>
      </c>
      <c r="Y452" s="1" t="s">
        <v>8655</v>
      </c>
      <c r="Z452" s="1" t="s">
        <v>936</v>
      </c>
      <c r="AA452" s="1" t="s">
        <v>8656</v>
      </c>
      <c r="AB452" s="1" t="s">
        <v>8655</v>
      </c>
      <c r="AC452" s="1" t="s">
        <v>936</v>
      </c>
      <c r="AD452" s="1">
        <v>8.1</v>
      </c>
      <c r="AE452" s="1" t="s">
        <v>93</v>
      </c>
      <c r="AF452" s="1" t="s">
        <v>8657</v>
      </c>
      <c r="AG452" s="1" t="s">
        <v>8658</v>
      </c>
      <c r="AH452" s="1" t="s">
        <v>1667</v>
      </c>
      <c r="AI452" s="1" t="s">
        <v>131</v>
      </c>
      <c r="AJ452" s="1">
        <v>81.7</v>
      </c>
      <c r="AK452" s="1">
        <v>8.6</v>
      </c>
      <c r="AL452" s="1" t="s">
        <v>8659</v>
      </c>
      <c r="AM452" s="1" t="s">
        <v>8660</v>
      </c>
      <c r="AN452" s="1" t="s">
        <v>456</v>
      </c>
      <c r="AO452" s="1" t="s">
        <v>195</v>
      </c>
      <c r="AP452" s="1">
        <v>82</v>
      </c>
      <c r="AQ452" s="1"/>
      <c r="AR452" s="1"/>
      <c r="AS452" s="1"/>
      <c r="AT452" s="1"/>
      <c r="AU452" s="1"/>
      <c r="AV452" s="1"/>
      <c r="AW452" s="1"/>
      <c r="AX452" s="1" t="s">
        <v>410</v>
      </c>
      <c r="AY452" s="1" t="s">
        <v>8661</v>
      </c>
      <c r="AZ452" s="1" t="s">
        <v>225</v>
      </c>
      <c r="BA452" s="1" t="s">
        <v>1712</v>
      </c>
      <c r="BB452" s="1">
        <v>62.2</v>
      </c>
      <c r="BC452" s="1">
        <v>6.97</v>
      </c>
      <c r="BD452" s="1"/>
      <c r="BE452" s="1"/>
      <c r="BF452" s="1"/>
      <c r="BG452" s="1"/>
      <c r="BH452" s="1"/>
      <c r="BI452" s="1"/>
      <c r="BJ452" s="1" t="s">
        <v>8662</v>
      </c>
      <c r="BK452" s="1" t="s">
        <v>8663</v>
      </c>
      <c r="BL452" s="1" t="s">
        <v>8664</v>
      </c>
      <c r="BM452" s="1"/>
      <c r="BN452" s="1"/>
      <c r="BO452" s="1" t="s">
        <v>8665</v>
      </c>
      <c r="BP452" s="1" t="str">
        <f>HYPERLINK("https://nconnect.nicmar.ac.in/storage/profile/ProfilePhoto_P25700406_627149.jpg","Download")</f>
        <v>0</v>
      </c>
      <c r="BQ452" s="3"/>
      <c r="BR452" s="3"/>
    </row>
    <row r="453" spans="1:70">
      <c r="A453" s="1" t="s">
        <v>70</v>
      </c>
      <c r="B453" s="1" t="s">
        <v>1269</v>
      </c>
      <c r="C453" s="1" t="s">
        <v>8666</v>
      </c>
      <c r="D453" s="1" t="s">
        <v>8667</v>
      </c>
      <c r="E453" s="1" t="s">
        <v>8668</v>
      </c>
      <c r="F453" s="1" t="s">
        <v>111</v>
      </c>
      <c r="G453" s="1" t="s">
        <v>8669</v>
      </c>
      <c r="H453" s="1" t="s">
        <v>8670</v>
      </c>
      <c r="I453" s="1" t="s">
        <v>8671</v>
      </c>
      <c r="J453" s="1">
        <v>7904240080</v>
      </c>
      <c r="K453" s="1" t="s">
        <v>79</v>
      </c>
      <c r="L453" s="1" t="s">
        <v>8672</v>
      </c>
      <c r="M453" s="1" t="s">
        <v>81</v>
      </c>
      <c r="N453" s="1" t="s">
        <v>8673</v>
      </c>
      <c r="O453" s="1"/>
      <c r="P453" s="1" t="s">
        <v>1462</v>
      </c>
      <c r="Q453" s="1" t="s">
        <v>8674</v>
      </c>
      <c r="R453" s="1" t="s">
        <v>8675</v>
      </c>
      <c r="S453" s="1">
        <v>9486953457</v>
      </c>
      <c r="T453" s="1" t="s">
        <v>8676</v>
      </c>
      <c r="U453" s="1" t="s">
        <v>8677</v>
      </c>
      <c r="V453" s="1">
        <v>9486971574</v>
      </c>
      <c r="W453" s="1" t="s">
        <v>122</v>
      </c>
      <c r="X453" s="1" t="s">
        <v>8678</v>
      </c>
      <c r="Y453" s="1" t="s">
        <v>2666</v>
      </c>
      <c r="Z453" s="1" t="s">
        <v>1377</v>
      </c>
      <c r="AA453" s="1" t="s">
        <v>8678</v>
      </c>
      <c r="AB453" s="1" t="s">
        <v>2666</v>
      </c>
      <c r="AC453" s="1" t="s">
        <v>1377</v>
      </c>
      <c r="AD453" s="1" t="s">
        <v>93</v>
      </c>
      <c r="AE453" s="1" t="s">
        <v>93</v>
      </c>
      <c r="AF453" s="1" t="s">
        <v>8679</v>
      </c>
      <c r="AG453" s="1" t="s">
        <v>8680</v>
      </c>
      <c r="AH453" s="1" t="s">
        <v>678</v>
      </c>
      <c r="AI453" s="1" t="s">
        <v>281</v>
      </c>
      <c r="AJ453" s="1">
        <v>81</v>
      </c>
      <c r="AK453" s="1"/>
      <c r="AL453" s="1" t="s">
        <v>8679</v>
      </c>
      <c r="AM453" s="1" t="s">
        <v>8680</v>
      </c>
      <c r="AN453" s="1" t="s">
        <v>1065</v>
      </c>
      <c r="AO453" s="1" t="s">
        <v>941</v>
      </c>
      <c r="AP453" s="1">
        <v>82.6</v>
      </c>
      <c r="AQ453" s="1"/>
      <c r="AR453" s="1"/>
      <c r="AS453" s="1"/>
      <c r="AT453" s="1"/>
      <c r="AU453" s="1"/>
      <c r="AV453" s="1"/>
      <c r="AW453" s="1"/>
      <c r="AX453" s="1" t="s">
        <v>8681</v>
      </c>
      <c r="AY453" s="1" t="s">
        <v>8682</v>
      </c>
      <c r="AZ453" s="1" t="s">
        <v>1833</v>
      </c>
      <c r="BA453" s="1" t="s">
        <v>702</v>
      </c>
      <c r="BB453" s="1">
        <v>81.6</v>
      </c>
      <c r="BC453" s="1">
        <v>8.16</v>
      </c>
      <c r="BD453" s="1"/>
      <c r="BE453" s="1"/>
      <c r="BF453" s="1"/>
      <c r="BG453" s="1"/>
      <c r="BH453" s="1"/>
      <c r="BI453" s="1"/>
      <c r="BJ453" s="1" t="s">
        <v>8683</v>
      </c>
      <c r="BK453" s="1"/>
      <c r="BL453" s="1"/>
      <c r="BM453" s="1" t="s">
        <v>8684</v>
      </c>
      <c r="BN453" s="1">
        <v>29</v>
      </c>
      <c r="BO453" s="1" t="s">
        <v>8685</v>
      </c>
      <c r="BP453" s="1" t="str">
        <f>HYPERLINK("https://nconnect.nicmar.ac.in/storage/profile/ProfilePhoto_P25700408_658397.jpg","Download")</f>
        <v>0</v>
      </c>
      <c r="BQ453" s="3"/>
      <c r="BR453" s="3"/>
    </row>
    <row r="454" spans="1:70">
      <c r="A454" s="1" t="s">
        <v>70</v>
      </c>
      <c r="B454" s="1" t="s">
        <v>1269</v>
      </c>
      <c r="C454" s="1" t="s">
        <v>8686</v>
      </c>
      <c r="D454" s="1" t="s">
        <v>8687</v>
      </c>
      <c r="E454" s="1" t="s">
        <v>8688</v>
      </c>
      <c r="F454" s="1" t="s">
        <v>2024</v>
      </c>
      <c r="G454" s="1" t="s">
        <v>8689</v>
      </c>
      <c r="H454" s="1" t="s">
        <v>8690</v>
      </c>
      <c r="I454" s="1" t="s">
        <v>8691</v>
      </c>
      <c r="J454" s="1">
        <v>9324590042</v>
      </c>
      <c r="K454" s="1" t="s">
        <v>79</v>
      </c>
      <c r="L454" s="1" t="s">
        <v>7477</v>
      </c>
      <c r="M454" s="1" t="s">
        <v>81</v>
      </c>
      <c r="N454" s="1" t="s">
        <v>1618</v>
      </c>
      <c r="O454" s="1"/>
      <c r="P454" s="1" t="s">
        <v>1323</v>
      </c>
      <c r="Q454" s="1" t="s">
        <v>8692</v>
      </c>
      <c r="R454" s="1" t="s">
        <v>8693</v>
      </c>
      <c r="S454" s="1">
        <v>8928000737</v>
      </c>
      <c r="T454" s="1" t="s">
        <v>87</v>
      </c>
      <c r="U454" s="1" t="s">
        <v>8694</v>
      </c>
      <c r="V454" s="1">
        <v>7666007593</v>
      </c>
      <c r="W454" s="1" t="s">
        <v>156</v>
      </c>
      <c r="X454" s="1" t="s">
        <v>8695</v>
      </c>
      <c r="Y454" s="1" t="s">
        <v>766</v>
      </c>
      <c r="Z454" s="1" t="s">
        <v>92</v>
      </c>
      <c r="AA454" s="1" t="s">
        <v>8695</v>
      </c>
      <c r="AB454" s="1" t="s">
        <v>766</v>
      </c>
      <c r="AC454" s="1" t="s">
        <v>92</v>
      </c>
      <c r="AD454" s="1">
        <v>8.64</v>
      </c>
      <c r="AE454" s="1" t="s">
        <v>93</v>
      </c>
      <c r="AF454" s="1" t="s">
        <v>8696</v>
      </c>
      <c r="AG454" s="1" t="s">
        <v>8697</v>
      </c>
      <c r="AH454" s="1" t="s">
        <v>101</v>
      </c>
      <c r="AI454" s="1" t="s">
        <v>409</v>
      </c>
      <c r="AJ454" s="1">
        <v>76.4</v>
      </c>
      <c r="AK454" s="1"/>
      <c r="AL454" s="1"/>
      <c r="AM454" s="1"/>
      <c r="AN454" s="1"/>
      <c r="AO454" s="1"/>
      <c r="AP454" s="1"/>
      <c r="AQ454" s="1"/>
      <c r="AR454" s="1" t="s">
        <v>434</v>
      </c>
      <c r="AS454" s="1" t="s">
        <v>8698</v>
      </c>
      <c r="AT454" s="1" t="s">
        <v>310</v>
      </c>
      <c r="AU454" s="1" t="s">
        <v>105</v>
      </c>
      <c r="AV454" s="1">
        <v>83.57</v>
      </c>
      <c r="AW454" s="1"/>
      <c r="AX454" s="1" t="s">
        <v>253</v>
      </c>
      <c r="AY454" s="1" t="s">
        <v>8699</v>
      </c>
      <c r="AZ454" s="1" t="s">
        <v>2690</v>
      </c>
      <c r="BA454" s="1" t="s">
        <v>1714</v>
      </c>
      <c r="BB454" s="1">
        <v>68.33</v>
      </c>
      <c r="BC454" s="1">
        <v>7.63</v>
      </c>
      <c r="BD454" s="1"/>
      <c r="BE454" s="1"/>
      <c r="BF454" s="1"/>
      <c r="BG454" s="1"/>
      <c r="BH454" s="1"/>
      <c r="BI454" s="1"/>
      <c r="BJ454" s="1" t="s">
        <v>8700</v>
      </c>
      <c r="BK454" s="1"/>
      <c r="BL454" s="1"/>
      <c r="BM454" s="1" t="s">
        <v>8701</v>
      </c>
      <c r="BN454" s="1">
        <v>42</v>
      </c>
      <c r="BO454" s="1"/>
      <c r="BP454" s="1" t="str">
        <f>HYPERLINK("https://nconnect.nicmar.ac.in/storage/profile/ProfilePhoto_P25700409_123987.jpg","Download")</f>
        <v>0</v>
      </c>
      <c r="BQ454" s="3"/>
      <c r="BR454" s="3"/>
    </row>
    <row r="455" spans="1:70">
      <c r="A455" s="1" t="s">
        <v>70</v>
      </c>
      <c r="B455" s="1" t="s">
        <v>1269</v>
      </c>
      <c r="C455" s="1" t="s">
        <v>8702</v>
      </c>
      <c r="D455" s="1" t="s">
        <v>8703</v>
      </c>
      <c r="E455" s="1"/>
      <c r="F455" s="1" t="s">
        <v>8704</v>
      </c>
      <c r="G455" s="1" t="s">
        <v>8705</v>
      </c>
      <c r="H455" s="1" t="s">
        <v>8706</v>
      </c>
      <c r="I455" s="1" t="s">
        <v>8707</v>
      </c>
      <c r="J455" s="1">
        <v>7306098393</v>
      </c>
      <c r="K455" s="1" t="s">
        <v>79</v>
      </c>
      <c r="L455" s="1" t="s">
        <v>373</v>
      </c>
      <c r="M455" s="1" t="s">
        <v>81</v>
      </c>
      <c r="N455" s="1" t="s">
        <v>116</v>
      </c>
      <c r="O455" s="1"/>
      <c r="P455" s="1" t="s">
        <v>1278</v>
      </c>
      <c r="Q455" s="1" t="s">
        <v>8708</v>
      </c>
      <c r="R455" s="1" t="s">
        <v>8709</v>
      </c>
      <c r="S455" s="1">
        <v>8129707777</v>
      </c>
      <c r="T455" s="1" t="s">
        <v>496</v>
      </c>
      <c r="U455" s="1" t="s">
        <v>8710</v>
      </c>
      <c r="V455" s="1">
        <v>8129433773</v>
      </c>
      <c r="W455" s="1" t="s">
        <v>1351</v>
      </c>
      <c r="X455" s="1" t="s">
        <v>8711</v>
      </c>
      <c r="Y455" s="1" t="s">
        <v>1491</v>
      </c>
      <c r="Z455" s="1" t="s">
        <v>125</v>
      </c>
      <c r="AA455" s="1" t="s">
        <v>8711</v>
      </c>
      <c r="AB455" s="1" t="s">
        <v>1491</v>
      </c>
      <c r="AC455" s="1" t="s">
        <v>125</v>
      </c>
      <c r="AD455" s="1">
        <v>9.23</v>
      </c>
      <c r="AE455" s="1" t="s">
        <v>93</v>
      </c>
      <c r="AF455" s="1" t="s">
        <v>8712</v>
      </c>
      <c r="AG455" s="1" t="s">
        <v>8713</v>
      </c>
      <c r="AH455" s="1" t="s">
        <v>162</v>
      </c>
      <c r="AI455" s="1" t="s">
        <v>165</v>
      </c>
      <c r="AJ455" s="1">
        <v>95</v>
      </c>
      <c r="AK455" s="1">
        <v>10</v>
      </c>
      <c r="AL455" s="1" t="s">
        <v>8714</v>
      </c>
      <c r="AM455" s="1" t="s">
        <v>8715</v>
      </c>
      <c r="AN455" s="1" t="s">
        <v>165</v>
      </c>
      <c r="AO455" s="1" t="s">
        <v>409</v>
      </c>
      <c r="AP455" s="1">
        <v>98.41</v>
      </c>
      <c r="AQ455" s="1"/>
      <c r="AR455" s="1"/>
      <c r="AS455" s="1"/>
      <c r="AT455" s="1"/>
      <c r="AU455" s="1"/>
      <c r="AV455" s="1"/>
      <c r="AW455" s="1"/>
      <c r="AX455" s="1" t="s">
        <v>132</v>
      </c>
      <c r="AY455" s="1" t="s">
        <v>2460</v>
      </c>
      <c r="AZ455" s="1" t="s">
        <v>201</v>
      </c>
      <c r="BA455" s="1" t="s">
        <v>386</v>
      </c>
      <c r="BB455" s="1">
        <v>89</v>
      </c>
      <c r="BC455" s="1">
        <v>8.9</v>
      </c>
      <c r="BD455" s="1"/>
      <c r="BE455" s="1"/>
      <c r="BF455" s="1"/>
      <c r="BG455" s="1"/>
      <c r="BH455" s="1"/>
      <c r="BI455" s="1"/>
      <c r="BJ455" s="1" t="s">
        <v>364</v>
      </c>
      <c r="BK455" s="1" t="s">
        <v>8716</v>
      </c>
      <c r="BL455" s="1" t="s">
        <v>1919</v>
      </c>
      <c r="BM455" s="1"/>
      <c r="BN455" s="1"/>
      <c r="BO455" s="1"/>
      <c r="BP455" s="1" t="str">
        <f>HYPERLINK("https://nconnect.nicmar.ac.in/storage/profile/ProfilePhoto_P25700410_465312.jpg","Download")</f>
        <v>0</v>
      </c>
      <c r="BQ455" s="3"/>
      <c r="BR455" s="3"/>
    </row>
    <row r="456" spans="1:70">
      <c r="A456" s="1" t="s">
        <v>70</v>
      </c>
      <c r="B456" s="1" t="s">
        <v>1269</v>
      </c>
      <c r="C456" s="1" t="s">
        <v>8717</v>
      </c>
      <c r="D456" s="1" t="s">
        <v>1057</v>
      </c>
      <c r="E456" s="1"/>
      <c r="F456" s="1" t="s">
        <v>8718</v>
      </c>
      <c r="G456" s="1" t="s">
        <v>8719</v>
      </c>
      <c r="H456" s="1" t="s">
        <v>8720</v>
      </c>
      <c r="I456" s="1" t="s">
        <v>8721</v>
      </c>
      <c r="J456" s="1">
        <v>7620468815</v>
      </c>
      <c r="K456" s="1" t="s">
        <v>148</v>
      </c>
      <c r="L456" s="1" t="s">
        <v>8722</v>
      </c>
      <c r="M456" s="1" t="s">
        <v>81</v>
      </c>
      <c r="N456" s="1" t="s">
        <v>8723</v>
      </c>
      <c r="O456" s="1"/>
      <c r="P456" s="1" t="s">
        <v>1278</v>
      </c>
      <c r="Q456" s="1" t="s">
        <v>8724</v>
      </c>
      <c r="R456" s="1" t="s">
        <v>8725</v>
      </c>
      <c r="S456" s="1">
        <v>7083909199</v>
      </c>
      <c r="T456" s="1" t="s">
        <v>8726</v>
      </c>
      <c r="U456" s="1" t="s">
        <v>8727</v>
      </c>
      <c r="V456" s="1">
        <v>9987646993</v>
      </c>
      <c r="W456" s="1" t="s">
        <v>156</v>
      </c>
      <c r="X456" s="1" t="s">
        <v>8728</v>
      </c>
      <c r="Y456" s="1" t="s">
        <v>191</v>
      </c>
      <c r="Z456" s="1" t="s">
        <v>92</v>
      </c>
      <c r="AA456" s="1" t="s">
        <v>8728</v>
      </c>
      <c r="AB456" s="1" t="s">
        <v>191</v>
      </c>
      <c r="AC456" s="1" t="s">
        <v>92</v>
      </c>
      <c r="AD456" s="1">
        <v>9.34</v>
      </c>
      <c r="AE456" s="1" t="s">
        <v>93</v>
      </c>
      <c r="AF456" s="1" t="s">
        <v>8729</v>
      </c>
      <c r="AG456" s="1" t="s">
        <v>939</v>
      </c>
      <c r="AH456" s="1" t="s">
        <v>503</v>
      </c>
      <c r="AI456" s="1" t="s">
        <v>527</v>
      </c>
      <c r="AJ456" s="1">
        <v>93.1</v>
      </c>
      <c r="AK456" s="1">
        <v>9.8</v>
      </c>
      <c r="AL456" s="1" t="s">
        <v>8730</v>
      </c>
      <c r="AM456" s="1" t="s">
        <v>307</v>
      </c>
      <c r="AN456" s="1" t="s">
        <v>678</v>
      </c>
      <c r="AO456" s="1" t="s">
        <v>166</v>
      </c>
      <c r="AP456" s="1">
        <v>84.4</v>
      </c>
      <c r="AQ456" s="1"/>
      <c r="AR456" s="1"/>
      <c r="AS456" s="1"/>
      <c r="AT456" s="1"/>
      <c r="AU456" s="1"/>
      <c r="AV456" s="1"/>
      <c r="AW456" s="1"/>
      <c r="AX456" s="1" t="s">
        <v>361</v>
      </c>
      <c r="AY456" s="1" t="s">
        <v>8731</v>
      </c>
      <c r="AZ456" s="1" t="s">
        <v>636</v>
      </c>
      <c r="BA456" s="1" t="s">
        <v>1003</v>
      </c>
      <c r="BB456" s="1">
        <v>83.42</v>
      </c>
      <c r="BC456" s="1">
        <v>9.48</v>
      </c>
      <c r="BD456" s="1"/>
      <c r="BE456" s="1"/>
      <c r="BF456" s="1"/>
      <c r="BG456" s="1"/>
      <c r="BH456" s="1"/>
      <c r="BI456" s="1"/>
      <c r="BJ456" s="1" t="s">
        <v>8732</v>
      </c>
      <c r="BK456" s="1" t="s">
        <v>8733</v>
      </c>
      <c r="BL456" s="1" t="s">
        <v>340</v>
      </c>
      <c r="BM456" s="1" t="s">
        <v>8734</v>
      </c>
      <c r="BN456" s="1">
        <v>29</v>
      </c>
      <c r="BO456" s="1" t="s">
        <v>8735</v>
      </c>
      <c r="BP456" s="1" t="str">
        <f>HYPERLINK("https://nconnect.nicmar.ac.in/storage/profile/ProfilePhoto_P25700411_579146.jpg","Download")</f>
        <v>0</v>
      </c>
      <c r="BQ456" s="3"/>
      <c r="BR456" s="3"/>
    </row>
    <row r="457" spans="1:70">
      <c r="A457" s="1" t="s">
        <v>70</v>
      </c>
      <c r="B457" s="1" t="s">
        <v>1269</v>
      </c>
      <c r="C457" s="1" t="s">
        <v>8736</v>
      </c>
      <c r="D457" s="1" t="s">
        <v>2892</v>
      </c>
      <c r="E457" s="1"/>
      <c r="F457" s="1" t="s">
        <v>8737</v>
      </c>
      <c r="G457" s="1" t="s">
        <v>8738</v>
      </c>
      <c r="H457" s="1" t="s">
        <v>8739</v>
      </c>
      <c r="I457" s="1" t="s">
        <v>8740</v>
      </c>
      <c r="J457" s="1">
        <v>6360667579</v>
      </c>
      <c r="K457" s="1" t="s">
        <v>79</v>
      </c>
      <c r="L457" s="1" t="s">
        <v>8741</v>
      </c>
      <c r="M457" s="1" t="s">
        <v>81</v>
      </c>
      <c r="N457" s="1" t="s">
        <v>8742</v>
      </c>
      <c r="O457" s="1"/>
      <c r="P457" s="1" t="s">
        <v>1298</v>
      </c>
      <c r="Q457" s="1" t="s">
        <v>8743</v>
      </c>
      <c r="R457" s="1" t="s">
        <v>8744</v>
      </c>
      <c r="S457" s="1">
        <v>9620030680</v>
      </c>
      <c r="T457" s="1" t="s">
        <v>496</v>
      </c>
      <c r="U457" s="1" t="s">
        <v>8745</v>
      </c>
      <c r="V457" s="1">
        <v>8497016301</v>
      </c>
      <c r="W457" s="1" t="s">
        <v>89</v>
      </c>
      <c r="X457" s="1" t="s">
        <v>8746</v>
      </c>
      <c r="Y457" s="1" t="s">
        <v>5363</v>
      </c>
      <c r="Z457" s="1" t="s">
        <v>1084</v>
      </c>
      <c r="AA457" s="1" t="s">
        <v>8746</v>
      </c>
      <c r="AB457" s="1" t="s">
        <v>5363</v>
      </c>
      <c r="AC457" s="1" t="s">
        <v>1084</v>
      </c>
      <c r="AD457" s="1">
        <v>8.98</v>
      </c>
      <c r="AE457" s="1" t="s">
        <v>93</v>
      </c>
      <c r="AF457" s="1" t="s">
        <v>8747</v>
      </c>
      <c r="AG457" s="1" t="s">
        <v>8748</v>
      </c>
      <c r="AH457" s="1" t="s">
        <v>96</v>
      </c>
      <c r="AI457" s="1" t="s">
        <v>131</v>
      </c>
      <c r="AJ457" s="1">
        <v>80.16</v>
      </c>
      <c r="AK457" s="1">
        <v>0</v>
      </c>
      <c r="AL457" s="1" t="s">
        <v>8749</v>
      </c>
      <c r="AM457" s="1" t="s">
        <v>8750</v>
      </c>
      <c r="AN457" s="1" t="s">
        <v>162</v>
      </c>
      <c r="AO457" s="1" t="s">
        <v>479</v>
      </c>
      <c r="AP457" s="1">
        <v>84.66</v>
      </c>
      <c r="AQ457" s="1">
        <v>0</v>
      </c>
      <c r="AR457" s="1"/>
      <c r="AS457" s="1"/>
      <c r="AT457" s="1"/>
      <c r="AU457" s="1"/>
      <c r="AV457" s="1"/>
      <c r="AW457" s="1"/>
      <c r="AX457" s="1" t="s">
        <v>1088</v>
      </c>
      <c r="AY457" s="1" t="s">
        <v>8751</v>
      </c>
      <c r="AZ457" s="1" t="s">
        <v>225</v>
      </c>
      <c r="BA457" s="1" t="s">
        <v>436</v>
      </c>
      <c r="BB457" s="1">
        <v>72.3</v>
      </c>
      <c r="BC457" s="1">
        <v>7.98</v>
      </c>
      <c r="BD457" s="1"/>
      <c r="BE457" s="1"/>
      <c r="BF457" s="1"/>
      <c r="BG457" s="1"/>
      <c r="BH457" s="1"/>
      <c r="BI457" s="1"/>
      <c r="BJ457" s="1" t="s">
        <v>8752</v>
      </c>
      <c r="BK457" s="1" t="s">
        <v>8753</v>
      </c>
      <c r="BL457" s="1" t="s">
        <v>4917</v>
      </c>
      <c r="BM457" s="1" t="s">
        <v>8754</v>
      </c>
      <c r="BN457" s="1">
        <v>8</v>
      </c>
      <c r="BO457" s="1"/>
      <c r="BP457" s="1" t="str">
        <f>HYPERLINK("https://nconnect.nicmar.ac.in/storage/profile/ProfilePhoto_P25700412_865394.jpg","Download")</f>
        <v>0</v>
      </c>
      <c r="BQ457" s="3"/>
      <c r="BR457" s="3"/>
    </row>
    <row r="458" spans="1:70">
      <c r="A458" s="1" t="s">
        <v>70</v>
      </c>
      <c r="B458" s="1" t="s">
        <v>1269</v>
      </c>
      <c r="C458" s="1" t="s">
        <v>8755</v>
      </c>
      <c r="D458" s="1" t="s">
        <v>1117</v>
      </c>
      <c r="E458" s="1" t="s">
        <v>8756</v>
      </c>
      <c r="F458" s="1" t="s">
        <v>8757</v>
      </c>
      <c r="G458" s="1" t="s">
        <v>8758</v>
      </c>
      <c r="H458" s="1" t="s">
        <v>8759</v>
      </c>
      <c r="I458" s="1" t="s">
        <v>8760</v>
      </c>
      <c r="J458" s="1">
        <v>9324100050</v>
      </c>
      <c r="K458" s="1" t="s">
        <v>79</v>
      </c>
      <c r="L458" s="1" t="s">
        <v>8761</v>
      </c>
      <c r="M458" s="1" t="s">
        <v>81</v>
      </c>
      <c r="N458" s="1" t="s">
        <v>2008</v>
      </c>
      <c r="O458" s="1"/>
      <c r="P458" s="1" t="s">
        <v>1298</v>
      </c>
      <c r="Q458" s="1" t="s">
        <v>8762</v>
      </c>
      <c r="R458" s="1" t="s">
        <v>8763</v>
      </c>
      <c r="S458" s="1">
        <v>8080406777</v>
      </c>
      <c r="T458" s="1" t="s">
        <v>496</v>
      </c>
      <c r="U458" s="1" t="s">
        <v>8764</v>
      </c>
      <c r="V458" s="1">
        <v>9594289981</v>
      </c>
      <c r="W458" s="1" t="s">
        <v>156</v>
      </c>
      <c r="X458" s="1" t="s">
        <v>8765</v>
      </c>
      <c r="Y458" s="1" t="s">
        <v>766</v>
      </c>
      <c r="Z458" s="1" t="s">
        <v>92</v>
      </c>
      <c r="AA458" s="1" t="s">
        <v>8765</v>
      </c>
      <c r="AB458" s="1" t="s">
        <v>766</v>
      </c>
      <c r="AC458" s="1" t="s">
        <v>92</v>
      </c>
      <c r="AD458" s="1">
        <v>8.02</v>
      </c>
      <c r="AE458" s="1" t="s">
        <v>93</v>
      </c>
      <c r="AF458" s="1" t="s">
        <v>8766</v>
      </c>
      <c r="AG458" s="1" t="s">
        <v>5086</v>
      </c>
      <c r="AH458" s="1" t="s">
        <v>101</v>
      </c>
      <c r="AI458" s="1" t="s">
        <v>308</v>
      </c>
      <c r="AJ458" s="1">
        <v>70.6</v>
      </c>
      <c r="AK458" s="1"/>
      <c r="AL458" s="1"/>
      <c r="AM458" s="1"/>
      <c r="AN458" s="1"/>
      <c r="AO458" s="1"/>
      <c r="AP458" s="1"/>
      <c r="AQ458" s="1"/>
      <c r="AR458" s="1" t="s">
        <v>434</v>
      </c>
      <c r="AS458" s="1" t="s">
        <v>2686</v>
      </c>
      <c r="AT458" s="1" t="s">
        <v>310</v>
      </c>
      <c r="AU458" s="1" t="s">
        <v>481</v>
      </c>
      <c r="AV458" s="1">
        <v>70.58</v>
      </c>
      <c r="AW458" s="1">
        <v>0</v>
      </c>
      <c r="AX458" s="1" t="s">
        <v>1024</v>
      </c>
      <c r="AY458" s="1" t="s">
        <v>4801</v>
      </c>
      <c r="AZ458" s="1" t="s">
        <v>2690</v>
      </c>
      <c r="BA458" s="1" t="s">
        <v>1714</v>
      </c>
      <c r="BB458" s="1">
        <v>62.14</v>
      </c>
      <c r="BC458" s="1">
        <v>6.98</v>
      </c>
      <c r="BD458" s="1"/>
      <c r="BE458" s="1"/>
      <c r="BF458" s="1"/>
      <c r="BG458" s="1"/>
      <c r="BH458" s="1"/>
      <c r="BI458" s="1"/>
      <c r="BJ458" s="1" t="s">
        <v>8767</v>
      </c>
      <c r="BK458" s="1"/>
      <c r="BL458" s="1"/>
      <c r="BM458" s="1" t="s">
        <v>8768</v>
      </c>
      <c r="BN458" s="1">
        <v>13</v>
      </c>
      <c r="BO458" s="1"/>
      <c r="BP458" s="1" t="str">
        <f>HYPERLINK("https://nconnect.nicmar.ac.in/storage/profile/ProfilePhoto_P25700413_347268.jpg","Download")</f>
        <v>0</v>
      </c>
      <c r="BQ458" s="3"/>
      <c r="BR458" s="3"/>
    </row>
    <row r="459" spans="1:70">
      <c r="A459" s="1" t="s">
        <v>70</v>
      </c>
      <c r="B459" s="1" t="s">
        <v>1269</v>
      </c>
      <c r="C459" s="1" t="s">
        <v>8769</v>
      </c>
      <c r="D459" s="1" t="s">
        <v>8770</v>
      </c>
      <c r="E459" s="1"/>
      <c r="F459" s="1" t="s">
        <v>5545</v>
      </c>
      <c r="G459" s="1" t="s">
        <v>8771</v>
      </c>
      <c r="H459" s="1" t="s">
        <v>8772</v>
      </c>
      <c r="I459" s="1" t="s">
        <v>8773</v>
      </c>
      <c r="J459" s="1">
        <v>7338337037</v>
      </c>
      <c r="K459" s="1" t="s">
        <v>79</v>
      </c>
      <c r="L459" s="1" t="s">
        <v>8774</v>
      </c>
      <c r="M459" s="1" t="s">
        <v>81</v>
      </c>
      <c r="N459" s="1" t="s">
        <v>8775</v>
      </c>
      <c r="O459" s="1"/>
      <c r="P459" s="1" t="s">
        <v>1323</v>
      </c>
      <c r="Q459" s="1" t="s">
        <v>8776</v>
      </c>
      <c r="R459" s="1" t="s">
        <v>8777</v>
      </c>
      <c r="S459" s="1">
        <v>9740148104</v>
      </c>
      <c r="T459" s="1" t="s">
        <v>842</v>
      </c>
      <c r="U459" s="1" t="s">
        <v>8778</v>
      </c>
      <c r="V459" s="1">
        <v>9008749887</v>
      </c>
      <c r="W459" s="1" t="s">
        <v>89</v>
      </c>
      <c r="X459" s="1" t="s">
        <v>8779</v>
      </c>
      <c r="Y459" s="1" t="s">
        <v>1083</v>
      </c>
      <c r="Z459" s="1" t="s">
        <v>1084</v>
      </c>
      <c r="AA459" s="1" t="s">
        <v>8779</v>
      </c>
      <c r="AB459" s="1" t="s">
        <v>1083</v>
      </c>
      <c r="AC459" s="1" t="s">
        <v>1084</v>
      </c>
      <c r="AD459" s="1">
        <v>8.82</v>
      </c>
      <c r="AE459" s="1" t="s">
        <v>93</v>
      </c>
      <c r="AF459" s="1" t="s">
        <v>8780</v>
      </c>
      <c r="AG459" s="1" t="s">
        <v>2745</v>
      </c>
      <c r="AH459" s="1" t="s">
        <v>503</v>
      </c>
      <c r="AI459" s="1" t="s">
        <v>279</v>
      </c>
      <c r="AJ459" s="1">
        <v>92.96</v>
      </c>
      <c r="AK459" s="1"/>
      <c r="AL459" s="1" t="s">
        <v>8781</v>
      </c>
      <c r="AM459" s="1" t="s">
        <v>8782</v>
      </c>
      <c r="AN459" s="1" t="s">
        <v>479</v>
      </c>
      <c r="AO459" s="1" t="s">
        <v>166</v>
      </c>
      <c r="AP459" s="1">
        <v>76.33</v>
      </c>
      <c r="AQ459" s="1"/>
      <c r="AR459" s="1"/>
      <c r="AS459" s="1"/>
      <c r="AT459" s="1"/>
      <c r="AU459" s="1"/>
      <c r="AV459" s="1"/>
      <c r="AW459" s="1"/>
      <c r="AX459" s="1" t="s">
        <v>8783</v>
      </c>
      <c r="AY459" s="1" t="s">
        <v>8784</v>
      </c>
      <c r="AZ459" s="1" t="s">
        <v>101</v>
      </c>
      <c r="BA459" s="1" t="s">
        <v>229</v>
      </c>
      <c r="BB459" s="1">
        <v>73.3</v>
      </c>
      <c r="BC459" s="1">
        <v>8.08</v>
      </c>
      <c r="BD459" s="1"/>
      <c r="BE459" s="1"/>
      <c r="BF459" s="1"/>
      <c r="BG459" s="1"/>
      <c r="BH459" s="1"/>
      <c r="BI459" s="1"/>
      <c r="BJ459" s="1" t="s">
        <v>8785</v>
      </c>
      <c r="BK459" s="1" t="s">
        <v>8786</v>
      </c>
      <c r="BL459" s="1" t="s">
        <v>1919</v>
      </c>
      <c r="BM459" s="1" t="s">
        <v>8787</v>
      </c>
      <c r="BN459" s="1">
        <v>78</v>
      </c>
      <c r="BO459" s="1" t="s">
        <v>8788</v>
      </c>
      <c r="BP459" s="1" t="str">
        <f>HYPERLINK("https://nconnect.nicmar.ac.in/storage/profile/ProfilePhoto_P25700414_835714.jpg","Download")</f>
        <v>0</v>
      </c>
      <c r="BQ459" s="3"/>
      <c r="BR459" s="3"/>
    </row>
    <row r="460" spans="1:70">
      <c r="A460" s="1" t="s">
        <v>70</v>
      </c>
      <c r="B460" s="1" t="s">
        <v>1269</v>
      </c>
      <c r="C460" s="1" t="s">
        <v>8789</v>
      </c>
      <c r="D460" s="1" t="s">
        <v>2229</v>
      </c>
      <c r="E460" s="1" t="s">
        <v>8790</v>
      </c>
      <c r="F460" s="1" t="s">
        <v>8791</v>
      </c>
      <c r="G460" s="1" t="s">
        <v>8792</v>
      </c>
      <c r="H460" s="1" t="s">
        <v>8793</v>
      </c>
      <c r="I460" s="1" t="s">
        <v>8794</v>
      </c>
      <c r="J460" s="1">
        <v>7620170426</v>
      </c>
      <c r="K460" s="1" t="s">
        <v>148</v>
      </c>
      <c r="L460" s="1" t="s">
        <v>8795</v>
      </c>
      <c r="M460" s="1" t="s">
        <v>81</v>
      </c>
      <c r="N460" s="1" t="s">
        <v>1618</v>
      </c>
      <c r="O460" s="1"/>
      <c r="P460" s="1" t="s">
        <v>1323</v>
      </c>
      <c r="Q460" s="1" t="s">
        <v>8796</v>
      </c>
      <c r="R460" s="1" t="s">
        <v>8790</v>
      </c>
      <c r="S460" s="1">
        <v>8999722459</v>
      </c>
      <c r="T460" s="1" t="s">
        <v>8797</v>
      </c>
      <c r="U460" s="1" t="s">
        <v>6913</v>
      </c>
      <c r="V460" s="1">
        <v>8788934800</v>
      </c>
      <c r="W460" s="1" t="s">
        <v>273</v>
      </c>
      <c r="X460" s="1" t="s">
        <v>8798</v>
      </c>
      <c r="Y460" s="1" t="s">
        <v>995</v>
      </c>
      <c r="Z460" s="1" t="s">
        <v>92</v>
      </c>
      <c r="AA460" s="1" t="s">
        <v>8798</v>
      </c>
      <c r="AB460" s="1" t="s">
        <v>995</v>
      </c>
      <c r="AC460" s="1" t="s">
        <v>92</v>
      </c>
      <c r="AD460" s="1">
        <v>8.64</v>
      </c>
      <c r="AE460" s="1" t="s">
        <v>93</v>
      </c>
      <c r="AF460" s="1" t="s">
        <v>8799</v>
      </c>
      <c r="AG460" s="1" t="s">
        <v>5717</v>
      </c>
      <c r="AH460" s="1" t="s">
        <v>165</v>
      </c>
      <c r="AI460" s="1" t="s">
        <v>166</v>
      </c>
      <c r="AJ460" s="1">
        <v>76</v>
      </c>
      <c r="AK460" s="1">
        <v>8</v>
      </c>
      <c r="AL460" s="1" t="s">
        <v>8800</v>
      </c>
      <c r="AM460" s="1" t="s">
        <v>5717</v>
      </c>
      <c r="AN460" s="1" t="s">
        <v>433</v>
      </c>
      <c r="AO460" s="1" t="s">
        <v>412</v>
      </c>
      <c r="AP460" s="1">
        <v>60.77</v>
      </c>
      <c r="AQ460" s="1">
        <v>6.39</v>
      </c>
      <c r="AR460" s="1" t="s">
        <v>434</v>
      </c>
      <c r="AS460" s="1" t="s">
        <v>8801</v>
      </c>
      <c r="AT460" s="1" t="s">
        <v>228</v>
      </c>
      <c r="AU460" s="1" t="s">
        <v>481</v>
      </c>
      <c r="AV460" s="1">
        <v>86.84</v>
      </c>
      <c r="AW460" s="1">
        <v>9.14</v>
      </c>
      <c r="AX460" s="1" t="s">
        <v>6215</v>
      </c>
      <c r="AY460" s="1" t="s">
        <v>8802</v>
      </c>
      <c r="AZ460" s="1" t="s">
        <v>2690</v>
      </c>
      <c r="BA460" s="1" t="s">
        <v>1584</v>
      </c>
      <c r="BB460" s="1">
        <v>71.43</v>
      </c>
      <c r="BC460" s="1">
        <v>8.08</v>
      </c>
      <c r="BD460" s="1"/>
      <c r="BE460" s="1"/>
      <c r="BF460" s="1"/>
      <c r="BG460" s="1"/>
      <c r="BH460" s="1"/>
      <c r="BI460" s="1"/>
      <c r="BJ460" s="1" t="s">
        <v>8803</v>
      </c>
      <c r="BK460" s="1"/>
      <c r="BL460" s="1"/>
      <c r="BM460" s="1" t="s">
        <v>8804</v>
      </c>
      <c r="BN460" s="1">
        <v>11</v>
      </c>
      <c r="BO460" s="1" t="s">
        <v>8805</v>
      </c>
      <c r="BP460" s="1" t="str">
        <f>HYPERLINK("https://nconnect.nicmar.ac.in/storage/profile/ProfilePhoto_P25700415_861234.jpg","Download")</f>
        <v>0</v>
      </c>
      <c r="BQ460" s="3"/>
      <c r="BR460" s="3"/>
    </row>
    <row r="461" spans="1:70">
      <c r="A461" s="1" t="s">
        <v>70</v>
      </c>
      <c r="B461" s="1" t="s">
        <v>1269</v>
      </c>
      <c r="C461" s="1" t="s">
        <v>8806</v>
      </c>
      <c r="D461" s="1" t="s">
        <v>8807</v>
      </c>
      <c r="E461" s="1" t="s">
        <v>8808</v>
      </c>
      <c r="F461" s="1" t="s">
        <v>3667</v>
      </c>
      <c r="G461" s="1" t="s">
        <v>8809</v>
      </c>
      <c r="H461" s="1" t="s">
        <v>8810</v>
      </c>
      <c r="I461" s="1" t="s">
        <v>8811</v>
      </c>
      <c r="J461" s="1">
        <v>9825848642</v>
      </c>
      <c r="K461" s="1" t="s">
        <v>79</v>
      </c>
      <c r="L461" s="1" t="s">
        <v>8812</v>
      </c>
      <c r="M461" s="1" t="s">
        <v>81</v>
      </c>
      <c r="N461" s="1" t="s">
        <v>7051</v>
      </c>
      <c r="O461" s="1"/>
      <c r="P461" s="1" t="s">
        <v>1278</v>
      </c>
      <c r="Q461" s="1" t="s">
        <v>8813</v>
      </c>
      <c r="R461" s="1" t="s">
        <v>8814</v>
      </c>
      <c r="S461" s="1">
        <v>9825848641</v>
      </c>
      <c r="T461" s="1" t="s">
        <v>496</v>
      </c>
      <c r="U461" s="1" t="s">
        <v>8815</v>
      </c>
      <c r="V461" s="1">
        <v>8758839151</v>
      </c>
      <c r="W461" s="1" t="s">
        <v>651</v>
      </c>
      <c r="X461" s="1" t="s">
        <v>8816</v>
      </c>
      <c r="Y461" s="1" t="s">
        <v>8817</v>
      </c>
      <c r="Z461" s="1" t="s">
        <v>1468</v>
      </c>
      <c r="AA461" s="1" t="s">
        <v>8816</v>
      </c>
      <c r="AB461" s="1" t="s">
        <v>8817</v>
      </c>
      <c r="AC461" s="1" t="s">
        <v>1468</v>
      </c>
      <c r="AD461" s="1">
        <v>8.6</v>
      </c>
      <c r="AE461" s="1" t="s">
        <v>93</v>
      </c>
      <c r="AF461" s="1" t="s">
        <v>8818</v>
      </c>
      <c r="AG461" s="1" t="s">
        <v>8819</v>
      </c>
      <c r="AH461" s="1" t="s">
        <v>281</v>
      </c>
      <c r="AI461" s="1" t="s">
        <v>409</v>
      </c>
      <c r="AJ461" s="1">
        <v>78</v>
      </c>
      <c r="AK461" s="1">
        <v>0</v>
      </c>
      <c r="AL461" s="1" t="s">
        <v>8818</v>
      </c>
      <c r="AM461" s="1" t="s">
        <v>8819</v>
      </c>
      <c r="AN461" s="1" t="s">
        <v>412</v>
      </c>
      <c r="AO461" s="1" t="s">
        <v>1712</v>
      </c>
      <c r="AP461" s="1">
        <v>74.5</v>
      </c>
      <c r="AQ461" s="1">
        <v>0</v>
      </c>
      <c r="AR461" s="1"/>
      <c r="AS461" s="1"/>
      <c r="AT461" s="1"/>
      <c r="AU461" s="1"/>
      <c r="AV461" s="1"/>
      <c r="AW461" s="1"/>
      <c r="AX461" s="1" t="s">
        <v>8820</v>
      </c>
      <c r="AY461" s="1" t="s">
        <v>8821</v>
      </c>
      <c r="AZ461" s="1" t="s">
        <v>1407</v>
      </c>
      <c r="BA461" s="1" t="s">
        <v>1361</v>
      </c>
      <c r="BB461" s="1">
        <v>70.4</v>
      </c>
      <c r="BC461" s="1">
        <v>7.54</v>
      </c>
      <c r="BD461" s="1"/>
      <c r="BE461" s="1"/>
      <c r="BF461" s="1"/>
      <c r="BG461" s="1"/>
      <c r="BH461" s="1"/>
      <c r="BI461" s="1"/>
      <c r="BJ461" s="1" t="s">
        <v>8822</v>
      </c>
      <c r="BK461" s="1"/>
      <c r="BL461" s="1"/>
      <c r="BM461" s="1" t="s">
        <v>8823</v>
      </c>
      <c r="BN461" s="1">
        <v>22</v>
      </c>
      <c r="BO461" s="1" t="s">
        <v>8824</v>
      </c>
      <c r="BP461" s="1" t="str">
        <f>HYPERLINK("https://nconnect.nicmar.ac.in/storage/profile/ProfilePhoto_P25700416_291456.jpg","Download")</f>
        <v>0</v>
      </c>
      <c r="BQ461" s="3"/>
      <c r="BR461" s="3"/>
    </row>
    <row r="462" spans="1:70">
      <c r="A462" s="1" t="s">
        <v>70</v>
      </c>
      <c r="B462" s="1" t="s">
        <v>1269</v>
      </c>
      <c r="C462" s="1" t="s">
        <v>8825</v>
      </c>
      <c r="D462" s="1" t="s">
        <v>6260</v>
      </c>
      <c r="E462" s="1"/>
      <c r="F462" s="1" t="s">
        <v>8826</v>
      </c>
      <c r="G462" s="1" t="s">
        <v>8827</v>
      </c>
      <c r="H462" s="1" t="s">
        <v>8828</v>
      </c>
      <c r="I462" s="1" t="s">
        <v>8829</v>
      </c>
      <c r="J462" s="1">
        <v>9785037991</v>
      </c>
      <c r="K462" s="1" t="s">
        <v>79</v>
      </c>
      <c r="L462" s="1" t="s">
        <v>8830</v>
      </c>
      <c r="M462" s="1" t="s">
        <v>150</v>
      </c>
      <c r="N462" s="1" t="s">
        <v>5040</v>
      </c>
      <c r="O462" s="1"/>
      <c r="P462" s="1" t="s">
        <v>1766</v>
      </c>
      <c r="Q462" s="1" t="s">
        <v>8831</v>
      </c>
      <c r="R462" s="1" t="s">
        <v>8832</v>
      </c>
      <c r="S462" s="1">
        <v>7737471080</v>
      </c>
      <c r="T462" s="1" t="s">
        <v>863</v>
      </c>
      <c r="U462" s="1" t="s">
        <v>8833</v>
      </c>
      <c r="V462" s="1">
        <v>9694125868</v>
      </c>
      <c r="W462" s="1" t="s">
        <v>273</v>
      </c>
      <c r="X462" s="1" t="s">
        <v>8834</v>
      </c>
      <c r="Y462" s="1" t="s">
        <v>866</v>
      </c>
      <c r="Z462" s="1" t="s">
        <v>867</v>
      </c>
      <c r="AA462" s="1" t="s">
        <v>8834</v>
      </c>
      <c r="AB462" s="1" t="s">
        <v>866</v>
      </c>
      <c r="AC462" s="1" t="s">
        <v>867</v>
      </c>
      <c r="AD462" s="1">
        <v>9.0</v>
      </c>
      <c r="AE462" s="1" t="s">
        <v>93</v>
      </c>
      <c r="AF462" s="1" t="s">
        <v>8835</v>
      </c>
      <c r="AG462" s="1" t="s">
        <v>8836</v>
      </c>
      <c r="AH462" s="1" t="s">
        <v>4549</v>
      </c>
      <c r="AI462" s="1" t="s">
        <v>1242</v>
      </c>
      <c r="AJ462" s="1">
        <v>85.5</v>
      </c>
      <c r="AK462" s="1">
        <v>9</v>
      </c>
      <c r="AL462" s="1" t="s">
        <v>8835</v>
      </c>
      <c r="AM462" s="1" t="s">
        <v>8836</v>
      </c>
      <c r="AN462" s="1" t="s">
        <v>477</v>
      </c>
      <c r="AO462" s="1" t="s">
        <v>97</v>
      </c>
      <c r="AP462" s="1">
        <v>81</v>
      </c>
      <c r="AQ462" s="1"/>
      <c r="AR462" s="1"/>
      <c r="AS462" s="1"/>
      <c r="AT462" s="1"/>
      <c r="AU462" s="1"/>
      <c r="AV462" s="1"/>
      <c r="AW462" s="1"/>
      <c r="AX462" s="1" t="s">
        <v>8837</v>
      </c>
      <c r="AY462" s="1" t="s">
        <v>8838</v>
      </c>
      <c r="AZ462" s="1" t="s">
        <v>337</v>
      </c>
      <c r="BA462" s="1" t="s">
        <v>310</v>
      </c>
      <c r="BB462" s="1">
        <v>77.78</v>
      </c>
      <c r="BC462" s="1">
        <v>8.74</v>
      </c>
      <c r="BD462" s="1" t="s">
        <v>8839</v>
      </c>
      <c r="BE462" s="1" t="s">
        <v>2403</v>
      </c>
      <c r="BF462" s="1" t="s">
        <v>105</v>
      </c>
      <c r="BG462" s="1" t="s">
        <v>1938</v>
      </c>
      <c r="BH462" s="1">
        <v>85</v>
      </c>
      <c r="BI462" s="1">
        <v>8.5</v>
      </c>
      <c r="BJ462" s="1" t="s">
        <v>8840</v>
      </c>
      <c r="BK462" s="1"/>
      <c r="BL462" s="1"/>
      <c r="BM462" s="1"/>
      <c r="BN462" s="1"/>
      <c r="BO462" s="1"/>
      <c r="BP462" s="1" t="str">
        <f>HYPERLINK("https://nconnect.nicmar.ac.in/storage/profile/ProfilePhoto_P25700417_451862.jpg","Download")</f>
        <v>0</v>
      </c>
      <c r="BQ462" s="3"/>
      <c r="BR462" s="3"/>
    </row>
    <row r="463" spans="1:70">
      <c r="A463" s="1" t="s">
        <v>70</v>
      </c>
      <c r="B463" s="1" t="s">
        <v>1269</v>
      </c>
      <c r="C463" s="1" t="s">
        <v>8841</v>
      </c>
      <c r="D463" s="1" t="s">
        <v>8842</v>
      </c>
      <c r="E463" s="1"/>
      <c r="F463" s="1" t="s">
        <v>8843</v>
      </c>
      <c r="G463" s="1" t="s">
        <v>8844</v>
      </c>
      <c r="H463" s="1" t="s">
        <v>8845</v>
      </c>
      <c r="I463" s="1" t="s">
        <v>8846</v>
      </c>
      <c r="J463" s="1">
        <v>9384198048</v>
      </c>
      <c r="K463" s="1" t="s">
        <v>79</v>
      </c>
      <c r="L463" s="1" t="s">
        <v>8847</v>
      </c>
      <c r="M463" s="1" t="s">
        <v>81</v>
      </c>
      <c r="N463" s="1" t="s">
        <v>241</v>
      </c>
      <c r="O463" s="1"/>
      <c r="P463" s="1" t="s">
        <v>1278</v>
      </c>
      <c r="Q463" s="1" t="s">
        <v>8848</v>
      </c>
      <c r="R463" s="1" t="s">
        <v>8849</v>
      </c>
      <c r="S463" s="1">
        <v>9425789216</v>
      </c>
      <c r="T463" s="1" t="s">
        <v>4188</v>
      </c>
      <c r="U463" s="1" t="s">
        <v>8850</v>
      </c>
      <c r="V463" s="1">
        <v>9425120617</v>
      </c>
      <c r="W463" s="1" t="s">
        <v>651</v>
      </c>
      <c r="X463" s="1" t="s">
        <v>8851</v>
      </c>
      <c r="Y463" s="1" t="s">
        <v>935</v>
      </c>
      <c r="Z463" s="1" t="s">
        <v>936</v>
      </c>
      <c r="AA463" s="1" t="s">
        <v>8851</v>
      </c>
      <c r="AB463" s="1" t="s">
        <v>935</v>
      </c>
      <c r="AC463" s="1" t="s">
        <v>936</v>
      </c>
      <c r="AD463" s="1">
        <v>9.02</v>
      </c>
      <c r="AE463" s="1" t="s">
        <v>93</v>
      </c>
      <c r="AF463" s="1" t="s">
        <v>8852</v>
      </c>
      <c r="AG463" s="1" t="s">
        <v>8853</v>
      </c>
      <c r="AH463" s="1" t="s">
        <v>4212</v>
      </c>
      <c r="AI463" s="1" t="s">
        <v>1197</v>
      </c>
      <c r="AJ463" s="1">
        <v>72.2</v>
      </c>
      <c r="AK463" s="1">
        <v>7.6</v>
      </c>
      <c r="AL463" s="1" t="s">
        <v>8854</v>
      </c>
      <c r="AM463" s="1" t="s">
        <v>8855</v>
      </c>
      <c r="AN463" s="1" t="s">
        <v>97</v>
      </c>
      <c r="AO463" s="1" t="s">
        <v>527</v>
      </c>
      <c r="AP463" s="1">
        <v>68</v>
      </c>
      <c r="AQ463" s="1"/>
      <c r="AR463" s="1"/>
      <c r="AS463" s="1"/>
      <c r="AT463" s="1"/>
      <c r="AU463" s="1"/>
      <c r="AV463" s="1"/>
      <c r="AW463" s="1"/>
      <c r="AX463" s="1" t="s">
        <v>5250</v>
      </c>
      <c r="AY463" s="1" t="s">
        <v>8856</v>
      </c>
      <c r="AZ463" s="1" t="s">
        <v>733</v>
      </c>
      <c r="BA463" s="1" t="s">
        <v>699</v>
      </c>
      <c r="BB463" s="1">
        <v>72.8</v>
      </c>
      <c r="BC463" s="1">
        <v>7.28</v>
      </c>
      <c r="BD463" s="1"/>
      <c r="BE463" s="1"/>
      <c r="BF463" s="1"/>
      <c r="BG463" s="1"/>
      <c r="BH463" s="1"/>
      <c r="BI463" s="1"/>
      <c r="BJ463" s="1" t="s">
        <v>4102</v>
      </c>
      <c r="BK463" s="1" t="s">
        <v>8857</v>
      </c>
      <c r="BL463" s="1" t="s">
        <v>1385</v>
      </c>
      <c r="BM463" s="1" t="s">
        <v>8858</v>
      </c>
      <c r="BN463" s="1">
        <v>15</v>
      </c>
      <c r="BO463" s="1" t="s">
        <v>8859</v>
      </c>
      <c r="BP463" s="1" t="str">
        <f>HYPERLINK("https://nconnect.nicmar.ac.in/storage/profile/ProfilePhoto_P25700418_528617.jpg","Download")</f>
        <v>0</v>
      </c>
      <c r="BQ463" s="3"/>
      <c r="BR463" s="3"/>
    </row>
    <row r="464" spans="1:70">
      <c r="A464" s="1" t="s">
        <v>70</v>
      </c>
      <c r="B464" s="1" t="s">
        <v>1269</v>
      </c>
      <c r="C464" s="1" t="s">
        <v>8860</v>
      </c>
      <c r="D464" s="1" t="s">
        <v>314</v>
      </c>
      <c r="E464" s="1" t="s">
        <v>2287</v>
      </c>
      <c r="F464" s="1" t="s">
        <v>236</v>
      </c>
      <c r="G464" s="1" t="s">
        <v>8861</v>
      </c>
      <c r="H464" s="1" t="s">
        <v>8862</v>
      </c>
      <c r="I464" s="1" t="s">
        <v>8863</v>
      </c>
      <c r="J464" s="1">
        <v>9309983597</v>
      </c>
      <c r="K464" s="1" t="s">
        <v>79</v>
      </c>
      <c r="L464" s="1" t="s">
        <v>8864</v>
      </c>
      <c r="M464" s="1" t="s">
        <v>81</v>
      </c>
      <c r="N464" s="1" t="s">
        <v>2293</v>
      </c>
      <c r="O464" s="1"/>
      <c r="P464" s="1" t="s">
        <v>1323</v>
      </c>
      <c r="Q464" s="1" t="s">
        <v>8865</v>
      </c>
      <c r="R464" s="1" t="s">
        <v>8866</v>
      </c>
      <c r="S464" s="1">
        <v>9421480654</v>
      </c>
      <c r="T464" s="1" t="s">
        <v>8867</v>
      </c>
      <c r="U464" s="1" t="s">
        <v>8868</v>
      </c>
      <c r="V464" s="1">
        <v>7796339869</v>
      </c>
      <c r="W464" s="1" t="s">
        <v>156</v>
      </c>
      <c r="X464" s="1" t="s">
        <v>8869</v>
      </c>
      <c r="Y464" s="1" t="s">
        <v>8567</v>
      </c>
      <c r="Z464" s="1" t="s">
        <v>92</v>
      </c>
      <c r="AA464" s="1" t="s">
        <v>8869</v>
      </c>
      <c r="AB464" s="1" t="s">
        <v>8567</v>
      </c>
      <c r="AC464" s="1" t="s">
        <v>92</v>
      </c>
      <c r="AD464" s="1">
        <v>9.25</v>
      </c>
      <c r="AE464" s="1" t="s">
        <v>93</v>
      </c>
      <c r="AF464" s="1" t="s">
        <v>8870</v>
      </c>
      <c r="AG464" s="1" t="s">
        <v>8871</v>
      </c>
      <c r="AH464" s="1" t="s">
        <v>503</v>
      </c>
      <c r="AI464" s="1" t="s">
        <v>456</v>
      </c>
      <c r="AJ464" s="1">
        <v>83</v>
      </c>
      <c r="AK464" s="1"/>
      <c r="AL464" s="1" t="s">
        <v>8872</v>
      </c>
      <c r="AM464" s="1" t="s">
        <v>8871</v>
      </c>
      <c r="AN464" s="1" t="s">
        <v>678</v>
      </c>
      <c r="AO464" s="1" t="s">
        <v>457</v>
      </c>
      <c r="AP464" s="1">
        <v>72.92</v>
      </c>
      <c r="AQ464" s="1"/>
      <c r="AR464" s="1"/>
      <c r="AS464" s="1"/>
      <c r="AT464" s="1"/>
      <c r="AU464" s="1"/>
      <c r="AV464" s="1"/>
      <c r="AW464" s="1"/>
      <c r="AX464" s="1" t="s">
        <v>8873</v>
      </c>
      <c r="AY464" s="1" t="s">
        <v>8874</v>
      </c>
      <c r="AZ464" s="1" t="s">
        <v>101</v>
      </c>
      <c r="BA464" s="1" t="s">
        <v>105</v>
      </c>
      <c r="BB464" s="1">
        <v>90.46</v>
      </c>
      <c r="BC464" s="1">
        <v>9.49</v>
      </c>
      <c r="BD464" s="1"/>
      <c r="BE464" s="1"/>
      <c r="BF464" s="1"/>
      <c r="BG464" s="1"/>
      <c r="BH464" s="1"/>
      <c r="BI464" s="1"/>
      <c r="BJ464" s="1" t="s">
        <v>8875</v>
      </c>
      <c r="BK464" s="1" t="s">
        <v>8876</v>
      </c>
      <c r="BL464" s="1" t="s">
        <v>340</v>
      </c>
      <c r="BM464" s="1" t="s">
        <v>8877</v>
      </c>
      <c r="BN464" s="1">
        <v>4</v>
      </c>
      <c r="BO464" s="1" t="s">
        <v>8878</v>
      </c>
      <c r="BP464" s="1" t="str">
        <f>HYPERLINK("https://nconnect.nicmar.ac.in/storage/profile/ProfilePhoto_P25700419_475938.jpg","Download")</f>
        <v>0</v>
      </c>
      <c r="BQ464" s="3"/>
      <c r="BR464" s="3"/>
    </row>
    <row r="465" spans="1:70">
      <c r="A465" s="1" t="s">
        <v>70</v>
      </c>
      <c r="B465" s="1" t="s">
        <v>1269</v>
      </c>
      <c r="C465" s="1" t="s">
        <v>8879</v>
      </c>
      <c r="D465" s="1" t="s">
        <v>8880</v>
      </c>
      <c r="E465" s="1"/>
      <c r="F465" s="1" t="s">
        <v>2655</v>
      </c>
      <c r="G465" s="1" t="s">
        <v>8881</v>
      </c>
      <c r="H465" s="1" t="s">
        <v>8882</v>
      </c>
      <c r="I465" s="1" t="s">
        <v>8883</v>
      </c>
      <c r="J465" s="1">
        <v>7975346656</v>
      </c>
      <c r="K465" s="1" t="s">
        <v>148</v>
      </c>
      <c r="L465" s="1" t="s">
        <v>8884</v>
      </c>
      <c r="M465" s="1" t="s">
        <v>81</v>
      </c>
      <c r="N465" s="1" t="s">
        <v>8885</v>
      </c>
      <c r="O465" s="1"/>
      <c r="P465" s="1" t="s">
        <v>1298</v>
      </c>
      <c r="Q465" s="1" t="s">
        <v>8886</v>
      </c>
      <c r="R465" s="1" t="s">
        <v>8887</v>
      </c>
      <c r="S465" s="1">
        <v>9845428751</v>
      </c>
      <c r="T465" s="1" t="s">
        <v>5637</v>
      </c>
      <c r="U465" s="1" t="s">
        <v>8888</v>
      </c>
      <c r="V465" s="1">
        <v>8095132865</v>
      </c>
      <c r="W465" s="1" t="s">
        <v>273</v>
      </c>
      <c r="X465" s="1" t="s">
        <v>8889</v>
      </c>
      <c r="Y465" s="1" t="s">
        <v>1083</v>
      </c>
      <c r="Z465" s="1" t="s">
        <v>1084</v>
      </c>
      <c r="AA465" s="1" t="s">
        <v>8889</v>
      </c>
      <c r="AB465" s="1" t="s">
        <v>1083</v>
      </c>
      <c r="AC465" s="1" t="s">
        <v>1084</v>
      </c>
      <c r="AD465" s="1">
        <v>8.85</v>
      </c>
      <c r="AE465" s="1" t="s">
        <v>93</v>
      </c>
      <c r="AF465" s="1" t="s">
        <v>8890</v>
      </c>
      <c r="AG465" s="1" t="s">
        <v>8891</v>
      </c>
      <c r="AH465" s="1" t="s">
        <v>161</v>
      </c>
      <c r="AI465" s="1" t="s">
        <v>527</v>
      </c>
      <c r="AJ465" s="1">
        <v>84.5</v>
      </c>
      <c r="AK465" s="1">
        <v>0</v>
      </c>
      <c r="AL465" s="1" t="s">
        <v>8892</v>
      </c>
      <c r="AM465" s="1" t="s">
        <v>8893</v>
      </c>
      <c r="AN465" s="1" t="s">
        <v>165</v>
      </c>
      <c r="AO465" s="1" t="s">
        <v>166</v>
      </c>
      <c r="AP465" s="1">
        <v>69.83</v>
      </c>
      <c r="AQ465" s="1">
        <v>0</v>
      </c>
      <c r="AR465" s="1"/>
      <c r="AS465" s="1"/>
      <c r="AT465" s="1"/>
      <c r="AU465" s="1"/>
      <c r="AV465" s="1"/>
      <c r="AW465" s="1"/>
      <c r="AX465" s="1" t="s">
        <v>1088</v>
      </c>
      <c r="AY465" s="1" t="s">
        <v>8894</v>
      </c>
      <c r="AZ465" s="1" t="s">
        <v>101</v>
      </c>
      <c r="BA465" s="1" t="s">
        <v>8050</v>
      </c>
      <c r="BB465" s="1">
        <v>71.7</v>
      </c>
      <c r="BC465" s="1">
        <v>7.92</v>
      </c>
      <c r="BD465" s="1"/>
      <c r="BE465" s="1"/>
      <c r="BF465" s="1"/>
      <c r="BG465" s="1"/>
      <c r="BH465" s="1"/>
      <c r="BI465" s="1"/>
      <c r="BJ465" s="1" t="s">
        <v>8895</v>
      </c>
      <c r="BK465" s="1" t="s">
        <v>8896</v>
      </c>
      <c r="BL465" s="1" t="s">
        <v>1919</v>
      </c>
      <c r="BM465" s="1" t="s">
        <v>8897</v>
      </c>
      <c r="BN465" s="1">
        <v>15</v>
      </c>
      <c r="BO465" s="1"/>
      <c r="BP465" s="1" t="str">
        <f>HYPERLINK("https://nconnect.nicmar.ac.in/storage/profile/ProfilePhoto_P25700420_287643.jpg","Download")</f>
        <v>0</v>
      </c>
      <c r="BQ465" s="3"/>
      <c r="BR465" s="3"/>
    </row>
    <row r="466" spans="1:70">
      <c r="A466" s="1" t="s">
        <v>70</v>
      </c>
      <c r="B466" s="1" t="s">
        <v>1269</v>
      </c>
      <c r="C466" s="1" t="s">
        <v>8898</v>
      </c>
      <c r="D466" s="1" t="s">
        <v>2127</v>
      </c>
      <c r="E466" s="1" t="s">
        <v>2655</v>
      </c>
      <c r="F466" s="1" t="s">
        <v>1072</v>
      </c>
      <c r="G466" s="1" t="s">
        <v>8899</v>
      </c>
      <c r="H466" s="1" t="s">
        <v>8900</v>
      </c>
      <c r="I466" s="1" t="s">
        <v>8901</v>
      </c>
      <c r="J466" s="1">
        <v>8792287682</v>
      </c>
      <c r="K466" s="1" t="s">
        <v>79</v>
      </c>
      <c r="L466" s="1" t="s">
        <v>8902</v>
      </c>
      <c r="M466" s="1" t="s">
        <v>81</v>
      </c>
      <c r="N466" s="1" t="s">
        <v>8903</v>
      </c>
      <c r="O466" s="1"/>
      <c r="P466" s="1" t="s">
        <v>1298</v>
      </c>
      <c r="Q466" s="1" t="s">
        <v>8904</v>
      </c>
      <c r="R466" s="1" t="s">
        <v>8905</v>
      </c>
      <c r="S466" s="1">
        <v>8007326759</v>
      </c>
      <c r="T466" s="1" t="s">
        <v>1351</v>
      </c>
      <c r="U466" s="1" t="s">
        <v>8906</v>
      </c>
      <c r="V466" s="1">
        <v>9035436462</v>
      </c>
      <c r="W466" s="1" t="s">
        <v>651</v>
      </c>
      <c r="X466" s="1" t="s">
        <v>8907</v>
      </c>
      <c r="Y466" s="1" t="s">
        <v>8908</v>
      </c>
      <c r="Z466" s="1" t="s">
        <v>1084</v>
      </c>
      <c r="AA466" s="1" t="s">
        <v>8907</v>
      </c>
      <c r="AB466" s="1" t="s">
        <v>8908</v>
      </c>
      <c r="AC466" s="1" t="s">
        <v>1084</v>
      </c>
      <c r="AD466" s="1">
        <v>8.72</v>
      </c>
      <c r="AE466" s="1" t="s">
        <v>93</v>
      </c>
      <c r="AF466" s="1" t="s">
        <v>8909</v>
      </c>
      <c r="AG466" s="1" t="s">
        <v>2745</v>
      </c>
      <c r="AH466" s="1" t="s">
        <v>279</v>
      </c>
      <c r="AI466" s="1" t="s">
        <v>479</v>
      </c>
      <c r="AJ466" s="1">
        <v>94.88</v>
      </c>
      <c r="AK466" s="1"/>
      <c r="AL466" s="1" t="s">
        <v>8910</v>
      </c>
      <c r="AM466" s="1" t="s">
        <v>2745</v>
      </c>
      <c r="AN466" s="1" t="s">
        <v>281</v>
      </c>
      <c r="AO466" s="1" t="s">
        <v>1065</v>
      </c>
      <c r="AP466" s="1">
        <v>90.88</v>
      </c>
      <c r="AQ466" s="1"/>
      <c r="AR466" s="1"/>
      <c r="AS466" s="1"/>
      <c r="AT466" s="1"/>
      <c r="AU466" s="1"/>
      <c r="AV466" s="1"/>
      <c r="AW466" s="1"/>
      <c r="AX466" s="1" t="s">
        <v>8911</v>
      </c>
      <c r="AY466" s="1" t="s">
        <v>8912</v>
      </c>
      <c r="AZ466" s="1" t="s">
        <v>433</v>
      </c>
      <c r="BA466" s="1" t="s">
        <v>682</v>
      </c>
      <c r="BB466" s="1">
        <v>83.3</v>
      </c>
      <c r="BC466" s="1">
        <v>8.33</v>
      </c>
      <c r="BD466" s="1"/>
      <c r="BE466" s="1"/>
      <c r="BF466" s="1"/>
      <c r="BG466" s="1"/>
      <c r="BH466" s="1"/>
      <c r="BI466" s="1"/>
      <c r="BJ466" s="1" t="s">
        <v>8913</v>
      </c>
      <c r="BK466" s="1" t="s">
        <v>8914</v>
      </c>
      <c r="BL466" s="1" t="s">
        <v>1561</v>
      </c>
      <c r="BM466" s="1" t="s">
        <v>8915</v>
      </c>
      <c r="BN466" s="1">
        <v>34</v>
      </c>
      <c r="BO466" s="1"/>
      <c r="BP466" s="1" t="str">
        <f>HYPERLINK("https://nconnect.nicmar.ac.in/storage/profile/ProfilePhoto_P25700421_961834.jpg","Download")</f>
        <v>0</v>
      </c>
      <c r="BQ466" s="3"/>
      <c r="BR466" s="3"/>
    </row>
    <row r="467" spans="1:70">
      <c r="A467" s="1" t="s">
        <v>70</v>
      </c>
      <c r="B467" s="1" t="s">
        <v>1269</v>
      </c>
      <c r="C467" s="1" t="s">
        <v>8916</v>
      </c>
      <c r="D467" s="1" t="s">
        <v>8917</v>
      </c>
      <c r="E467" s="1"/>
      <c r="F467" s="1" t="s">
        <v>1226</v>
      </c>
      <c r="G467" s="1" t="s">
        <v>8918</v>
      </c>
      <c r="H467" s="1" t="s">
        <v>8919</v>
      </c>
      <c r="I467" s="1" t="s">
        <v>8920</v>
      </c>
      <c r="J467" s="1">
        <v>6232156909</v>
      </c>
      <c r="K467" s="1" t="s">
        <v>79</v>
      </c>
      <c r="L467" s="1" t="s">
        <v>8921</v>
      </c>
      <c r="M467" s="1" t="s">
        <v>81</v>
      </c>
      <c r="N467" s="1" t="s">
        <v>8922</v>
      </c>
      <c r="O467" s="1"/>
      <c r="P467" s="1" t="s">
        <v>1323</v>
      </c>
      <c r="Q467" s="1" t="s">
        <v>8923</v>
      </c>
      <c r="R467" s="1" t="s">
        <v>8924</v>
      </c>
      <c r="S467" s="1">
        <v>9425430025</v>
      </c>
      <c r="T467" s="1" t="s">
        <v>496</v>
      </c>
      <c r="U467" s="1" t="s">
        <v>8925</v>
      </c>
      <c r="V467" s="1">
        <v>9425430025</v>
      </c>
      <c r="W467" s="1" t="s">
        <v>7257</v>
      </c>
      <c r="X467" s="1" t="s">
        <v>8926</v>
      </c>
      <c r="Y467" s="1" t="s">
        <v>935</v>
      </c>
      <c r="Z467" s="1" t="s">
        <v>936</v>
      </c>
      <c r="AA467" s="1" t="s">
        <v>8926</v>
      </c>
      <c r="AB467" s="1" t="s">
        <v>935</v>
      </c>
      <c r="AC467" s="1" t="s">
        <v>936</v>
      </c>
      <c r="AD467" s="1">
        <v>7.82</v>
      </c>
      <c r="AE467" s="1" t="s">
        <v>93</v>
      </c>
      <c r="AF467" s="1" t="s">
        <v>8927</v>
      </c>
      <c r="AG467" s="1" t="s">
        <v>307</v>
      </c>
      <c r="AH467" s="1" t="s">
        <v>195</v>
      </c>
      <c r="AI467" s="1" t="s">
        <v>166</v>
      </c>
      <c r="AJ467" s="1">
        <v>81</v>
      </c>
      <c r="AK467" s="1">
        <v>8.52</v>
      </c>
      <c r="AL467" s="1" t="s">
        <v>8928</v>
      </c>
      <c r="AM467" s="1" t="s">
        <v>307</v>
      </c>
      <c r="AN467" s="1" t="s">
        <v>409</v>
      </c>
      <c r="AO467" s="1" t="s">
        <v>412</v>
      </c>
      <c r="AP467" s="1">
        <v>65.2</v>
      </c>
      <c r="AQ467" s="1">
        <v>6.86</v>
      </c>
      <c r="AR467" s="1"/>
      <c r="AS467" s="1"/>
      <c r="AT467" s="1"/>
      <c r="AU467" s="1"/>
      <c r="AV467" s="1"/>
      <c r="AW467" s="1"/>
      <c r="AX467" s="1" t="s">
        <v>4550</v>
      </c>
      <c r="AY467" s="1" t="s">
        <v>8929</v>
      </c>
      <c r="AZ467" s="1" t="s">
        <v>1833</v>
      </c>
      <c r="BA467" s="1" t="s">
        <v>202</v>
      </c>
      <c r="BB467" s="1">
        <v>80.3</v>
      </c>
      <c r="BC467" s="1">
        <v>8.03</v>
      </c>
      <c r="BD467" s="1"/>
      <c r="BE467" s="1"/>
      <c r="BF467" s="1"/>
      <c r="BG467" s="1"/>
      <c r="BH467" s="1"/>
      <c r="BI467" s="1"/>
      <c r="BJ467" s="1" t="s">
        <v>8930</v>
      </c>
      <c r="BK467" s="1"/>
      <c r="BL467" s="1"/>
      <c r="BM467" s="1" t="s">
        <v>8931</v>
      </c>
      <c r="BN467" s="1">
        <v>23</v>
      </c>
      <c r="BO467" s="1"/>
      <c r="BP467" s="1" t="str">
        <f>HYPERLINK("https://nconnect.nicmar.ac.in/storage/profile/ProfilePhoto_P25700422_634185.jpg","Download")</f>
        <v>0</v>
      </c>
      <c r="BQ467" s="3"/>
      <c r="BR467" s="3"/>
    </row>
    <row r="468" spans="1:70">
      <c r="A468" s="1" t="s">
        <v>70</v>
      </c>
      <c r="B468" s="1" t="s">
        <v>1269</v>
      </c>
      <c r="C468" s="1" t="s">
        <v>8932</v>
      </c>
      <c r="D468" s="1" t="s">
        <v>643</v>
      </c>
      <c r="E468" s="1"/>
      <c r="F468" s="1" t="s">
        <v>835</v>
      </c>
      <c r="G468" s="1" t="s">
        <v>8933</v>
      </c>
      <c r="H468" s="1" t="s">
        <v>8934</v>
      </c>
      <c r="I468" s="1" t="s">
        <v>8935</v>
      </c>
      <c r="J468" s="1">
        <v>6206576334</v>
      </c>
      <c r="K468" s="1" t="s">
        <v>79</v>
      </c>
      <c r="L468" s="1" t="s">
        <v>8936</v>
      </c>
      <c r="M468" s="1" t="s">
        <v>81</v>
      </c>
      <c r="N468" s="1" t="s">
        <v>538</v>
      </c>
      <c r="O468" s="1"/>
      <c r="P468" s="1" t="s">
        <v>1323</v>
      </c>
      <c r="Q468" s="1" t="s">
        <v>8937</v>
      </c>
      <c r="R468" s="1" t="s">
        <v>8938</v>
      </c>
      <c r="S468" s="1">
        <v>8757741621</v>
      </c>
      <c r="T468" s="1" t="s">
        <v>763</v>
      </c>
      <c r="U468" s="1" t="s">
        <v>8939</v>
      </c>
      <c r="V468" s="1">
        <v>7017133725</v>
      </c>
      <c r="W468" s="1" t="s">
        <v>651</v>
      </c>
      <c r="X468" s="1" t="s">
        <v>8940</v>
      </c>
      <c r="Y468" s="1" t="s">
        <v>845</v>
      </c>
      <c r="Z468" s="1" t="s">
        <v>846</v>
      </c>
      <c r="AA468" s="1" t="s">
        <v>8941</v>
      </c>
      <c r="AB468" s="1" t="s">
        <v>8942</v>
      </c>
      <c r="AC468" s="1" t="s">
        <v>3765</v>
      </c>
      <c r="AD468" s="1" t="s">
        <v>93</v>
      </c>
      <c r="AE468" s="1" t="s">
        <v>93</v>
      </c>
      <c r="AF468" s="1" t="s">
        <v>8943</v>
      </c>
      <c r="AG468" s="1" t="s">
        <v>8944</v>
      </c>
      <c r="AH468" s="1" t="s">
        <v>678</v>
      </c>
      <c r="AI468" s="1" t="s">
        <v>166</v>
      </c>
      <c r="AJ468" s="1">
        <v>76.2</v>
      </c>
      <c r="AK468" s="1">
        <v>7.62</v>
      </c>
      <c r="AL468" s="1" t="s">
        <v>8943</v>
      </c>
      <c r="AM468" s="1" t="s">
        <v>8945</v>
      </c>
      <c r="AN468" s="1" t="s">
        <v>1065</v>
      </c>
      <c r="AO468" s="1" t="s">
        <v>920</v>
      </c>
      <c r="AP468" s="1">
        <v>73.16</v>
      </c>
      <c r="AQ468" s="1">
        <v>7.31</v>
      </c>
      <c r="AR468" s="1"/>
      <c r="AS468" s="1"/>
      <c r="AT468" s="1"/>
      <c r="AU468" s="1"/>
      <c r="AV468" s="1"/>
      <c r="AW468" s="1"/>
      <c r="AX468" s="1" t="s">
        <v>5842</v>
      </c>
      <c r="AY468" s="1" t="s">
        <v>5843</v>
      </c>
      <c r="AZ468" s="1" t="s">
        <v>412</v>
      </c>
      <c r="BA468" s="1" t="s">
        <v>1938</v>
      </c>
      <c r="BB468" s="1">
        <v>69.3</v>
      </c>
      <c r="BC468" s="1">
        <v>6.93</v>
      </c>
      <c r="BD468" s="1"/>
      <c r="BE468" s="1"/>
      <c r="BF468" s="1"/>
      <c r="BG468" s="1"/>
      <c r="BH468" s="1"/>
      <c r="BI468" s="1"/>
      <c r="BJ468" s="1" t="s">
        <v>8946</v>
      </c>
      <c r="BK468" s="1"/>
      <c r="BL468" s="1"/>
      <c r="BM468" s="1" t="s">
        <v>8947</v>
      </c>
      <c r="BN468" s="1">
        <v>8</v>
      </c>
      <c r="BO468" s="1"/>
      <c r="BP468" s="1" t="str">
        <f>HYPERLINK("https://nconnect.nicmar.ac.in/storage/profile/ProfilePhoto_P25700424_432817.jpg","Download")</f>
        <v>0</v>
      </c>
      <c r="BQ468" s="3"/>
      <c r="BR468" s="3"/>
    </row>
    <row r="469" spans="1:70">
      <c r="A469" s="1" t="s">
        <v>70</v>
      </c>
      <c r="B469" s="1" t="s">
        <v>1269</v>
      </c>
      <c r="C469" s="1" t="s">
        <v>8948</v>
      </c>
      <c r="D469" s="1" t="s">
        <v>1964</v>
      </c>
      <c r="E469" s="1" t="s">
        <v>1566</v>
      </c>
      <c r="F469" s="1" t="s">
        <v>903</v>
      </c>
      <c r="G469" s="1" t="s">
        <v>8949</v>
      </c>
      <c r="H469" s="1" t="s">
        <v>8950</v>
      </c>
      <c r="I469" s="1" t="s">
        <v>8951</v>
      </c>
      <c r="J469" s="1">
        <v>7058986096</v>
      </c>
      <c r="K469" s="1" t="s">
        <v>79</v>
      </c>
      <c r="L469" s="1" t="s">
        <v>8952</v>
      </c>
      <c r="M469" s="1" t="s">
        <v>81</v>
      </c>
      <c r="N469" s="1" t="s">
        <v>860</v>
      </c>
      <c r="O469" s="1"/>
      <c r="P469" s="1"/>
      <c r="Q469" s="1" t="s">
        <v>8953</v>
      </c>
      <c r="R469" s="1" t="s">
        <v>8954</v>
      </c>
      <c r="S469" s="1">
        <v>9405440044</v>
      </c>
      <c r="T469" s="1" t="s">
        <v>842</v>
      </c>
      <c r="U469" s="1" t="s">
        <v>8955</v>
      </c>
      <c r="V469" s="1">
        <v>7058986096</v>
      </c>
      <c r="W469" s="1" t="s">
        <v>8956</v>
      </c>
      <c r="X469" s="1" t="s">
        <v>8957</v>
      </c>
      <c r="Y469" s="1" t="s">
        <v>1886</v>
      </c>
      <c r="Z469" s="1" t="s">
        <v>92</v>
      </c>
      <c r="AA469" s="1" t="s">
        <v>8958</v>
      </c>
      <c r="AB469" s="1" t="s">
        <v>429</v>
      </c>
      <c r="AC469" s="1" t="s">
        <v>92</v>
      </c>
      <c r="AD469" s="1">
        <v>8.59</v>
      </c>
      <c r="AE469" s="1" t="s">
        <v>93</v>
      </c>
      <c r="AF469" s="1" t="s">
        <v>8959</v>
      </c>
      <c r="AG469" s="1" t="s">
        <v>160</v>
      </c>
      <c r="AH469" s="1" t="s">
        <v>165</v>
      </c>
      <c r="AI469" s="1" t="s">
        <v>281</v>
      </c>
      <c r="AJ469" s="1">
        <v>89.2</v>
      </c>
      <c r="AK469" s="1">
        <v>0</v>
      </c>
      <c r="AL469" s="1" t="s">
        <v>8960</v>
      </c>
      <c r="AM469" s="1" t="s">
        <v>160</v>
      </c>
      <c r="AN469" s="1" t="s">
        <v>433</v>
      </c>
      <c r="AO469" s="1" t="s">
        <v>360</v>
      </c>
      <c r="AP469" s="1">
        <v>66.31</v>
      </c>
      <c r="AQ469" s="1">
        <v>0</v>
      </c>
      <c r="AR469" s="1"/>
      <c r="AS469" s="1"/>
      <c r="AT469" s="1"/>
      <c r="AU469" s="1"/>
      <c r="AV469" s="1"/>
      <c r="AW469" s="1"/>
      <c r="AX469" s="1" t="s">
        <v>8961</v>
      </c>
      <c r="AY469" s="1" t="s">
        <v>8962</v>
      </c>
      <c r="AZ469" s="1" t="s">
        <v>681</v>
      </c>
      <c r="BA469" s="1" t="s">
        <v>202</v>
      </c>
      <c r="BB469" s="1">
        <v>64.4</v>
      </c>
      <c r="BC469" s="1">
        <v>6.94</v>
      </c>
      <c r="BD469" s="1"/>
      <c r="BE469" s="1"/>
      <c r="BF469" s="1"/>
      <c r="BG469" s="1"/>
      <c r="BH469" s="1"/>
      <c r="BI469" s="1"/>
      <c r="BJ469" s="1" t="s">
        <v>8963</v>
      </c>
      <c r="BK469" s="1"/>
      <c r="BL469" s="1"/>
      <c r="BM469" s="1"/>
      <c r="BN469" s="1"/>
      <c r="BO469" s="1"/>
      <c r="BP469" s="1" t="str">
        <f>HYPERLINK("https://nconnect.nicmar.ac.in/storage/profile/ProfilePhoto_P25700425_379841.jpg","Download")</f>
        <v>0</v>
      </c>
      <c r="BQ469" s="3"/>
      <c r="BR469" s="3"/>
    </row>
    <row r="470" spans="1:70">
      <c r="A470" s="1" t="s">
        <v>70</v>
      </c>
      <c r="B470" s="1" t="s">
        <v>1269</v>
      </c>
      <c r="C470" s="1" t="s">
        <v>8964</v>
      </c>
      <c r="D470" s="1" t="s">
        <v>8965</v>
      </c>
      <c r="E470" s="1" t="s">
        <v>1139</v>
      </c>
      <c r="F470" s="1" t="s">
        <v>8966</v>
      </c>
      <c r="G470" s="1" t="s">
        <v>8967</v>
      </c>
      <c r="H470" s="1" t="s">
        <v>8968</v>
      </c>
      <c r="I470" s="1" t="s">
        <v>8969</v>
      </c>
      <c r="J470" s="1">
        <v>7840994016</v>
      </c>
      <c r="K470" s="1" t="s">
        <v>148</v>
      </c>
      <c r="L470" s="1" t="s">
        <v>8970</v>
      </c>
      <c r="M470" s="1" t="s">
        <v>81</v>
      </c>
      <c r="N470" s="1" t="s">
        <v>860</v>
      </c>
      <c r="O470" s="1"/>
      <c r="P470" s="1" t="s">
        <v>1323</v>
      </c>
      <c r="Q470" s="1" t="s">
        <v>8971</v>
      </c>
      <c r="R470" s="1" t="s">
        <v>1139</v>
      </c>
      <c r="S470" s="1">
        <v>9518593832</v>
      </c>
      <c r="T470" s="1" t="s">
        <v>122</v>
      </c>
      <c r="U470" s="1" t="s">
        <v>6794</v>
      </c>
      <c r="V470" s="1">
        <v>7972685693</v>
      </c>
      <c r="W470" s="1" t="s">
        <v>8972</v>
      </c>
      <c r="X470" s="1" t="s">
        <v>8973</v>
      </c>
      <c r="Y470" s="1" t="s">
        <v>4322</v>
      </c>
      <c r="Z470" s="1" t="s">
        <v>92</v>
      </c>
      <c r="AA470" s="1" t="s">
        <v>8973</v>
      </c>
      <c r="AB470" s="1" t="s">
        <v>4322</v>
      </c>
      <c r="AC470" s="1" t="s">
        <v>92</v>
      </c>
      <c r="AD470" s="1">
        <v>7.94</v>
      </c>
      <c r="AE470" s="1" t="s">
        <v>93</v>
      </c>
      <c r="AF470" s="1" t="s">
        <v>8974</v>
      </c>
      <c r="AG470" s="1" t="s">
        <v>160</v>
      </c>
      <c r="AH470" s="1" t="s">
        <v>101</v>
      </c>
      <c r="AI470" s="1" t="s">
        <v>409</v>
      </c>
      <c r="AJ470" s="1">
        <v>77.2</v>
      </c>
      <c r="AK470" s="1">
        <v>0</v>
      </c>
      <c r="AL470" s="1" t="s">
        <v>8975</v>
      </c>
      <c r="AM470" s="1" t="s">
        <v>160</v>
      </c>
      <c r="AN470" s="1" t="s">
        <v>699</v>
      </c>
      <c r="AO470" s="1" t="s">
        <v>504</v>
      </c>
      <c r="AP470" s="1">
        <v>93.17</v>
      </c>
      <c r="AQ470" s="1">
        <v>0</v>
      </c>
      <c r="AR470" s="1"/>
      <c r="AS470" s="1"/>
      <c r="AT470" s="1"/>
      <c r="AU470" s="1"/>
      <c r="AV470" s="1"/>
      <c r="AW470" s="1"/>
      <c r="AX470" s="1" t="s">
        <v>1359</v>
      </c>
      <c r="AY470" s="1" t="s">
        <v>1583</v>
      </c>
      <c r="AZ470" s="1" t="s">
        <v>436</v>
      </c>
      <c r="BA470" s="1" t="s">
        <v>1584</v>
      </c>
      <c r="BB470" s="1">
        <v>77.3</v>
      </c>
      <c r="BC470" s="1">
        <v>7.73</v>
      </c>
      <c r="BD470" s="1"/>
      <c r="BE470" s="1"/>
      <c r="BF470" s="1"/>
      <c r="BG470" s="1"/>
      <c r="BH470" s="1"/>
      <c r="BI470" s="1"/>
      <c r="BJ470" s="1" t="s">
        <v>255</v>
      </c>
      <c r="BK470" s="1"/>
      <c r="BL470" s="1"/>
      <c r="BM470" s="1" t="s">
        <v>8976</v>
      </c>
      <c r="BN470" s="1">
        <v>8</v>
      </c>
      <c r="BO470" s="1"/>
      <c r="BP470" s="1" t="str">
        <f>HYPERLINK("https://nconnect.nicmar.ac.in/storage/profile/ProfilePhoto_P25700426_957814.jpg","Download")</f>
        <v>0</v>
      </c>
      <c r="BQ470" s="3"/>
      <c r="BR470" s="3"/>
    </row>
    <row r="471" spans="1:70">
      <c r="A471" s="1" t="s">
        <v>70</v>
      </c>
      <c r="B471" s="1" t="s">
        <v>1269</v>
      </c>
      <c r="C471" s="1" t="s">
        <v>8977</v>
      </c>
      <c r="D471" s="1" t="s">
        <v>8978</v>
      </c>
      <c r="E471" s="1" t="s">
        <v>8979</v>
      </c>
      <c r="F471" s="1" t="s">
        <v>8980</v>
      </c>
      <c r="G471" s="1" t="s">
        <v>8981</v>
      </c>
      <c r="H471" s="1" t="s">
        <v>8982</v>
      </c>
      <c r="I471" s="1" t="s">
        <v>8983</v>
      </c>
      <c r="J471" s="1">
        <v>8332899933</v>
      </c>
      <c r="K471" s="1" t="s">
        <v>79</v>
      </c>
      <c r="L471" s="1" t="s">
        <v>8984</v>
      </c>
      <c r="M471" s="1" t="s">
        <v>81</v>
      </c>
      <c r="N471" s="1" t="s">
        <v>8985</v>
      </c>
      <c r="O471" s="1"/>
      <c r="P471" s="1" t="s">
        <v>1278</v>
      </c>
      <c r="Q471" s="1" t="s">
        <v>8986</v>
      </c>
      <c r="R471" s="1" t="s">
        <v>8987</v>
      </c>
      <c r="S471" s="1">
        <v>9849766553</v>
      </c>
      <c r="T471" s="1" t="s">
        <v>1554</v>
      </c>
      <c r="U471" s="1" t="s">
        <v>8988</v>
      </c>
      <c r="V471" s="1">
        <v>9440491271</v>
      </c>
      <c r="W471" s="1" t="s">
        <v>273</v>
      </c>
      <c r="X471" s="1" t="s">
        <v>8989</v>
      </c>
      <c r="Y471" s="1" t="s">
        <v>8990</v>
      </c>
      <c r="Z471" s="1" t="s">
        <v>609</v>
      </c>
      <c r="AA471" s="1" t="s">
        <v>8989</v>
      </c>
      <c r="AB471" s="1" t="s">
        <v>8990</v>
      </c>
      <c r="AC471" s="1" t="s">
        <v>609</v>
      </c>
      <c r="AD471" s="1">
        <v>8.03</v>
      </c>
      <c r="AE471" s="1" t="s">
        <v>93</v>
      </c>
      <c r="AF471" s="1" t="s">
        <v>8991</v>
      </c>
      <c r="AG471" s="1" t="s">
        <v>8992</v>
      </c>
      <c r="AH471" s="1" t="s">
        <v>165</v>
      </c>
      <c r="AI471" s="1" t="s">
        <v>281</v>
      </c>
      <c r="AJ471" s="1">
        <v>78.85</v>
      </c>
      <c r="AK471" s="1">
        <v>8.3</v>
      </c>
      <c r="AL471" s="1" t="s">
        <v>2419</v>
      </c>
      <c r="AM471" s="1" t="s">
        <v>8993</v>
      </c>
      <c r="AN471" s="1" t="s">
        <v>433</v>
      </c>
      <c r="AO471" s="1" t="s">
        <v>941</v>
      </c>
      <c r="AP471" s="1">
        <v>79.2</v>
      </c>
      <c r="AQ471" s="1"/>
      <c r="AR471" s="1"/>
      <c r="AS471" s="1"/>
      <c r="AT471" s="1"/>
      <c r="AU471" s="1"/>
      <c r="AV471" s="1"/>
      <c r="AW471" s="1"/>
      <c r="AX471" s="1" t="s">
        <v>614</v>
      </c>
      <c r="AY471" s="1" t="s">
        <v>8994</v>
      </c>
      <c r="AZ471" s="1" t="s">
        <v>681</v>
      </c>
      <c r="BA471" s="1" t="s">
        <v>413</v>
      </c>
      <c r="BB471" s="1">
        <v>63.1</v>
      </c>
      <c r="BC471" s="1">
        <v>6.81</v>
      </c>
      <c r="BD471" s="1"/>
      <c r="BE471" s="1"/>
      <c r="BF471" s="1"/>
      <c r="BG471" s="1"/>
      <c r="BH471" s="1"/>
      <c r="BI471" s="1"/>
      <c r="BJ471" s="1" t="s">
        <v>8995</v>
      </c>
      <c r="BK471" s="1"/>
      <c r="BL471" s="1"/>
      <c r="BM471" s="1" t="s">
        <v>8996</v>
      </c>
      <c r="BN471" s="1">
        <v>8</v>
      </c>
      <c r="BO471" s="1"/>
      <c r="BP471" s="1" t="str">
        <f>HYPERLINK("https://nconnect.nicmar.ac.in/storage/profile/ProfilePhoto_P25700427_561483.jpg","Download")</f>
        <v>0</v>
      </c>
      <c r="BQ471" s="3"/>
      <c r="BR471" s="3"/>
    </row>
    <row r="472" spans="1:70">
      <c r="A472" s="1" t="s">
        <v>70</v>
      </c>
      <c r="B472" s="1" t="s">
        <v>1269</v>
      </c>
      <c r="C472" s="1" t="s">
        <v>8997</v>
      </c>
      <c r="D472" s="1" t="s">
        <v>8998</v>
      </c>
      <c r="E472" s="1" t="s">
        <v>6719</v>
      </c>
      <c r="F472" s="1" t="s">
        <v>8999</v>
      </c>
      <c r="G472" s="1" t="s">
        <v>9000</v>
      </c>
      <c r="H472" s="1" t="s">
        <v>9001</v>
      </c>
      <c r="I472" s="1" t="s">
        <v>9002</v>
      </c>
      <c r="J472" s="1">
        <v>9923155346</v>
      </c>
      <c r="K472" s="1" t="s">
        <v>79</v>
      </c>
      <c r="L472" s="1" t="s">
        <v>9003</v>
      </c>
      <c r="M472" s="1" t="s">
        <v>81</v>
      </c>
      <c r="N472" s="1" t="s">
        <v>1418</v>
      </c>
      <c r="O472" s="1"/>
      <c r="P472" s="1" t="s">
        <v>1298</v>
      </c>
      <c r="Q472" s="1" t="s">
        <v>9004</v>
      </c>
      <c r="R472" s="1" t="s">
        <v>9005</v>
      </c>
      <c r="S472" s="1">
        <v>9420566475</v>
      </c>
      <c r="T472" s="1" t="s">
        <v>496</v>
      </c>
      <c r="U472" s="1" t="s">
        <v>9006</v>
      </c>
      <c r="V472" s="1">
        <v>9405936731</v>
      </c>
      <c r="W472" s="1" t="s">
        <v>273</v>
      </c>
      <c r="X472" s="1" t="s">
        <v>9007</v>
      </c>
      <c r="Y472" s="1" t="s">
        <v>405</v>
      </c>
      <c r="Z472" s="1" t="s">
        <v>92</v>
      </c>
      <c r="AA472" s="1" t="s">
        <v>9007</v>
      </c>
      <c r="AB472" s="1" t="s">
        <v>405</v>
      </c>
      <c r="AC472" s="1" t="s">
        <v>92</v>
      </c>
      <c r="AD472" s="1">
        <v>8.52</v>
      </c>
      <c r="AE472" s="1" t="s">
        <v>93</v>
      </c>
      <c r="AF472" s="1" t="s">
        <v>9008</v>
      </c>
      <c r="AG472" s="1" t="s">
        <v>9009</v>
      </c>
      <c r="AH472" s="1" t="s">
        <v>195</v>
      </c>
      <c r="AI472" s="1" t="s">
        <v>281</v>
      </c>
      <c r="AJ472" s="1">
        <v>87.6</v>
      </c>
      <c r="AK472" s="1"/>
      <c r="AL472" s="1" t="s">
        <v>9010</v>
      </c>
      <c r="AM472" s="1" t="s">
        <v>9009</v>
      </c>
      <c r="AN472" s="1" t="s">
        <v>198</v>
      </c>
      <c r="AO472" s="1" t="s">
        <v>360</v>
      </c>
      <c r="AP472" s="1">
        <v>64.62</v>
      </c>
      <c r="AQ472" s="1"/>
      <c r="AR472" s="1"/>
      <c r="AS472" s="1"/>
      <c r="AT472" s="1"/>
      <c r="AU472" s="1"/>
      <c r="AV472" s="1"/>
      <c r="AW472" s="1"/>
      <c r="AX472" s="1" t="s">
        <v>410</v>
      </c>
      <c r="AY472" s="1" t="s">
        <v>9011</v>
      </c>
      <c r="AZ472" s="1" t="s">
        <v>363</v>
      </c>
      <c r="BA472" s="1" t="s">
        <v>413</v>
      </c>
      <c r="BB472" s="1">
        <v>64.6</v>
      </c>
      <c r="BC472" s="1">
        <v>7.21</v>
      </c>
      <c r="BD472" s="1"/>
      <c r="BE472" s="1"/>
      <c r="BF472" s="1"/>
      <c r="BG472" s="1"/>
      <c r="BH472" s="1"/>
      <c r="BI472" s="1"/>
      <c r="BJ472" s="1" t="s">
        <v>9012</v>
      </c>
      <c r="BK472" s="1" t="s">
        <v>9013</v>
      </c>
      <c r="BL472" s="1" t="s">
        <v>1919</v>
      </c>
      <c r="BM472" s="1" t="s">
        <v>9014</v>
      </c>
      <c r="BN472" s="1">
        <v>20</v>
      </c>
      <c r="BO472" s="1" t="s">
        <v>9015</v>
      </c>
      <c r="BP472" s="1" t="str">
        <f>HYPERLINK("https://nconnect.nicmar.ac.in/storage/profile/ProfilePhoto_P25700428_648923.jpg","Download")</f>
        <v>0</v>
      </c>
      <c r="BQ472" s="3"/>
      <c r="BR472" s="3"/>
    </row>
    <row r="473" spans="1:70">
      <c r="A473" s="1" t="s">
        <v>70</v>
      </c>
      <c r="B473" s="1" t="s">
        <v>1269</v>
      </c>
      <c r="C473" s="1" t="s">
        <v>9016</v>
      </c>
      <c r="D473" s="1" t="s">
        <v>9017</v>
      </c>
      <c r="E473" s="1" t="s">
        <v>9018</v>
      </c>
      <c r="F473" s="1" t="s">
        <v>9019</v>
      </c>
      <c r="G473" s="1" t="s">
        <v>9020</v>
      </c>
      <c r="H473" s="1" t="s">
        <v>9021</v>
      </c>
      <c r="I473" s="1" t="s">
        <v>9022</v>
      </c>
      <c r="J473" s="1">
        <v>9370401293</v>
      </c>
      <c r="K473" s="1" t="s">
        <v>79</v>
      </c>
      <c r="L473" s="1" t="s">
        <v>9023</v>
      </c>
      <c r="M473" s="1" t="s">
        <v>81</v>
      </c>
      <c r="N473" s="1" t="s">
        <v>2008</v>
      </c>
      <c r="O473" s="1"/>
      <c r="P473" s="1" t="s">
        <v>1323</v>
      </c>
      <c r="Q473" s="1" t="s">
        <v>9024</v>
      </c>
      <c r="R473" s="1" t="s">
        <v>9025</v>
      </c>
      <c r="S473" s="1">
        <v>8275219980</v>
      </c>
      <c r="T473" s="1" t="s">
        <v>122</v>
      </c>
      <c r="U473" s="1" t="s">
        <v>9026</v>
      </c>
      <c r="V473" s="1">
        <v>8275219980</v>
      </c>
      <c r="W473" s="1" t="s">
        <v>156</v>
      </c>
      <c r="X473" s="1" t="s">
        <v>9027</v>
      </c>
      <c r="Y473" s="1" t="s">
        <v>328</v>
      </c>
      <c r="Z473" s="1" t="s">
        <v>92</v>
      </c>
      <c r="AA473" s="1" t="s">
        <v>9027</v>
      </c>
      <c r="AB473" s="1" t="s">
        <v>328</v>
      </c>
      <c r="AC473" s="1" t="s">
        <v>92</v>
      </c>
      <c r="AD473" s="1">
        <v>9.05</v>
      </c>
      <c r="AE473" s="1" t="s">
        <v>93</v>
      </c>
      <c r="AF473" s="1" t="s">
        <v>9028</v>
      </c>
      <c r="AG473" s="1" t="s">
        <v>3272</v>
      </c>
      <c r="AH473" s="1" t="s">
        <v>165</v>
      </c>
      <c r="AI473" s="1" t="s">
        <v>166</v>
      </c>
      <c r="AJ473" s="1">
        <v>80.4</v>
      </c>
      <c r="AK473" s="1">
        <v>0</v>
      </c>
      <c r="AL473" s="1"/>
      <c r="AM473" s="1"/>
      <c r="AN473" s="1"/>
      <c r="AO473" s="1"/>
      <c r="AP473" s="1"/>
      <c r="AQ473" s="1"/>
      <c r="AR473" s="1" t="s">
        <v>434</v>
      </c>
      <c r="AS473" s="1" t="s">
        <v>9029</v>
      </c>
      <c r="AT473" s="1" t="s">
        <v>636</v>
      </c>
      <c r="AU473" s="1" t="s">
        <v>1051</v>
      </c>
      <c r="AV473" s="1">
        <v>86.85</v>
      </c>
      <c r="AW473" s="1">
        <v>0</v>
      </c>
      <c r="AX473" s="1" t="s">
        <v>9030</v>
      </c>
      <c r="AY473" s="1" t="s">
        <v>9031</v>
      </c>
      <c r="AZ473" s="1" t="s">
        <v>897</v>
      </c>
      <c r="BA473" s="1" t="s">
        <v>202</v>
      </c>
      <c r="BB473" s="1">
        <v>80</v>
      </c>
      <c r="BC473" s="1">
        <v>8</v>
      </c>
      <c r="BD473" s="1"/>
      <c r="BE473" s="1"/>
      <c r="BF473" s="1"/>
      <c r="BG473" s="1"/>
      <c r="BH473" s="1"/>
      <c r="BI473" s="1"/>
      <c r="BJ473" s="1" t="s">
        <v>9032</v>
      </c>
      <c r="BK473" s="1"/>
      <c r="BL473" s="1"/>
      <c r="BM473" s="1" t="s">
        <v>9033</v>
      </c>
      <c r="BN473" s="1">
        <v>9</v>
      </c>
      <c r="BO473" s="1" t="s">
        <v>9034</v>
      </c>
      <c r="BP473" s="1" t="str">
        <f>HYPERLINK("https://nconnect.nicmar.ac.in/storage/profile/ProfilePhoto_P25700429_627859.jpg","Download")</f>
        <v>0</v>
      </c>
      <c r="BQ473" s="3"/>
      <c r="BR473" s="3"/>
    </row>
    <row r="474" spans="1:70">
      <c r="A474" s="1" t="s">
        <v>70</v>
      </c>
      <c r="B474" s="1" t="s">
        <v>1269</v>
      </c>
      <c r="C474" s="1" t="s">
        <v>9035</v>
      </c>
      <c r="D474" s="1" t="s">
        <v>9036</v>
      </c>
      <c r="E474" s="1" t="s">
        <v>513</v>
      </c>
      <c r="F474" s="1" t="s">
        <v>3393</v>
      </c>
      <c r="G474" s="1" t="s">
        <v>9037</v>
      </c>
      <c r="H474" s="1" t="s">
        <v>9038</v>
      </c>
      <c r="I474" s="1" t="s">
        <v>9039</v>
      </c>
      <c r="J474" s="1">
        <v>7738999969</v>
      </c>
      <c r="K474" s="1" t="s">
        <v>79</v>
      </c>
      <c r="L474" s="1" t="s">
        <v>9040</v>
      </c>
      <c r="M474" s="1" t="s">
        <v>81</v>
      </c>
      <c r="N474" s="1" t="s">
        <v>6099</v>
      </c>
      <c r="O474" s="1"/>
      <c r="P474" s="1" t="s">
        <v>1298</v>
      </c>
      <c r="Q474" s="1" t="s">
        <v>9041</v>
      </c>
      <c r="R474" s="1" t="s">
        <v>9042</v>
      </c>
      <c r="S474" s="1">
        <v>7900049032</v>
      </c>
      <c r="T474" s="1" t="s">
        <v>9043</v>
      </c>
      <c r="U474" s="1" t="s">
        <v>9044</v>
      </c>
      <c r="V474" s="1">
        <v>7700036459</v>
      </c>
      <c r="W474" s="1" t="s">
        <v>156</v>
      </c>
      <c r="X474" s="1" t="s">
        <v>9045</v>
      </c>
      <c r="Y474" s="1" t="s">
        <v>766</v>
      </c>
      <c r="Z474" s="1" t="s">
        <v>92</v>
      </c>
      <c r="AA474" s="1" t="s">
        <v>9045</v>
      </c>
      <c r="AB474" s="1" t="s">
        <v>766</v>
      </c>
      <c r="AC474" s="1" t="s">
        <v>92</v>
      </c>
      <c r="AD474" s="1">
        <v>8.66</v>
      </c>
      <c r="AE474" s="1" t="s">
        <v>93</v>
      </c>
      <c r="AF474" s="1" t="s">
        <v>9046</v>
      </c>
      <c r="AG474" s="1" t="s">
        <v>160</v>
      </c>
      <c r="AH474" s="1" t="s">
        <v>97</v>
      </c>
      <c r="AI474" s="1" t="s">
        <v>456</v>
      </c>
      <c r="AJ474" s="1">
        <v>78.6</v>
      </c>
      <c r="AK474" s="1"/>
      <c r="AL474" s="1"/>
      <c r="AM474" s="1"/>
      <c r="AN474" s="1"/>
      <c r="AO474" s="1"/>
      <c r="AP474" s="1"/>
      <c r="AQ474" s="1"/>
      <c r="AR474" s="1" t="s">
        <v>98</v>
      </c>
      <c r="AS474" s="1" t="s">
        <v>9047</v>
      </c>
      <c r="AT474" s="1" t="s">
        <v>733</v>
      </c>
      <c r="AU474" s="1" t="s">
        <v>433</v>
      </c>
      <c r="AV474" s="1">
        <v>74.18</v>
      </c>
      <c r="AW474" s="1"/>
      <c r="AX474" s="1" t="s">
        <v>1024</v>
      </c>
      <c r="AY474" s="1" t="s">
        <v>9048</v>
      </c>
      <c r="AZ474" s="1" t="s">
        <v>310</v>
      </c>
      <c r="BA474" s="1" t="s">
        <v>105</v>
      </c>
      <c r="BB474" s="1">
        <v>69.48</v>
      </c>
      <c r="BC474" s="1">
        <v>7.75</v>
      </c>
      <c r="BD474" s="1"/>
      <c r="BE474" s="1"/>
      <c r="BF474" s="1"/>
      <c r="BG474" s="1"/>
      <c r="BH474" s="1"/>
      <c r="BI474" s="1"/>
      <c r="BJ474" s="1" t="s">
        <v>1383</v>
      </c>
      <c r="BK474" s="1" t="s">
        <v>9049</v>
      </c>
      <c r="BL474" s="1" t="s">
        <v>8309</v>
      </c>
      <c r="BM474" s="1"/>
      <c r="BN474" s="1"/>
      <c r="BO474" s="1"/>
      <c r="BP474" s="1" t="str">
        <f>HYPERLINK("https://nconnect.nicmar.ac.in/storage/profile/ProfilePhoto_P25700430_384715.jpg","Download")</f>
        <v>0</v>
      </c>
      <c r="BQ474" s="3"/>
      <c r="BR474" s="3"/>
    </row>
    <row r="475" spans="1:70">
      <c r="A475" s="1" t="s">
        <v>70</v>
      </c>
      <c r="B475" s="1" t="s">
        <v>1269</v>
      </c>
      <c r="C475" s="1" t="s">
        <v>9050</v>
      </c>
      <c r="D475" s="1" t="s">
        <v>9051</v>
      </c>
      <c r="E475" s="1"/>
      <c r="F475" s="1" t="s">
        <v>4684</v>
      </c>
      <c r="G475" s="1" t="s">
        <v>9052</v>
      </c>
      <c r="H475" s="1" t="s">
        <v>9053</v>
      </c>
      <c r="I475" s="1" t="s">
        <v>9054</v>
      </c>
      <c r="J475" s="1">
        <v>9337010182</v>
      </c>
      <c r="K475" s="1" t="s">
        <v>79</v>
      </c>
      <c r="L475" s="1" t="s">
        <v>9055</v>
      </c>
      <c r="M475" s="1" t="s">
        <v>81</v>
      </c>
      <c r="N475" s="1" t="s">
        <v>9056</v>
      </c>
      <c r="O475" s="1"/>
      <c r="P475" s="1" t="s">
        <v>1323</v>
      </c>
      <c r="Q475" s="1" t="s">
        <v>9057</v>
      </c>
      <c r="R475" s="1" t="s">
        <v>9058</v>
      </c>
      <c r="S475" s="1">
        <v>7978990750</v>
      </c>
      <c r="T475" s="1" t="s">
        <v>9059</v>
      </c>
      <c r="U475" s="1" t="s">
        <v>9060</v>
      </c>
      <c r="V475" s="1">
        <v>7008831481</v>
      </c>
      <c r="W475" s="1" t="s">
        <v>9059</v>
      </c>
      <c r="X475" s="1" t="s">
        <v>9061</v>
      </c>
      <c r="Y475" s="1" t="s">
        <v>9062</v>
      </c>
      <c r="Z475" s="1" t="s">
        <v>1731</v>
      </c>
      <c r="AA475" s="1" t="s">
        <v>9061</v>
      </c>
      <c r="AB475" s="1" t="s">
        <v>9062</v>
      </c>
      <c r="AC475" s="1" t="s">
        <v>1731</v>
      </c>
      <c r="AD475" s="1">
        <v>8.87</v>
      </c>
      <c r="AE475" s="1" t="s">
        <v>93</v>
      </c>
      <c r="AF475" s="1" t="s">
        <v>4252</v>
      </c>
      <c r="AG475" s="1" t="s">
        <v>9063</v>
      </c>
      <c r="AH475" s="1" t="s">
        <v>279</v>
      </c>
      <c r="AI475" s="1" t="s">
        <v>165</v>
      </c>
      <c r="AJ475" s="1">
        <v>95</v>
      </c>
      <c r="AK475" s="1">
        <v>10</v>
      </c>
      <c r="AL475" s="1" t="s">
        <v>2097</v>
      </c>
      <c r="AM475" s="1" t="s">
        <v>2828</v>
      </c>
      <c r="AN475" s="1" t="s">
        <v>383</v>
      </c>
      <c r="AO475" s="1" t="s">
        <v>308</v>
      </c>
      <c r="AP475" s="1">
        <v>71.2</v>
      </c>
      <c r="AQ475" s="1"/>
      <c r="AR475" s="1"/>
      <c r="AS475" s="1"/>
      <c r="AT475" s="1"/>
      <c r="AU475" s="1"/>
      <c r="AV475" s="1"/>
      <c r="AW475" s="1"/>
      <c r="AX475" s="1" t="s">
        <v>5842</v>
      </c>
      <c r="AY475" s="1" t="s">
        <v>9064</v>
      </c>
      <c r="AZ475" s="1" t="s">
        <v>310</v>
      </c>
      <c r="BA475" s="1" t="s">
        <v>702</v>
      </c>
      <c r="BB475" s="1">
        <v>87.4</v>
      </c>
      <c r="BC475" s="1">
        <v>8.74</v>
      </c>
      <c r="BD475" s="1"/>
      <c r="BE475" s="1"/>
      <c r="BF475" s="1"/>
      <c r="BG475" s="1"/>
      <c r="BH475" s="1"/>
      <c r="BI475" s="1"/>
      <c r="BJ475" s="1" t="s">
        <v>9065</v>
      </c>
      <c r="BK475" s="1" t="s">
        <v>9066</v>
      </c>
      <c r="BL475" s="1" t="s">
        <v>1289</v>
      </c>
      <c r="BM475" s="1" t="s">
        <v>9067</v>
      </c>
      <c r="BN475" s="1">
        <v>35</v>
      </c>
      <c r="BO475" s="1"/>
      <c r="BP475" s="1" t="str">
        <f>HYPERLINK("https://nconnect.nicmar.ac.in/storage/profile/ProfilePhoto_P25700431_926174.jpg","Download")</f>
        <v>0</v>
      </c>
      <c r="BQ475" s="3"/>
      <c r="BR475" s="3"/>
    </row>
    <row r="476" spans="1:70">
      <c r="A476" s="1" t="s">
        <v>70</v>
      </c>
      <c r="B476" s="1" t="s">
        <v>1269</v>
      </c>
      <c r="C476" s="1" t="s">
        <v>9068</v>
      </c>
      <c r="D476" s="1" t="s">
        <v>643</v>
      </c>
      <c r="E476" s="1"/>
      <c r="F476" s="1" t="s">
        <v>9069</v>
      </c>
      <c r="G476" s="1" t="s">
        <v>9070</v>
      </c>
      <c r="H476" s="1" t="s">
        <v>9071</v>
      </c>
      <c r="I476" s="1" t="s">
        <v>9072</v>
      </c>
      <c r="J476" s="1">
        <v>7000150551</v>
      </c>
      <c r="K476" s="1" t="s">
        <v>79</v>
      </c>
      <c r="L476" s="1" t="s">
        <v>9073</v>
      </c>
      <c r="M476" s="1" t="s">
        <v>81</v>
      </c>
      <c r="N476" s="1" t="s">
        <v>9074</v>
      </c>
      <c r="O476" s="1"/>
      <c r="P476" s="1" t="s">
        <v>1766</v>
      </c>
      <c r="Q476" s="1" t="s">
        <v>9075</v>
      </c>
      <c r="R476" s="1" t="s">
        <v>9076</v>
      </c>
      <c r="S476" s="1">
        <v>9827589630</v>
      </c>
      <c r="T476" s="1" t="s">
        <v>9077</v>
      </c>
      <c r="U476" s="1" t="s">
        <v>9078</v>
      </c>
      <c r="V476" s="1">
        <v>9340888192</v>
      </c>
      <c r="W476" s="1" t="s">
        <v>273</v>
      </c>
      <c r="X476" s="1" t="s">
        <v>9079</v>
      </c>
      <c r="Y476" s="1" t="s">
        <v>935</v>
      </c>
      <c r="Z476" s="1" t="s">
        <v>936</v>
      </c>
      <c r="AA476" s="1" t="s">
        <v>9079</v>
      </c>
      <c r="AB476" s="1" t="s">
        <v>935</v>
      </c>
      <c r="AC476" s="1" t="s">
        <v>936</v>
      </c>
      <c r="AD476" s="1">
        <v>8.16</v>
      </c>
      <c r="AE476" s="1" t="s">
        <v>93</v>
      </c>
      <c r="AF476" s="1" t="s">
        <v>9080</v>
      </c>
      <c r="AG476" s="1" t="s">
        <v>9081</v>
      </c>
      <c r="AH476" s="1" t="s">
        <v>658</v>
      </c>
      <c r="AI476" s="1" t="s">
        <v>129</v>
      </c>
      <c r="AJ476" s="1">
        <v>87.4</v>
      </c>
      <c r="AK476" s="1">
        <v>9.2</v>
      </c>
      <c r="AL476" s="1" t="s">
        <v>9080</v>
      </c>
      <c r="AM476" s="1" t="s">
        <v>9081</v>
      </c>
      <c r="AN476" s="1" t="s">
        <v>1197</v>
      </c>
      <c r="AO476" s="1" t="s">
        <v>131</v>
      </c>
      <c r="AP476" s="1">
        <v>60.4</v>
      </c>
      <c r="AQ476" s="1">
        <v>0</v>
      </c>
      <c r="AR476" s="1"/>
      <c r="AS476" s="1"/>
      <c r="AT476" s="1"/>
      <c r="AU476" s="1"/>
      <c r="AV476" s="1"/>
      <c r="AW476" s="1"/>
      <c r="AX476" s="1" t="s">
        <v>5958</v>
      </c>
      <c r="AY476" s="1" t="s">
        <v>9082</v>
      </c>
      <c r="AZ476" s="1" t="s">
        <v>161</v>
      </c>
      <c r="BA476" s="1" t="s">
        <v>433</v>
      </c>
      <c r="BB476" s="1">
        <v>64.7</v>
      </c>
      <c r="BC476" s="1">
        <v>6.47</v>
      </c>
      <c r="BD476" s="1"/>
      <c r="BE476" s="1"/>
      <c r="BF476" s="1"/>
      <c r="BG476" s="1"/>
      <c r="BH476" s="1"/>
      <c r="BI476" s="1"/>
      <c r="BJ476" s="1" t="s">
        <v>9083</v>
      </c>
      <c r="BK476" s="1" t="s">
        <v>9084</v>
      </c>
      <c r="BL476" s="1" t="s">
        <v>2382</v>
      </c>
      <c r="BM476" s="1" t="s">
        <v>9085</v>
      </c>
      <c r="BN476" s="1">
        <v>10</v>
      </c>
      <c r="BO476" s="1"/>
      <c r="BP476" s="1" t="str">
        <f>HYPERLINK("https://nconnect.nicmar.ac.in/storage/profile/ProfilePhoto_P25700432_658914.jpg","Download")</f>
        <v>0</v>
      </c>
      <c r="BQ476" s="3"/>
      <c r="BR476" s="3"/>
    </row>
    <row r="477" spans="1:70">
      <c r="A477" s="1" t="s">
        <v>70</v>
      </c>
      <c r="B477" s="1" t="s">
        <v>1269</v>
      </c>
      <c r="C477" s="1" t="s">
        <v>9086</v>
      </c>
      <c r="D477" s="1" t="s">
        <v>643</v>
      </c>
      <c r="E477" s="1" t="s">
        <v>4727</v>
      </c>
      <c r="F477" s="1" t="s">
        <v>9087</v>
      </c>
      <c r="G477" s="1" t="s">
        <v>9088</v>
      </c>
      <c r="H477" s="1" t="s">
        <v>9089</v>
      </c>
      <c r="I477" s="1" t="s">
        <v>9090</v>
      </c>
      <c r="J477" s="1">
        <v>7719921717</v>
      </c>
      <c r="K477" s="1" t="s">
        <v>79</v>
      </c>
      <c r="L477" s="1" t="s">
        <v>9091</v>
      </c>
      <c r="M477" s="1" t="s">
        <v>81</v>
      </c>
      <c r="N477" s="1" t="s">
        <v>9092</v>
      </c>
      <c r="O477" s="1"/>
      <c r="P477" s="1" t="s">
        <v>1278</v>
      </c>
      <c r="Q477" s="1" t="s">
        <v>9093</v>
      </c>
      <c r="R477" s="1" t="s">
        <v>9094</v>
      </c>
      <c r="S477" s="1">
        <v>7057320017</v>
      </c>
      <c r="T477" s="1" t="s">
        <v>9095</v>
      </c>
      <c r="U477" s="1" t="s">
        <v>3361</v>
      </c>
      <c r="V477" s="1">
        <v>7057330017</v>
      </c>
      <c r="W477" s="1" t="s">
        <v>156</v>
      </c>
      <c r="X477" s="1" t="s">
        <v>9096</v>
      </c>
      <c r="Y477" s="1" t="s">
        <v>4322</v>
      </c>
      <c r="Z477" s="1" t="s">
        <v>92</v>
      </c>
      <c r="AA477" s="1" t="s">
        <v>9096</v>
      </c>
      <c r="AB477" s="1" t="s">
        <v>4322</v>
      </c>
      <c r="AC477" s="1" t="s">
        <v>92</v>
      </c>
      <c r="AD477" s="1">
        <v>8.31</v>
      </c>
      <c r="AE477" s="1" t="s">
        <v>93</v>
      </c>
      <c r="AF477" s="1" t="s">
        <v>9097</v>
      </c>
      <c r="AG477" s="1" t="s">
        <v>160</v>
      </c>
      <c r="AH477" s="1" t="s">
        <v>128</v>
      </c>
      <c r="AI477" s="1" t="s">
        <v>998</v>
      </c>
      <c r="AJ477" s="1">
        <v>84.2</v>
      </c>
      <c r="AK477" s="1"/>
      <c r="AL477" s="1"/>
      <c r="AM477" s="1"/>
      <c r="AN477" s="1"/>
      <c r="AO477" s="1"/>
      <c r="AP477" s="1"/>
      <c r="AQ477" s="1"/>
      <c r="AR477" s="1" t="s">
        <v>98</v>
      </c>
      <c r="AS477" s="1" t="s">
        <v>9098</v>
      </c>
      <c r="AT477" s="1" t="s">
        <v>998</v>
      </c>
      <c r="AU477" s="1" t="s">
        <v>162</v>
      </c>
      <c r="AV477" s="1">
        <v>85.94</v>
      </c>
      <c r="AW477" s="1"/>
      <c r="AX477" s="1" t="s">
        <v>3970</v>
      </c>
      <c r="AY477" s="1" t="s">
        <v>9099</v>
      </c>
      <c r="AZ477" s="1" t="s">
        <v>162</v>
      </c>
      <c r="BA477" s="1" t="s">
        <v>310</v>
      </c>
      <c r="BB477" s="1">
        <v>68.11</v>
      </c>
      <c r="BC477" s="1">
        <v>7.74</v>
      </c>
      <c r="BD477" s="1"/>
      <c r="BE477" s="1"/>
      <c r="BF477" s="1"/>
      <c r="BG477" s="1"/>
      <c r="BH477" s="1"/>
      <c r="BI477" s="1"/>
      <c r="BJ477" s="1" t="s">
        <v>1383</v>
      </c>
      <c r="BK477" s="1" t="s">
        <v>9100</v>
      </c>
      <c r="BL477" s="1" t="s">
        <v>138</v>
      </c>
      <c r="BM477" s="1"/>
      <c r="BN477" s="1"/>
      <c r="BO477" s="1"/>
      <c r="BP477" s="1" t="str">
        <f>HYPERLINK("https://nconnect.nicmar.ac.in/storage/profile/ProfilePhoto_P25700433_873965.jpg","Download")</f>
        <v>0</v>
      </c>
      <c r="BQ477" s="3"/>
      <c r="BR477" s="3"/>
    </row>
    <row r="478" spans="1:70">
      <c r="A478" s="1" t="s">
        <v>70</v>
      </c>
      <c r="B478" s="1" t="s">
        <v>1269</v>
      </c>
      <c r="C478" s="1" t="s">
        <v>9101</v>
      </c>
      <c r="D478" s="1" t="s">
        <v>7248</v>
      </c>
      <c r="E478" s="1" t="s">
        <v>1316</v>
      </c>
      <c r="F478" s="1" t="s">
        <v>3031</v>
      </c>
      <c r="G478" s="1" t="s">
        <v>9102</v>
      </c>
      <c r="H478" s="1" t="s">
        <v>9103</v>
      </c>
      <c r="I478" s="1" t="s">
        <v>9104</v>
      </c>
      <c r="J478" s="1">
        <v>7744977229</v>
      </c>
      <c r="K478" s="1" t="s">
        <v>79</v>
      </c>
      <c r="L478" s="1" t="s">
        <v>9105</v>
      </c>
      <c r="M478" s="1" t="s">
        <v>81</v>
      </c>
      <c r="N478" s="1" t="s">
        <v>9106</v>
      </c>
      <c r="O478" s="1"/>
      <c r="P478" s="1" t="s">
        <v>1298</v>
      </c>
      <c r="Q478" s="1" t="s">
        <v>9107</v>
      </c>
      <c r="R478" s="1" t="s">
        <v>1316</v>
      </c>
      <c r="S478" s="1">
        <v>9822246222</v>
      </c>
      <c r="T478" s="1" t="s">
        <v>496</v>
      </c>
      <c r="U478" s="1" t="s">
        <v>2754</v>
      </c>
      <c r="V478" s="1">
        <v>9823258144</v>
      </c>
      <c r="W478" s="1" t="s">
        <v>651</v>
      </c>
      <c r="X478" s="1" t="s">
        <v>9108</v>
      </c>
      <c r="Y478" s="1" t="s">
        <v>191</v>
      </c>
      <c r="Z478" s="1" t="s">
        <v>92</v>
      </c>
      <c r="AA478" s="1" t="s">
        <v>9108</v>
      </c>
      <c r="AB478" s="1" t="s">
        <v>191</v>
      </c>
      <c r="AC478" s="1" t="s">
        <v>92</v>
      </c>
      <c r="AD478" s="1">
        <v>9.21</v>
      </c>
      <c r="AE478" s="1" t="s">
        <v>93</v>
      </c>
      <c r="AF478" s="1" t="s">
        <v>9109</v>
      </c>
      <c r="AG478" s="1" t="s">
        <v>9110</v>
      </c>
      <c r="AH478" s="1" t="s">
        <v>101</v>
      </c>
      <c r="AI478" s="1" t="s">
        <v>308</v>
      </c>
      <c r="AJ478" s="1">
        <v>95</v>
      </c>
      <c r="AK478" s="1"/>
      <c r="AL478" s="1" t="s">
        <v>3308</v>
      </c>
      <c r="AM478" s="1" t="s">
        <v>9111</v>
      </c>
      <c r="AN478" s="1" t="s">
        <v>173</v>
      </c>
      <c r="AO478" s="1" t="s">
        <v>1712</v>
      </c>
      <c r="AP478" s="1">
        <v>88.5</v>
      </c>
      <c r="AQ478" s="1"/>
      <c r="AR478" s="1"/>
      <c r="AS478" s="1"/>
      <c r="AT478" s="1"/>
      <c r="AU478" s="1"/>
      <c r="AV478" s="1"/>
      <c r="AW478" s="1"/>
      <c r="AX478" s="1" t="s">
        <v>361</v>
      </c>
      <c r="AY478" s="1" t="s">
        <v>6731</v>
      </c>
      <c r="AZ478" s="1" t="s">
        <v>897</v>
      </c>
      <c r="BA478" s="1" t="s">
        <v>1714</v>
      </c>
      <c r="BB478" s="1">
        <v>84.3</v>
      </c>
      <c r="BC478" s="1">
        <v>8.93</v>
      </c>
      <c r="BD478" s="1"/>
      <c r="BE478" s="1"/>
      <c r="BF478" s="1"/>
      <c r="BG478" s="1"/>
      <c r="BH478" s="1"/>
      <c r="BI478" s="1"/>
      <c r="BJ478" s="1" t="s">
        <v>9112</v>
      </c>
      <c r="BK478" s="1"/>
      <c r="BL478" s="1"/>
      <c r="BM478" s="1" t="s">
        <v>9113</v>
      </c>
      <c r="BN478" s="1">
        <v>16</v>
      </c>
      <c r="BO478" s="1"/>
      <c r="BP478" s="1" t="str">
        <f>HYPERLINK("https://nconnect.nicmar.ac.in/storage/profile/ProfilePhoto_P25700434_157429.jpg","Download")</f>
        <v>0</v>
      </c>
      <c r="BQ478" s="3"/>
      <c r="BR478" s="3"/>
    </row>
    <row r="479" spans="1:70">
      <c r="A479" s="1" t="s">
        <v>70</v>
      </c>
      <c r="B479" s="1" t="s">
        <v>1269</v>
      </c>
      <c r="C479" s="1" t="s">
        <v>9114</v>
      </c>
      <c r="D479" s="1" t="s">
        <v>8980</v>
      </c>
      <c r="E479" s="1" t="s">
        <v>9115</v>
      </c>
      <c r="F479" s="1" t="s">
        <v>9116</v>
      </c>
      <c r="G479" s="1" t="s">
        <v>9117</v>
      </c>
      <c r="H479" s="1" t="s">
        <v>9118</v>
      </c>
      <c r="I479" s="1" t="s">
        <v>9119</v>
      </c>
      <c r="J479" s="1">
        <v>7993699465</v>
      </c>
      <c r="K479" s="1" t="s">
        <v>148</v>
      </c>
      <c r="L479" s="1" t="s">
        <v>9120</v>
      </c>
      <c r="M479" s="1" t="s">
        <v>81</v>
      </c>
      <c r="N479" s="1" t="s">
        <v>9121</v>
      </c>
      <c r="O479" s="1"/>
      <c r="P479" s="1" t="s">
        <v>1278</v>
      </c>
      <c r="Q479" s="1" t="s">
        <v>9122</v>
      </c>
      <c r="R479" s="1" t="s">
        <v>9123</v>
      </c>
      <c r="S479" s="1">
        <v>9849544624</v>
      </c>
      <c r="T479" s="1" t="s">
        <v>9124</v>
      </c>
      <c r="U479" s="1" t="s">
        <v>9125</v>
      </c>
      <c r="V479" s="1">
        <v>8328436838</v>
      </c>
      <c r="W479" s="1" t="s">
        <v>496</v>
      </c>
      <c r="X479" s="1" t="s">
        <v>9126</v>
      </c>
      <c r="Y479" s="1" t="s">
        <v>3890</v>
      </c>
      <c r="Z479" s="1" t="s">
        <v>276</v>
      </c>
      <c r="AA479" s="1" t="s">
        <v>9126</v>
      </c>
      <c r="AB479" s="1" t="s">
        <v>3890</v>
      </c>
      <c r="AC479" s="1" t="s">
        <v>276</v>
      </c>
      <c r="AD479" s="1">
        <v>8.85</v>
      </c>
      <c r="AE479" s="1" t="s">
        <v>93</v>
      </c>
      <c r="AF479" s="1" t="s">
        <v>9127</v>
      </c>
      <c r="AG479" s="1" t="s">
        <v>2243</v>
      </c>
      <c r="AH479" s="1" t="s">
        <v>162</v>
      </c>
      <c r="AI479" s="1" t="s">
        <v>195</v>
      </c>
      <c r="AJ479" s="1">
        <v>97</v>
      </c>
      <c r="AK479" s="1">
        <v>9.7</v>
      </c>
      <c r="AL479" s="1" t="s">
        <v>9128</v>
      </c>
      <c r="AM479" s="1" t="s">
        <v>1154</v>
      </c>
      <c r="AN479" s="1" t="s">
        <v>383</v>
      </c>
      <c r="AO479" s="1" t="s">
        <v>1065</v>
      </c>
      <c r="AP479" s="1">
        <v>84</v>
      </c>
      <c r="AQ479" s="1">
        <v>8.44</v>
      </c>
      <c r="AR479" s="1"/>
      <c r="AS479" s="1"/>
      <c r="AT479" s="1"/>
      <c r="AU479" s="1"/>
      <c r="AV479" s="1"/>
      <c r="AW479" s="1"/>
      <c r="AX479" s="1" t="s">
        <v>9128</v>
      </c>
      <c r="AY479" s="1" t="s">
        <v>9128</v>
      </c>
      <c r="AZ479" s="1" t="s">
        <v>433</v>
      </c>
      <c r="BA479" s="1" t="s">
        <v>682</v>
      </c>
      <c r="BB479" s="1">
        <v>92</v>
      </c>
      <c r="BC479" s="1">
        <v>9.2</v>
      </c>
      <c r="BD479" s="1"/>
      <c r="BE479" s="1"/>
      <c r="BF479" s="1"/>
      <c r="BG479" s="1"/>
      <c r="BH479" s="1"/>
      <c r="BI479" s="1"/>
      <c r="BJ479" s="1" t="s">
        <v>9129</v>
      </c>
      <c r="BK479" s="1"/>
      <c r="BL479" s="1"/>
      <c r="BM479" s="1" t="s">
        <v>9130</v>
      </c>
      <c r="BN479" s="1">
        <v>8</v>
      </c>
      <c r="BO479" s="1" t="s">
        <v>9131</v>
      </c>
      <c r="BP479" s="1" t="str">
        <f>HYPERLINK("https://nconnect.nicmar.ac.in/storage/profile/ProfilePhoto_P25700435_234951.jpg","Download")</f>
        <v>0</v>
      </c>
      <c r="BQ479" s="3"/>
      <c r="BR479" s="3"/>
    </row>
    <row r="480" spans="1:70">
      <c r="A480" s="1" t="s">
        <v>70</v>
      </c>
      <c r="B480" s="1" t="s">
        <v>1269</v>
      </c>
      <c r="C480" s="1" t="s">
        <v>9132</v>
      </c>
      <c r="D480" s="1" t="s">
        <v>9133</v>
      </c>
      <c r="E480" s="1" t="s">
        <v>9134</v>
      </c>
      <c r="F480" s="1" t="s">
        <v>3335</v>
      </c>
      <c r="G480" s="1" t="s">
        <v>9135</v>
      </c>
      <c r="H480" s="1" t="s">
        <v>9136</v>
      </c>
      <c r="I480" s="1" t="s">
        <v>9137</v>
      </c>
      <c r="J480" s="1">
        <v>7020783464</v>
      </c>
      <c r="K480" s="1" t="s">
        <v>79</v>
      </c>
      <c r="L480" s="1" t="s">
        <v>9138</v>
      </c>
      <c r="M480" s="1" t="s">
        <v>81</v>
      </c>
      <c r="N480" s="1" t="s">
        <v>7512</v>
      </c>
      <c r="O480" s="1"/>
      <c r="P480" s="1" t="s">
        <v>1298</v>
      </c>
      <c r="Q480" s="1" t="s">
        <v>9139</v>
      </c>
      <c r="R480" s="1" t="s">
        <v>9140</v>
      </c>
      <c r="S480" s="1">
        <v>8421793301</v>
      </c>
      <c r="T480" s="1" t="s">
        <v>496</v>
      </c>
      <c r="U480" s="1" t="s">
        <v>9141</v>
      </c>
      <c r="V480" s="1">
        <v>7058313575</v>
      </c>
      <c r="W480" s="1" t="s">
        <v>156</v>
      </c>
      <c r="X480" s="1" t="s">
        <v>9142</v>
      </c>
      <c r="Y480" s="1" t="s">
        <v>328</v>
      </c>
      <c r="Z480" s="1" t="s">
        <v>92</v>
      </c>
      <c r="AA480" s="1" t="s">
        <v>9142</v>
      </c>
      <c r="AB480" s="1" t="s">
        <v>328</v>
      </c>
      <c r="AC480" s="1" t="s">
        <v>92</v>
      </c>
      <c r="AD480" s="1">
        <v>8.15</v>
      </c>
      <c r="AE480" s="1" t="s">
        <v>93</v>
      </c>
      <c r="AF480" s="1" t="s">
        <v>9143</v>
      </c>
      <c r="AG480" s="1" t="s">
        <v>160</v>
      </c>
      <c r="AH480" s="1" t="s">
        <v>383</v>
      </c>
      <c r="AI480" s="1" t="s">
        <v>166</v>
      </c>
      <c r="AJ480" s="1">
        <v>63.8</v>
      </c>
      <c r="AK480" s="1"/>
      <c r="AL480" s="1"/>
      <c r="AM480" s="1"/>
      <c r="AN480" s="1"/>
      <c r="AO480" s="1"/>
      <c r="AP480" s="1"/>
      <c r="AQ480" s="1"/>
      <c r="AR480" s="1" t="s">
        <v>98</v>
      </c>
      <c r="AS480" s="1" t="s">
        <v>9144</v>
      </c>
      <c r="AT480" s="1" t="s">
        <v>101</v>
      </c>
      <c r="AU480" s="1" t="s">
        <v>506</v>
      </c>
      <c r="AV480" s="1">
        <v>79.11</v>
      </c>
      <c r="AW480" s="1"/>
      <c r="AX480" s="1" t="s">
        <v>335</v>
      </c>
      <c r="AY480" s="1" t="s">
        <v>8273</v>
      </c>
      <c r="AZ480" s="1" t="s">
        <v>506</v>
      </c>
      <c r="BA480" s="1" t="s">
        <v>1938</v>
      </c>
      <c r="BB480" s="1">
        <v>66.22</v>
      </c>
      <c r="BC480" s="1">
        <v>7.5</v>
      </c>
      <c r="BD480" s="1"/>
      <c r="BE480" s="1"/>
      <c r="BF480" s="1"/>
      <c r="BG480" s="1"/>
      <c r="BH480" s="1"/>
      <c r="BI480" s="1"/>
      <c r="BJ480" s="1" t="s">
        <v>8572</v>
      </c>
      <c r="BK480" s="1"/>
      <c r="BL480" s="1"/>
      <c r="BM480" s="1"/>
      <c r="BN480" s="1"/>
      <c r="BO480" s="1" t="s">
        <v>9145</v>
      </c>
      <c r="BP480" s="1" t="str">
        <f>HYPERLINK("https://nconnect.nicmar.ac.in/storage/profile/ProfilePhoto_P25700436_561982.jpg","Download")</f>
        <v>0</v>
      </c>
      <c r="BQ480" s="3"/>
      <c r="BR480" s="3"/>
    </row>
    <row r="481" spans="1:70">
      <c r="A481" s="1" t="s">
        <v>70</v>
      </c>
      <c r="B481" s="1" t="s">
        <v>1269</v>
      </c>
      <c r="C481" s="1" t="s">
        <v>9146</v>
      </c>
      <c r="D481" s="1" t="s">
        <v>9147</v>
      </c>
      <c r="E481" s="1" t="s">
        <v>9148</v>
      </c>
      <c r="F481" s="1" t="s">
        <v>9149</v>
      </c>
      <c r="G481" s="1" t="s">
        <v>9150</v>
      </c>
      <c r="H481" s="1" t="s">
        <v>9151</v>
      </c>
      <c r="I481" s="1" t="s">
        <v>9152</v>
      </c>
      <c r="J481" s="1">
        <v>9604493618</v>
      </c>
      <c r="K481" s="1" t="s">
        <v>79</v>
      </c>
      <c r="L481" s="1" t="s">
        <v>9153</v>
      </c>
      <c r="M481" s="1" t="s">
        <v>81</v>
      </c>
      <c r="N481" s="1" t="s">
        <v>9154</v>
      </c>
      <c r="O481" s="1"/>
      <c r="P481" s="1" t="s">
        <v>1278</v>
      </c>
      <c r="Q481" s="1" t="s">
        <v>9155</v>
      </c>
      <c r="R481" s="1" t="s">
        <v>9148</v>
      </c>
      <c r="S481" s="1">
        <v>9168085461</v>
      </c>
      <c r="T481" s="1" t="s">
        <v>154</v>
      </c>
      <c r="U481" s="1" t="s">
        <v>9156</v>
      </c>
      <c r="V481" s="1">
        <v>8317272994</v>
      </c>
      <c r="W481" s="1" t="s">
        <v>156</v>
      </c>
      <c r="X481" s="1" t="s">
        <v>9157</v>
      </c>
      <c r="Y481" s="1" t="s">
        <v>766</v>
      </c>
      <c r="Z481" s="1" t="s">
        <v>92</v>
      </c>
      <c r="AA481" s="1" t="s">
        <v>9157</v>
      </c>
      <c r="AB481" s="1" t="s">
        <v>766</v>
      </c>
      <c r="AC481" s="1" t="s">
        <v>92</v>
      </c>
      <c r="AD481" s="1">
        <v>9.02</v>
      </c>
      <c r="AE481" s="1" t="s">
        <v>93</v>
      </c>
      <c r="AF481" s="1" t="s">
        <v>9158</v>
      </c>
      <c r="AG481" s="1" t="s">
        <v>476</v>
      </c>
      <c r="AH481" s="1" t="s">
        <v>161</v>
      </c>
      <c r="AI481" s="1" t="s">
        <v>162</v>
      </c>
      <c r="AJ481" s="1">
        <v>82.4</v>
      </c>
      <c r="AK481" s="1"/>
      <c r="AL481" s="1"/>
      <c r="AM481" s="1"/>
      <c r="AN481" s="1"/>
      <c r="AO481" s="1"/>
      <c r="AP481" s="1"/>
      <c r="AQ481" s="1"/>
      <c r="AR481" s="1" t="s">
        <v>434</v>
      </c>
      <c r="AS481" s="1" t="s">
        <v>9159</v>
      </c>
      <c r="AT481" s="1" t="s">
        <v>134</v>
      </c>
      <c r="AU481" s="1" t="s">
        <v>433</v>
      </c>
      <c r="AV481" s="1">
        <v>59.39</v>
      </c>
      <c r="AW481" s="1"/>
      <c r="AX481" s="1" t="s">
        <v>253</v>
      </c>
      <c r="AY481" s="1" t="s">
        <v>9160</v>
      </c>
      <c r="AZ481" s="1" t="s">
        <v>201</v>
      </c>
      <c r="BA481" s="1" t="s">
        <v>1003</v>
      </c>
      <c r="BB481" s="1">
        <v>68.2</v>
      </c>
      <c r="BC481" s="1"/>
      <c r="BD481" s="1"/>
      <c r="BE481" s="1"/>
      <c r="BF481" s="1"/>
      <c r="BG481" s="1"/>
      <c r="BH481" s="1"/>
      <c r="BI481" s="1"/>
      <c r="BJ481" s="1" t="s">
        <v>7913</v>
      </c>
      <c r="BK481" s="1" t="s">
        <v>9161</v>
      </c>
      <c r="BL481" s="1" t="s">
        <v>1497</v>
      </c>
      <c r="BM481" s="1" t="s">
        <v>9162</v>
      </c>
      <c r="BN481" s="1">
        <v>27</v>
      </c>
      <c r="BO481" s="1" t="s">
        <v>9163</v>
      </c>
      <c r="BP481" s="1" t="str">
        <f>HYPERLINK("https://nconnect.nicmar.ac.in/storage/profile/6a60b9b9a8f6d.png","Download")</f>
        <v>0</v>
      </c>
      <c r="BQ481" s="3"/>
      <c r="BR481" s="3"/>
    </row>
    <row r="482" spans="1:70">
      <c r="A482" s="1" t="s">
        <v>70</v>
      </c>
      <c r="B482" s="1" t="s">
        <v>1269</v>
      </c>
      <c r="C482" s="1" t="s">
        <v>9164</v>
      </c>
      <c r="D482" s="1" t="s">
        <v>4014</v>
      </c>
      <c r="E482" s="1"/>
      <c r="F482" s="1" t="s">
        <v>3843</v>
      </c>
      <c r="G482" s="1" t="s">
        <v>9165</v>
      </c>
      <c r="H482" s="1" t="s">
        <v>9166</v>
      </c>
      <c r="I482" s="1" t="s">
        <v>9167</v>
      </c>
      <c r="J482" s="1">
        <v>9067577085</v>
      </c>
      <c r="K482" s="1" t="s">
        <v>148</v>
      </c>
      <c r="L482" s="1" t="s">
        <v>9168</v>
      </c>
      <c r="M482" s="1" t="s">
        <v>81</v>
      </c>
      <c r="N482" s="1" t="s">
        <v>1618</v>
      </c>
      <c r="O482" s="1"/>
      <c r="P482" s="1" t="s">
        <v>1278</v>
      </c>
      <c r="Q482" s="1" t="s">
        <v>9169</v>
      </c>
      <c r="R482" s="1" t="s">
        <v>9170</v>
      </c>
      <c r="S482" s="1">
        <v>9765309777</v>
      </c>
      <c r="T482" s="1" t="s">
        <v>763</v>
      </c>
      <c r="U482" s="1" t="s">
        <v>9171</v>
      </c>
      <c r="V482" s="1">
        <v>8421821114</v>
      </c>
      <c r="W482" s="1" t="s">
        <v>156</v>
      </c>
      <c r="X482" s="1" t="s">
        <v>9172</v>
      </c>
      <c r="Y482" s="1" t="s">
        <v>91</v>
      </c>
      <c r="Z482" s="1" t="s">
        <v>92</v>
      </c>
      <c r="AA482" s="1" t="s">
        <v>9173</v>
      </c>
      <c r="AB482" s="1" t="s">
        <v>91</v>
      </c>
      <c r="AC482" s="1" t="s">
        <v>92</v>
      </c>
      <c r="AD482" s="1">
        <v>8.36</v>
      </c>
      <c r="AE482" s="1" t="s">
        <v>93</v>
      </c>
      <c r="AF482" s="1" t="s">
        <v>6899</v>
      </c>
      <c r="AG482" s="1" t="s">
        <v>9174</v>
      </c>
      <c r="AH482" s="1" t="s">
        <v>101</v>
      </c>
      <c r="AI482" s="1" t="s">
        <v>308</v>
      </c>
      <c r="AJ482" s="1">
        <v>87</v>
      </c>
      <c r="AK482" s="1">
        <v>0</v>
      </c>
      <c r="AL482" s="1" t="s">
        <v>9175</v>
      </c>
      <c r="AM482" s="1" t="s">
        <v>160</v>
      </c>
      <c r="AN482" s="1" t="s">
        <v>699</v>
      </c>
      <c r="AO482" s="1" t="s">
        <v>1712</v>
      </c>
      <c r="AP482" s="1">
        <v>94.33</v>
      </c>
      <c r="AQ482" s="1">
        <v>0</v>
      </c>
      <c r="AR482" s="1"/>
      <c r="AS482" s="1"/>
      <c r="AT482" s="1"/>
      <c r="AU482" s="1"/>
      <c r="AV482" s="1"/>
      <c r="AW482" s="1"/>
      <c r="AX482" s="1" t="s">
        <v>6902</v>
      </c>
      <c r="AY482" s="1" t="s">
        <v>6903</v>
      </c>
      <c r="AZ482" s="1" t="s">
        <v>897</v>
      </c>
      <c r="BA482" s="1" t="s">
        <v>1714</v>
      </c>
      <c r="BB482" s="1">
        <v>78.18</v>
      </c>
      <c r="BC482" s="1">
        <v>7.75</v>
      </c>
      <c r="BD482" s="1"/>
      <c r="BE482" s="1"/>
      <c r="BF482" s="1"/>
      <c r="BG482" s="1"/>
      <c r="BH482" s="1"/>
      <c r="BI482" s="1"/>
      <c r="BJ482" s="1" t="s">
        <v>4493</v>
      </c>
      <c r="BK482" s="1"/>
      <c r="BL482" s="1"/>
      <c r="BM482" s="1" t="s">
        <v>9176</v>
      </c>
      <c r="BN482" s="1">
        <v>5</v>
      </c>
      <c r="BO482" s="1"/>
      <c r="BP482" s="1" t="str">
        <f>HYPERLINK("https://nconnect.nicmar.ac.in/storage/profile/ProfilePhoto_P25700438_752491.jpg","Download")</f>
        <v>0</v>
      </c>
      <c r="BQ482" s="3"/>
      <c r="BR482" s="3"/>
    </row>
    <row r="483" spans="1:70">
      <c r="A483" s="1" t="s">
        <v>70</v>
      </c>
      <c r="B483" s="1" t="s">
        <v>1269</v>
      </c>
      <c r="C483" s="1" t="s">
        <v>9177</v>
      </c>
      <c r="D483" s="1" t="s">
        <v>9178</v>
      </c>
      <c r="E483" s="1" t="s">
        <v>1566</v>
      </c>
      <c r="F483" s="1" t="s">
        <v>142</v>
      </c>
      <c r="G483" s="1" t="s">
        <v>9179</v>
      </c>
      <c r="H483" s="1" t="s">
        <v>9180</v>
      </c>
      <c r="I483" s="1" t="s">
        <v>9181</v>
      </c>
      <c r="J483" s="1">
        <v>9356632434</v>
      </c>
      <c r="K483" s="1" t="s">
        <v>148</v>
      </c>
      <c r="L483" s="1" t="s">
        <v>9182</v>
      </c>
      <c r="M483" s="1" t="s">
        <v>81</v>
      </c>
      <c r="N483" s="1" t="s">
        <v>1418</v>
      </c>
      <c r="O483" s="1"/>
      <c r="P483" s="1" t="s">
        <v>1298</v>
      </c>
      <c r="Q483" s="1" t="s">
        <v>9183</v>
      </c>
      <c r="R483" s="1" t="s">
        <v>1566</v>
      </c>
      <c r="S483" s="1">
        <v>8605104257</v>
      </c>
      <c r="T483" s="1" t="s">
        <v>87</v>
      </c>
      <c r="U483" s="1" t="s">
        <v>6618</v>
      </c>
      <c r="V483" s="1">
        <v>8888704257</v>
      </c>
      <c r="W483" s="1" t="s">
        <v>4619</v>
      </c>
      <c r="X483" s="1" t="s">
        <v>9184</v>
      </c>
      <c r="Y483" s="1" t="s">
        <v>1886</v>
      </c>
      <c r="Z483" s="1" t="s">
        <v>92</v>
      </c>
      <c r="AA483" s="1" t="s">
        <v>9184</v>
      </c>
      <c r="AB483" s="1" t="s">
        <v>1886</v>
      </c>
      <c r="AC483" s="1" t="s">
        <v>92</v>
      </c>
      <c r="AD483" s="1">
        <v>9.18</v>
      </c>
      <c r="AE483" s="1" t="s">
        <v>93</v>
      </c>
      <c r="AF483" s="1" t="s">
        <v>9185</v>
      </c>
      <c r="AG483" s="1" t="s">
        <v>9186</v>
      </c>
      <c r="AH483" s="1" t="s">
        <v>101</v>
      </c>
      <c r="AI483" s="1" t="s">
        <v>409</v>
      </c>
      <c r="AJ483" s="1">
        <v>94.6</v>
      </c>
      <c r="AK483" s="1"/>
      <c r="AL483" s="1" t="s">
        <v>9187</v>
      </c>
      <c r="AM483" s="1" t="s">
        <v>9186</v>
      </c>
      <c r="AN483" s="1" t="s">
        <v>699</v>
      </c>
      <c r="AO483" s="1" t="s">
        <v>504</v>
      </c>
      <c r="AP483" s="1">
        <v>94.83</v>
      </c>
      <c r="AQ483" s="1"/>
      <c r="AR483" s="1"/>
      <c r="AS483" s="1"/>
      <c r="AT483" s="1"/>
      <c r="AU483" s="1"/>
      <c r="AV483" s="1"/>
      <c r="AW483" s="1"/>
      <c r="AX483" s="1" t="s">
        <v>1891</v>
      </c>
      <c r="AY483" s="1" t="s">
        <v>9188</v>
      </c>
      <c r="AZ483" s="1" t="s">
        <v>363</v>
      </c>
      <c r="BA483" s="1" t="s">
        <v>1714</v>
      </c>
      <c r="BB483" s="1">
        <v>65.3</v>
      </c>
      <c r="BC483" s="1">
        <v>7.28</v>
      </c>
      <c r="BD483" s="1"/>
      <c r="BE483" s="1"/>
      <c r="BF483" s="1"/>
      <c r="BG483" s="1"/>
      <c r="BH483" s="1"/>
      <c r="BI483" s="1"/>
      <c r="BJ483" s="1" t="s">
        <v>9189</v>
      </c>
      <c r="BK483" s="1"/>
      <c r="BL483" s="1"/>
      <c r="BM483" s="1" t="s">
        <v>9190</v>
      </c>
      <c r="BN483" s="1">
        <v>15</v>
      </c>
      <c r="BO483" s="1" t="s">
        <v>5608</v>
      </c>
      <c r="BP483" s="1" t="str">
        <f>HYPERLINK("https://nconnect.nicmar.ac.in/storage/profile/ProfilePhoto_P25700439_567421.jpg","Download")</f>
        <v>0</v>
      </c>
      <c r="BQ483" s="3"/>
      <c r="BR483" s="3"/>
    </row>
    <row r="484" spans="1:70">
      <c r="A484" s="1" t="s">
        <v>70</v>
      </c>
      <c r="B484" s="1" t="s">
        <v>1269</v>
      </c>
      <c r="C484" s="1" t="s">
        <v>9191</v>
      </c>
      <c r="D484" s="1" t="s">
        <v>9192</v>
      </c>
      <c r="E484" s="1" t="s">
        <v>6294</v>
      </c>
      <c r="F484" s="1" t="s">
        <v>9193</v>
      </c>
      <c r="G484" s="1" t="s">
        <v>9194</v>
      </c>
      <c r="H484" s="1" t="s">
        <v>9195</v>
      </c>
      <c r="I484" s="1" t="s">
        <v>9196</v>
      </c>
      <c r="J484" s="1">
        <v>8788588413</v>
      </c>
      <c r="K484" s="1" t="s">
        <v>148</v>
      </c>
      <c r="L484" s="1" t="s">
        <v>9197</v>
      </c>
      <c r="M484" s="1" t="s">
        <v>81</v>
      </c>
      <c r="N484" s="1" t="s">
        <v>860</v>
      </c>
      <c r="O484" s="1"/>
      <c r="P484" s="1" t="s">
        <v>1323</v>
      </c>
      <c r="Q484" s="1" t="s">
        <v>9198</v>
      </c>
      <c r="R484" s="1" t="s">
        <v>9199</v>
      </c>
      <c r="S484" s="1">
        <v>9096930712</v>
      </c>
      <c r="T484" s="1" t="s">
        <v>763</v>
      </c>
      <c r="U484" s="1" t="s">
        <v>9200</v>
      </c>
      <c r="V484" s="1">
        <v>9987173686</v>
      </c>
      <c r="W484" s="1" t="s">
        <v>763</v>
      </c>
      <c r="X484" s="1" t="s">
        <v>9201</v>
      </c>
      <c r="Y484" s="1" t="s">
        <v>5064</v>
      </c>
      <c r="Z484" s="1" t="s">
        <v>92</v>
      </c>
      <c r="AA484" s="1" t="s">
        <v>9202</v>
      </c>
      <c r="AB484" s="1" t="s">
        <v>5064</v>
      </c>
      <c r="AC484" s="1" t="s">
        <v>92</v>
      </c>
      <c r="AD484" s="1">
        <v>8.23</v>
      </c>
      <c r="AE484" s="1" t="s">
        <v>93</v>
      </c>
      <c r="AF484" s="1" t="s">
        <v>9203</v>
      </c>
      <c r="AG484" s="1" t="s">
        <v>9204</v>
      </c>
      <c r="AH484" s="1" t="s">
        <v>456</v>
      </c>
      <c r="AI484" s="1" t="s">
        <v>195</v>
      </c>
      <c r="AJ484" s="1">
        <v>76.4</v>
      </c>
      <c r="AK484" s="1">
        <v>8.4</v>
      </c>
      <c r="AL484" s="1"/>
      <c r="AM484" s="1"/>
      <c r="AN484" s="1"/>
      <c r="AO484" s="1"/>
      <c r="AP484" s="1"/>
      <c r="AQ484" s="1"/>
      <c r="AR484" s="1" t="s">
        <v>98</v>
      </c>
      <c r="AS484" s="1" t="s">
        <v>9205</v>
      </c>
      <c r="AT484" s="1" t="s">
        <v>310</v>
      </c>
      <c r="AU484" s="1" t="s">
        <v>481</v>
      </c>
      <c r="AV484" s="1">
        <v>80.89</v>
      </c>
      <c r="AW484" s="1">
        <v>8.51</v>
      </c>
      <c r="AX484" s="1" t="s">
        <v>1024</v>
      </c>
      <c r="AY484" s="1" t="s">
        <v>9205</v>
      </c>
      <c r="AZ484" s="1" t="s">
        <v>105</v>
      </c>
      <c r="BA484" s="1" t="s">
        <v>1361</v>
      </c>
      <c r="BB484" s="1">
        <v>73.48</v>
      </c>
      <c r="BC484" s="1">
        <v>8.33</v>
      </c>
      <c r="BD484" s="1"/>
      <c r="BE484" s="1"/>
      <c r="BF484" s="1"/>
      <c r="BG484" s="1"/>
      <c r="BH484" s="1"/>
      <c r="BI484" s="1"/>
      <c r="BJ484" s="1" t="s">
        <v>9206</v>
      </c>
      <c r="BK484" s="1"/>
      <c r="BL484" s="1"/>
      <c r="BM484" s="1" t="s">
        <v>9207</v>
      </c>
      <c r="BN484" s="1">
        <v>8</v>
      </c>
      <c r="BO484" s="1" t="s">
        <v>9208</v>
      </c>
      <c r="BP484" s="1" t="str">
        <f>HYPERLINK("https://nconnect.nicmar.ac.in/storage/profile/ProfilePhoto_P25700440_435897.jpg","Download")</f>
        <v>0</v>
      </c>
      <c r="BQ484" s="3"/>
      <c r="BR484" s="3"/>
    </row>
    <row r="485" spans="1:70">
      <c r="A485" s="1" t="s">
        <v>70</v>
      </c>
      <c r="B485" s="1" t="s">
        <v>1269</v>
      </c>
      <c r="C485" s="1" t="s">
        <v>9209</v>
      </c>
      <c r="D485" s="1" t="s">
        <v>1680</v>
      </c>
      <c r="E485" s="1"/>
      <c r="F485" s="1" t="s">
        <v>9210</v>
      </c>
      <c r="G485" s="1" t="s">
        <v>9211</v>
      </c>
      <c r="H485" s="1" t="s">
        <v>9212</v>
      </c>
      <c r="I485" s="1" t="s">
        <v>9213</v>
      </c>
      <c r="J485" s="1">
        <v>6303397745</v>
      </c>
      <c r="K485" s="1" t="s">
        <v>79</v>
      </c>
      <c r="L485" s="1" t="s">
        <v>9214</v>
      </c>
      <c r="M485" s="1" t="s">
        <v>81</v>
      </c>
      <c r="N485" s="1" t="s">
        <v>9215</v>
      </c>
      <c r="O485" s="1"/>
      <c r="P485" s="1" t="s">
        <v>1278</v>
      </c>
      <c r="Q485" s="1" t="s">
        <v>9216</v>
      </c>
      <c r="R485" s="1" t="s">
        <v>9217</v>
      </c>
      <c r="S485" s="1">
        <v>8309682167</v>
      </c>
      <c r="T485" s="1" t="s">
        <v>4566</v>
      </c>
      <c r="U485" s="1" t="s">
        <v>9218</v>
      </c>
      <c r="V485" s="1">
        <v>7013296229</v>
      </c>
      <c r="W485" s="1" t="s">
        <v>651</v>
      </c>
      <c r="X485" s="1" t="s">
        <v>9219</v>
      </c>
      <c r="Y485" s="1" t="s">
        <v>4621</v>
      </c>
      <c r="Z485" s="1" t="s">
        <v>276</v>
      </c>
      <c r="AA485" s="1" t="s">
        <v>9220</v>
      </c>
      <c r="AB485" s="1" t="s">
        <v>4621</v>
      </c>
      <c r="AC485" s="1" t="s">
        <v>276</v>
      </c>
      <c r="AD485" s="1">
        <v>8.77</v>
      </c>
      <c r="AE485" s="1" t="s">
        <v>93</v>
      </c>
      <c r="AF485" s="1" t="s">
        <v>501</v>
      </c>
      <c r="AG485" s="1" t="s">
        <v>9221</v>
      </c>
      <c r="AH485" s="1" t="s">
        <v>165</v>
      </c>
      <c r="AI485" s="1" t="s">
        <v>101</v>
      </c>
      <c r="AJ485" s="1">
        <v>79.4</v>
      </c>
      <c r="AK485" s="1"/>
      <c r="AL485" s="1" t="s">
        <v>5366</v>
      </c>
      <c r="AM485" s="1" t="s">
        <v>9222</v>
      </c>
      <c r="AN485" s="1" t="s">
        <v>433</v>
      </c>
      <c r="AO485" s="1" t="s">
        <v>699</v>
      </c>
      <c r="AP485" s="1">
        <v>66.6</v>
      </c>
      <c r="AQ485" s="1"/>
      <c r="AR485" s="1"/>
      <c r="AS485" s="1"/>
      <c r="AT485" s="1"/>
      <c r="AU485" s="1"/>
      <c r="AV485" s="1"/>
      <c r="AW485" s="1"/>
      <c r="AX485" s="1" t="s">
        <v>5368</v>
      </c>
      <c r="AY485" s="1" t="s">
        <v>9223</v>
      </c>
      <c r="AZ485" s="1" t="s">
        <v>173</v>
      </c>
      <c r="BA485" s="1" t="s">
        <v>202</v>
      </c>
      <c r="BB485" s="1">
        <v>63.5</v>
      </c>
      <c r="BC485" s="1">
        <v>7.1</v>
      </c>
      <c r="BD485" s="1"/>
      <c r="BE485" s="1"/>
      <c r="BF485" s="1"/>
      <c r="BG485" s="1"/>
      <c r="BH485" s="1"/>
      <c r="BI485" s="1"/>
      <c r="BJ485" s="1" t="s">
        <v>9224</v>
      </c>
      <c r="BK485" s="1" t="s">
        <v>9225</v>
      </c>
      <c r="BL485" s="1" t="s">
        <v>639</v>
      </c>
      <c r="BM485" s="1" t="s">
        <v>9226</v>
      </c>
      <c r="BN485" s="1">
        <v>9</v>
      </c>
      <c r="BO485" s="1"/>
      <c r="BP485" s="1" t="str">
        <f>HYPERLINK("https://nconnect.nicmar.ac.in/storage/profile/ProfilePhoto_P25700441_579146.jpg","Download")</f>
        <v>0</v>
      </c>
      <c r="BQ485" s="3"/>
      <c r="BR485" s="3"/>
    </row>
    <row r="486" spans="1:70">
      <c r="A486" s="1" t="s">
        <v>70</v>
      </c>
      <c r="B486" s="1" t="s">
        <v>1269</v>
      </c>
      <c r="C486" s="1" t="s">
        <v>9227</v>
      </c>
      <c r="D486" s="1" t="s">
        <v>452</v>
      </c>
      <c r="E486" s="1" t="s">
        <v>8300</v>
      </c>
      <c r="F486" s="1" t="s">
        <v>9228</v>
      </c>
      <c r="G486" s="1" t="s">
        <v>9229</v>
      </c>
      <c r="H486" s="1" t="s">
        <v>9230</v>
      </c>
      <c r="I486" s="1" t="s">
        <v>9231</v>
      </c>
      <c r="J486" s="1">
        <v>9324044109</v>
      </c>
      <c r="K486" s="1" t="s">
        <v>148</v>
      </c>
      <c r="L486" s="1" t="s">
        <v>6927</v>
      </c>
      <c r="M486" s="1" t="s">
        <v>81</v>
      </c>
      <c r="N486" s="1" t="s">
        <v>1418</v>
      </c>
      <c r="O486" s="1"/>
      <c r="P486" s="1" t="s">
        <v>1298</v>
      </c>
      <c r="Q486" s="1" t="s">
        <v>9232</v>
      </c>
      <c r="R486" s="1" t="s">
        <v>9233</v>
      </c>
      <c r="S486" s="1">
        <v>9405856999</v>
      </c>
      <c r="T486" s="1" t="s">
        <v>154</v>
      </c>
      <c r="U486" s="1" t="s">
        <v>9234</v>
      </c>
      <c r="V486" s="1">
        <v>9921163311</v>
      </c>
      <c r="W486" s="1" t="s">
        <v>156</v>
      </c>
      <c r="X486" s="1" t="s">
        <v>9235</v>
      </c>
      <c r="Y486" s="1" t="s">
        <v>1886</v>
      </c>
      <c r="Z486" s="1" t="s">
        <v>92</v>
      </c>
      <c r="AA486" s="1" t="s">
        <v>9235</v>
      </c>
      <c r="AB486" s="1" t="s">
        <v>1886</v>
      </c>
      <c r="AC486" s="1" t="s">
        <v>92</v>
      </c>
      <c r="AD486" s="1">
        <v>8.69</v>
      </c>
      <c r="AE486" s="1" t="s">
        <v>93</v>
      </c>
      <c r="AF486" s="1" t="s">
        <v>6815</v>
      </c>
      <c r="AG486" s="1" t="s">
        <v>9236</v>
      </c>
      <c r="AH486" s="1" t="s">
        <v>101</v>
      </c>
      <c r="AI486" s="1" t="s">
        <v>433</v>
      </c>
      <c r="AJ486" s="1">
        <v>75.6</v>
      </c>
      <c r="AK486" s="1">
        <v>7.95</v>
      </c>
      <c r="AL486" s="1" t="s">
        <v>9237</v>
      </c>
      <c r="AM486" s="1" t="s">
        <v>476</v>
      </c>
      <c r="AN486" s="1" t="s">
        <v>173</v>
      </c>
      <c r="AO486" s="1" t="s">
        <v>436</v>
      </c>
      <c r="AP486" s="1">
        <v>92.83</v>
      </c>
      <c r="AQ486" s="1">
        <v>9.77</v>
      </c>
      <c r="AR486" s="1"/>
      <c r="AS486" s="1"/>
      <c r="AT486" s="1"/>
      <c r="AU486" s="1"/>
      <c r="AV486" s="1"/>
      <c r="AW486" s="1"/>
      <c r="AX486" s="1" t="s">
        <v>9238</v>
      </c>
      <c r="AY486" s="1" t="s">
        <v>9239</v>
      </c>
      <c r="AZ486" s="1" t="s">
        <v>436</v>
      </c>
      <c r="BA486" s="1" t="s">
        <v>1584</v>
      </c>
      <c r="BB486" s="1">
        <v>86.9</v>
      </c>
      <c r="BC486" s="1">
        <v>8.69</v>
      </c>
      <c r="BD486" s="1"/>
      <c r="BE486" s="1"/>
      <c r="BF486" s="1"/>
      <c r="BG486" s="1"/>
      <c r="BH486" s="1"/>
      <c r="BI486" s="1"/>
      <c r="BJ486" s="1" t="s">
        <v>9240</v>
      </c>
      <c r="BK486" s="1"/>
      <c r="BL486" s="1"/>
      <c r="BM486" s="1" t="s">
        <v>9241</v>
      </c>
      <c r="BN486" s="1">
        <v>27</v>
      </c>
      <c r="BO486" s="1" t="s">
        <v>9242</v>
      </c>
      <c r="BP486" s="1" t="str">
        <f>HYPERLINK("https://nconnect.nicmar.ac.in/storage/profile/ProfilePhoto_P25700442_698427.jpg","Download")</f>
        <v>0</v>
      </c>
      <c r="BQ486" s="3"/>
      <c r="BR486" s="3"/>
    </row>
    <row r="487" spans="1:70">
      <c r="A487" s="1" t="s">
        <v>70</v>
      </c>
      <c r="B487" s="1" t="s">
        <v>1269</v>
      </c>
      <c r="C487" s="1" t="s">
        <v>9243</v>
      </c>
      <c r="D487" s="1" t="s">
        <v>793</v>
      </c>
      <c r="E487" s="1" t="s">
        <v>9244</v>
      </c>
      <c r="F487" s="1" t="s">
        <v>2024</v>
      </c>
      <c r="G487" s="1" t="s">
        <v>9245</v>
      </c>
      <c r="H487" s="1" t="s">
        <v>9246</v>
      </c>
      <c r="I487" s="1" t="s">
        <v>9247</v>
      </c>
      <c r="J487" s="1">
        <v>7507570459</v>
      </c>
      <c r="K487" s="1" t="s">
        <v>79</v>
      </c>
      <c r="L487" s="1" t="s">
        <v>9248</v>
      </c>
      <c r="M487" s="1" t="s">
        <v>81</v>
      </c>
      <c r="N487" s="1" t="s">
        <v>860</v>
      </c>
      <c r="O487" s="1"/>
      <c r="P487" s="1" t="s">
        <v>1766</v>
      </c>
      <c r="Q487" s="1" t="s">
        <v>9249</v>
      </c>
      <c r="R487" s="1" t="s">
        <v>9250</v>
      </c>
      <c r="S487" s="1">
        <v>8830014225</v>
      </c>
      <c r="T487" s="1" t="s">
        <v>154</v>
      </c>
      <c r="U487" s="1" t="s">
        <v>4712</v>
      </c>
      <c r="V487" s="1">
        <v>9767991960</v>
      </c>
      <c r="W487" s="1" t="s">
        <v>156</v>
      </c>
      <c r="X487" s="1" t="s">
        <v>9251</v>
      </c>
      <c r="Y487" s="1" t="s">
        <v>304</v>
      </c>
      <c r="Z487" s="1" t="s">
        <v>92</v>
      </c>
      <c r="AA487" s="1" t="s">
        <v>9251</v>
      </c>
      <c r="AB487" s="1" t="s">
        <v>304</v>
      </c>
      <c r="AC487" s="1" t="s">
        <v>92</v>
      </c>
      <c r="AD487" s="1">
        <v>8.77</v>
      </c>
      <c r="AE487" s="1" t="s">
        <v>93</v>
      </c>
      <c r="AF487" s="1" t="s">
        <v>9252</v>
      </c>
      <c r="AG487" s="1" t="s">
        <v>307</v>
      </c>
      <c r="AH487" s="1" t="s">
        <v>162</v>
      </c>
      <c r="AI487" s="1" t="s">
        <v>165</v>
      </c>
      <c r="AJ487" s="1">
        <v>79.8</v>
      </c>
      <c r="AK487" s="1">
        <v>8.4</v>
      </c>
      <c r="AL487" s="1" t="s">
        <v>9252</v>
      </c>
      <c r="AM487" s="1" t="s">
        <v>307</v>
      </c>
      <c r="AN487" s="1" t="s">
        <v>166</v>
      </c>
      <c r="AO487" s="1" t="s">
        <v>308</v>
      </c>
      <c r="AP487" s="1">
        <v>56</v>
      </c>
      <c r="AQ487" s="1"/>
      <c r="AR487" s="1" t="s">
        <v>98</v>
      </c>
      <c r="AS487" s="1" t="s">
        <v>9253</v>
      </c>
      <c r="AT487" s="1" t="s">
        <v>201</v>
      </c>
      <c r="AU487" s="1" t="s">
        <v>1051</v>
      </c>
      <c r="AV487" s="1">
        <v>90.89</v>
      </c>
      <c r="AW487" s="1"/>
      <c r="AX487" s="1" t="s">
        <v>361</v>
      </c>
      <c r="AY487" s="1" t="s">
        <v>9254</v>
      </c>
      <c r="AZ487" s="1" t="s">
        <v>897</v>
      </c>
      <c r="BA487" s="1" t="s">
        <v>202</v>
      </c>
      <c r="BB487" s="1">
        <v>68.7</v>
      </c>
      <c r="BC487" s="1">
        <v>7.72</v>
      </c>
      <c r="BD487" s="1"/>
      <c r="BE487" s="1"/>
      <c r="BF487" s="1"/>
      <c r="BG487" s="1"/>
      <c r="BH487" s="1"/>
      <c r="BI487" s="1"/>
      <c r="BJ487" s="1" t="s">
        <v>9255</v>
      </c>
      <c r="BK487" s="1"/>
      <c r="BL487" s="1"/>
      <c r="BM487" s="1" t="s">
        <v>9256</v>
      </c>
      <c r="BN487" s="1">
        <v>51</v>
      </c>
      <c r="BO487" s="1"/>
      <c r="BP487" s="1" t="str">
        <f>HYPERLINK("https://nconnect.nicmar.ac.in/storage/profile/ProfilePhoto_P25700443_397648.jpg","Download")</f>
        <v>0</v>
      </c>
      <c r="BQ487" s="3"/>
      <c r="BR487" s="3"/>
    </row>
    <row r="488" spans="1:70">
      <c r="A488" s="1" t="s">
        <v>70</v>
      </c>
      <c r="B488" s="1" t="s">
        <v>1269</v>
      </c>
      <c r="C488" s="1" t="s">
        <v>9257</v>
      </c>
      <c r="D488" s="1" t="s">
        <v>9258</v>
      </c>
      <c r="E488" s="1"/>
      <c r="F488" s="1" t="s">
        <v>2128</v>
      </c>
      <c r="G488" s="1" t="s">
        <v>9259</v>
      </c>
      <c r="H488" s="1" t="s">
        <v>9260</v>
      </c>
      <c r="I488" s="1" t="s">
        <v>9261</v>
      </c>
      <c r="J488" s="1">
        <v>7358012493</v>
      </c>
      <c r="K488" s="1" t="s">
        <v>79</v>
      </c>
      <c r="L488" s="1" t="s">
        <v>9262</v>
      </c>
      <c r="M488" s="1" t="s">
        <v>81</v>
      </c>
      <c r="N488" s="1" t="s">
        <v>2857</v>
      </c>
      <c r="O488" s="1"/>
      <c r="P488" s="1" t="s">
        <v>1462</v>
      </c>
      <c r="Q488" s="1" t="s">
        <v>9263</v>
      </c>
      <c r="R488" s="1" t="s">
        <v>9264</v>
      </c>
      <c r="S488" s="1">
        <v>7337392771</v>
      </c>
      <c r="T488" s="1" t="s">
        <v>87</v>
      </c>
      <c r="U488" s="1" t="s">
        <v>9265</v>
      </c>
      <c r="V488" s="1">
        <v>7358297076</v>
      </c>
      <c r="W488" s="1" t="s">
        <v>9266</v>
      </c>
      <c r="X488" s="1" t="s">
        <v>9267</v>
      </c>
      <c r="Y488" s="1" t="s">
        <v>5012</v>
      </c>
      <c r="Z488" s="1" t="s">
        <v>1377</v>
      </c>
      <c r="AA488" s="1" t="s">
        <v>9267</v>
      </c>
      <c r="AB488" s="1" t="s">
        <v>5012</v>
      </c>
      <c r="AC488" s="1" t="s">
        <v>1377</v>
      </c>
      <c r="AD488" s="1">
        <v>7.54</v>
      </c>
      <c r="AE488" s="1" t="s">
        <v>93</v>
      </c>
      <c r="AF488" s="1" t="s">
        <v>9268</v>
      </c>
      <c r="AG488" s="1" t="s">
        <v>9269</v>
      </c>
      <c r="AH488" s="1" t="s">
        <v>101</v>
      </c>
      <c r="AI488" s="1" t="s">
        <v>409</v>
      </c>
      <c r="AJ488" s="1">
        <v>64.2</v>
      </c>
      <c r="AK488" s="1"/>
      <c r="AL488" s="1"/>
      <c r="AM488" s="1"/>
      <c r="AN488" s="1"/>
      <c r="AO488" s="1"/>
      <c r="AP488" s="1"/>
      <c r="AQ488" s="1"/>
      <c r="AR488" s="1" t="s">
        <v>434</v>
      </c>
      <c r="AS488" s="1" t="s">
        <v>9270</v>
      </c>
      <c r="AT488" s="1" t="s">
        <v>433</v>
      </c>
      <c r="AU488" s="1" t="s">
        <v>1003</v>
      </c>
      <c r="AV488" s="1">
        <v>85</v>
      </c>
      <c r="AW488" s="1"/>
      <c r="AX488" s="1" t="s">
        <v>1381</v>
      </c>
      <c r="AY488" s="1" t="s">
        <v>9271</v>
      </c>
      <c r="AZ488" s="1" t="s">
        <v>284</v>
      </c>
      <c r="BA488" s="1" t="s">
        <v>1361</v>
      </c>
      <c r="BB488" s="1">
        <v>68.3</v>
      </c>
      <c r="BC488" s="1">
        <v>6.83</v>
      </c>
      <c r="BD488" s="1"/>
      <c r="BE488" s="1"/>
      <c r="BF488" s="1"/>
      <c r="BG488" s="1"/>
      <c r="BH488" s="1"/>
      <c r="BI488" s="1"/>
      <c r="BJ488" s="1" t="s">
        <v>364</v>
      </c>
      <c r="BK488" s="1"/>
      <c r="BL488" s="1"/>
      <c r="BM488" s="1" t="s">
        <v>9272</v>
      </c>
      <c r="BN488" s="1">
        <v>7</v>
      </c>
      <c r="BO488" s="1"/>
      <c r="BP488" s="1" t="str">
        <f>HYPERLINK("https://nconnect.nicmar.ac.in/storage/profile/ProfilePhoto_P25700444_392578.jpg","Download")</f>
        <v>0</v>
      </c>
      <c r="BQ488" s="3"/>
      <c r="BR488" s="3"/>
    </row>
    <row r="489" spans="1:70">
      <c r="A489" s="1" t="s">
        <v>70</v>
      </c>
      <c r="B489" s="1" t="s">
        <v>1269</v>
      </c>
      <c r="C489" s="1" t="s">
        <v>9273</v>
      </c>
      <c r="D489" s="1" t="s">
        <v>9274</v>
      </c>
      <c r="E489" s="1" t="s">
        <v>1760</v>
      </c>
      <c r="F489" s="1" t="s">
        <v>236</v>
      </c>
      <c r="G489" s="1" t="s">
        <v>9275</v>
      </c>
      <c r="H489" s="1" t="s">
        <v>9276</v>
      </c>
      <c r="I489" s="1" t="s">
        <v>9277</v>
      </c>
      <c r="J489" s="1">
        <v>8999899441</v>
      </c>
      <c r="K489" s="1" t="s">
        <v>79</v>
      </c>
      <c r="L489" s="1" t="s">
        <v>9278</v>
      </c>
      <c r="M489" s="1" t="s">
        <v>81</v>
      </c>
      <c r="N489" s="1" t="s">
        <v>9279</v>
      </c>
      <c r="O489" s="1"/>
      <c r="P489" s="1" t="s">
        <v>1298</v>
      </c>
      <c r="Q489" s="1" t="s">
        <v>9280</v>
      </c>
      <c r="R489" s="1" t="s">
        <v>1760</v>
      </c>
      <c r="S489" s="1">
        <v>9922437367</v>
      </c>
      <c r="T489" s="1" t="s">
        <v>3210</v>
      </c>
      <c r="U489" s="1" t="s">
        <v>3472</v>
      </c>
      <c r="V489" s="1">
        <v>9960974766</v>
      </c>
      <c r="W489" s="1" t="s">
        <v>156</v>
      </c>
      <c r="X489" s="1" t="s">
        <v>9281</v>
      </c>
      <c r="Y489" s="1" t="s">
        <v>191</v>
      </c>
      <c r="Z489" s="1" t="s">
        <v>92</v>
      </c>
      <c r="AA489" s="1" t="s">
        <v>9281</v>
      </c>
      <c r="AB489" s="1" t="s">
        <v>191</v>
      </c>
      <c r="AC489" s="1" t="s">
        <v>92</v>
      </c>
      <c r="AD489" s="1">
        <v>7.4</v>
      </c>
      <c r="AE489" s="1" t="s">
        <v>93</v>
      </c>
      <c r="AF489" s="1" t="s">
        <v>9282</v>
      </c>
      <c r="AG489" s="1" t="s">
        <v>160</v>
      </c>
      <c r="AH489" s="1" t="s">
        <v>998</v>
      </c>
      <c r="AI489" s="1" t="s">
        <v>96</v>
      </c>
      <c r="AJ489" s="1">
        <v>86.2</v>
      </c>
      <c r="AK489" s="1">
        <v>0</v>
      </c>
      <c r="AL489" s="1" t="s">
        <v>9283</v>
      </c>
      <c r="AM489" s="1" t="s">
        <v>9284</v>
      </c>
      <c r="AN489" s="1" t="s">
        <v>161</v>
      </c>
      <c r="AO489" s="1" t="s">
        <v>527</v>
      </c>
      <c r="AP489" s="1">
        <v>60.46</v>
      </c>
      <c r="AQ489" s="1">
        <v>0</v>
      </c>
      <c r="AR489" s="1"/>
      <c r="AS489" s="1"/>
      <c r="AT489" s="1"/>
      <c r="AU489" s="1"/>
      <c r="AV489" s="1"/>
      <c r="AW489" s="1"/>
      <c r="AX489" s="1" t="s">
        <v>361</v>
      </c>
      <c r="AY489" s="1" t="s">
        <v>9285</v>
      </c>
      <c r="AZ489" s="1" t="s">
        <v>733</v>
      </c>
      <c r="BA489" s="1" t="s">
        <v>506</v>
      </c>
      <c r="BB489" s="1">
        <v>64.5</v>
      </c>
      <c r="BC489" s="1"/>
      <c r="BD489" s="1"/>
      <c r="BE489" s="1"/>
      <c r="BF489" s="1"/>
      <c r="BG489" s="1"/>
      <c r="BH489" s="1"/>
      <c r="BI489" s="1"/>
      <c r="BJ489" s="1" t="s">
        <v>9286</v>
      </c>
      <c r="BK489" s="1" t="s">
        <v>9287</v>
      </c>
      <c r="BL489" s="1" t="s">
        <v>8309</v>
      </c>
      <c r="BM489" s="1"/>
      <c r="BN489" s="1"/>
      <c r="BO489" s="1"/>
      <c r="BP489" s="1" t="str">
        <f>HYPERLINK("https://nconnect.nicmar.ac.in/storage/profile/ProfilePhoto_P25700445_174289.jpg","Download")</f>
        <v>0</v>
      </c>
      <c r="BQ489" s="3"/>
      <c r="BR489" s="3"/>
    </row>
    <row r="490" spans="1:70">
      <c r="A490" s="1" t="s">
        <v>70</v>
      </c>
      <c r="B490" s="1" t="s">
        <v>1269</v>
      </c>
      <c r="C490" s="1" t="s">
        <v>9288</v>
      </c>
      <c r="D490" s="1" t="s">
        <v>9192</v>
      </c>
      <c r="E490" s="1" t="s">
        <v>5072</v>
      </c>
      <c r="F490" s="1" t="s">
        <v>9289</v>
      </c>
      <c r="G490" s="1" t="s">
        <v>9290</v>
      </c>
      <c r="H490" s="1" t="s">
        <v>9291</v>
      </c>
      <c r="I490" s="1" t="s">
        <v>9292</v>
      </c>
      <c r="J490" s="1">
        <v>8806005851</v>
      </c>
      <c r="K490" s="1" t="s">
        <v>148</v>
      </c>
      <c r="L490" s="1" t="s">
        <v>9293</v>
      </c>
      <c r="M490" s="1" t="s">
        <v>81</v>
      </c>
      <c r="N490" s="1" t="s">
        <v>1418</v>
      </c>
      <c r="O490" s="1"/>
      <c r="P490" s="1" t="s">
        <v>1298</v>
      </c>
      <c r="Q490" s="1" t="s">
        <v>9294</v>
      </c>
      <c r="R490" s="1" t="s">
        <v>9295</v>
      </c>
      <c r="S490" s="1">
        <v>9049373272</v>
      </c>
      <c r="T490" s="1" t="s">
        <v>154</v>
      </c>
      <c r="U490" s="1" t="s">
        <v>9296</v>
      </c>
      <c r="V490" s="1">
        <v>8793292232</v>
      </c>
      <c r="W490" s="1" t="s">
        <v>156</v>
      </c>
      <c r="X490" s="1" t="s">
        <v>9297</v>
      </c>
      <c r="Y490" s="1" t="s">
        <v>1018</v>
      </c>
      <c r="Z490" s="1" t="s">
        <v>92</v>
      </c>
      <c r="AA490" s="1" t="s">
        <v>9297</v>
      </c>
      <c r="AB490" s="1" t="s">
        <v>1018</v>
      </c>
      <c r="AC490" s="1" t="s">
        <v>92</v>
      </c>
      <c r="AD490" s="1">
        <v>7.94</v>
      </c>
      <c r="AE490" s="1" t="s">
        <v>93</v>
      </c>
      <c r="AF490" s="1" t="s">
        <v>9298</v>
      </c>
      <c r="AG490" s="1" t="s">
        <v>160</v>
      </c>
      <c r="AH490" s="1" t="s">
        <v>162</v>
      </c>
      <c r="AI490" s="1" t="s">
        <v>195</v>
      </c>
      <c r="AJ490" s="1">
        <v>80.2</v>
      </c>
      <c r="AK490" s="1"/>
      <c r="AL490" s="1" t="s">
        <v>9299</v>
      </c>
      <c r="AM490" s="1" t="s">
        <v>160</v>
      </c>
      <c r="AN490" s="1" t="s">
        <v>101</v>
      </c>
      <c r="AO490" s="1" t="s">
        <v>198</v>
      </c>
      <c r="AP490" s="1">
        <v>62.15</v>
      </c>
      <c r="AQ490" s="1"/>
      <c r="AR490" s="1"/>
      <c r="AS490" s="1"/>
      <c r="AT490" s="1"/>
      <c r="AU490" s="1"/>
      <c r="AV490" s="1"/>
      <c r="AW490" s="1"/>
      <c r="AX490" s="1" t="s">
        <v>1024</v>
      </c>
      <c r="AY490" s="1" t="s">
        <v>9300</v>
      </c>
      <c r="AZ490" s="1" t="s">
        <v>201</v>
      </c>
      <c r="BA490" s="1" t="s">
        <v>9301</v>
      </c>
      <c r="BB490" s="1">
        <v>64</v>
      </c>
      <c r="BC490" s="1">
        <v>7.15</v>
      </c>
      <c r="BD490" s="1"/>
      <c r="BE490" s="1"/>
      <c r="BF490" s="1"/>
      <c r="BG490" s="1"/>
      <c r="BH490" s="1"/>
      <c r="BI490" s="1"/>
      <c r="BJ490" s="1" t="s">
        <v>9302</v>
      </c>
      <c r="BK490" s="1"/>
      <c r="BL490" s="1"/>
      <c r="BM490" s="1"/>
      <c r="BN490" s="1"/>
      <c r="BO490" s="1"/>
      <c r="BP490" s="1" t="str">
        <f>HYPERLINK("https://nconnect.nicmar.ac.in/storage/profile/ProfilePhoto_P25700446_625137.jpg","Download")</f>
        <v>0</v>
      </c>
      <c r="BQ490" s="3"/>
      <c r="BR490" s="3"/>
    </row>
    <row r="491" spans="1:70">
      <c r="A491" s="1" t="s">
        <v>70</v>
      </c>
      <c r="B491" s="1" t="s">
        <v>1269</v>
      </c>
      <c r="C491" s="1" t="s">
        <v>9303</v>
      </c>
      <c r="D491" s="1" t="s">
        <v>9304</v>
      </c>
      <c r="E491" s="1" t="s">
        <v>1342</v>
      </c>
      <c r="F491" s="1" t="s">
        <v>835</v>
      </c>
      <c r="G491" s="1" t="s">
        <v>9305</v>
      </c>
      <c r="H491" s="1" t="s">
        <v>9306</v>
      </c>
      <c r="I491" s="1" t="s">
        <v>9307</v>
      </c>
      <c r="J491" s="1">
        <v>8445489675</v>
      </c>
      <c r="K491" s="1" t="s">
        <v>79</v>
      </c>
      <c r="L491" s="1" t="s">
        <v>9308</v>
      </c>
      <c r="M491" s="1" t="s">
        <v>81</v>
      </c>
      <c r="N491" s="1" t="s">
        <v>9309</v>
      </c>
      <c r="O491" s="1"/>
      <c r="P491" s="1" t="s">
        <v>1323</v>
      </c>
      <c r="Q491" s="1" t="s">
        <v>9310</v>
      </c>
      <c r="R491" s="1" t="s">
        <v>9311</v>
      </c>
      <c r="S491" s="1">
        <v>8126123456</v>
      </c>
      <c r="T491" s="1" t="s">
        <v>120</v>
      </c>
      <c r="U491" s="1" t="s">
        <v>9312</v>
      </c>
      <c r="V491" s="1">
        <v>6396047747</v>
      </c>
      <c r="W491" s="1" t="s">
        <v>273</v>
      </c>
      <c r="X491" s="1" t="s">
        <v>9313</v>
      </c>
      <c r="Y491" s="1" t="s">
        <v>9314</v>
      </c>
      <c r="Z491" s="1" t="s">
        <v>1355</v>
      </c>
      <c r="AA491" s="1" t="s">
        <v>9313</v>
      </c>
      <c r="AB491" s="1" t="s">
        <v>9314</v>
      </c>
      <c r="AC491" s="1" t="s">
        <v>1355</v>
      </c>
      <c r="AD491" s="1">
        <v>8.23</v>
      </c>
      <c r="AE491" s="1" t="s">
        <v>93</v>
      </c>
      <c r="AF491" s="1" t="s">
        <v>9315</v>
      </c>
      <c r="AG491" s="1" t="s">
        <v>9315</v>
      </c>
      <c r="AH491" s="1" t="s">
        <v>503</v>
      </c>
      <c r="AI491" s="1" t="s">
        <v>527</v>
      </c>
      <c r="AJ491" s="1">
        <v>79.8</v>
      </c>
      <c r="AK491" s="1">
        <v>8.4</v>
      </c>
      <c r="AL491" s="1" t="s">
        <v>9315</v>
      </c>
      <c r="AM491" s="1" t="s">
        <v>307</v>
      </c>
      <c r="AN491" s="1" t="s">
        <v>678</v>
      </c>
      <c r="AO491" s="1" t="s">
        <v>166</v>
      </c>
      <c r="AP491" s="1">
        <v>61</v>
      </c>
      <c r="AQ491" s="1"/>
      <c r="AR491" s="1"/>
      <c r="AS491" s="1"/>
      <c r="AT491" s="1"/>
      <c r="AU491" s="1"/>
      <c r="AV491" s="1"/>
      <c r="AW491" s="1"/>
      <c r="AX491" s="1" t="s">
        <v>9316</v>
      </c>
      <c r="AY491" s="1" t="s">
        <v>9317</v>
      </c>
      <c r="AZ491" s="1" t="s">
        <v>169</v>
      </c>
      <c r="BA491" s="1" t="s">
        <v>481</v>
      </c>
      <c r="BB491" s="1">
        <v>68.7</v>
      </c>
      <c r="BC491" s="1">
        <v>6.87</v>
      </c>
      <c r="BD491" s="1"/>
      <c r="BE491" s="1"/>
      <c r="BF491" s="1"/>
      <c r="BG491" s="1"/>
      <c r="BH491" s="1"/>
      <c r="BI491" s="1"/>
      <c r="BJ491" s="1" t="s">
        <v>4102</v>
      </c>
      <c r="BK491" s="1" t="s">
        <v>9318</v>
      </c>
      <c r="BL491" s="1" t="s">
        <v>4722</v>
      </c>
      <c r="BM491" s="1" t="s">
        <v>9319</v>
      </c>
      <c r="BN491" s="1">
        <v>8</v>
      </c>
      <c r="BO491" s="1" t="s">
        <v>9320</v>
      </c>
      <c r="BP491" s="1" t="str">
        <f>HYPERLINK("https://nconnect.nicmar.ac.in/storage/profile/ProfilePhoto_P25700447_624183.jpg","Download")</f>
        <v>0</v>
      </c>
      <c r="BQ491" s="3"/>
      <c r="BR491" s="3"/>
    </row>
    <row r="492" spans="1:70">
      <c r="A492" s="1" t="s">
        <v>70</v>
      </c>
      <c r="B492" s="1" t="s">
        <v>1269</v>
      </c>
      <c r="C492" s="1" t="s">
        <v>9321</v>
      </c>
      <c r="D492" s="1" t="s">
        <v>9322</v>
      </c>
      <c r="E492" s="1"/>
      <c r="F492" s="1" t="s">
        <v>9323</v>
      </c>
      <c r="G492" s="1" t="s">
        <v>9324</v>
      </c>
      <c r="H492" s="1" t="s">
        <v>9325</v>
      </c>
      <c r="I492" s="1" t="s">
        <v>9326</v>
      </c>
      <c r="J492" s="1">
        <v>7418269162</v>
      </c>
      <c r="K492" s="1" t="s">
        <v>79</v>
      </c>
      <c r="L492" s="1" t="s">
        <v>9327</v>
      </c>
      <c r="M492" s="1" t="s">
        <v>81</v>
      </c>
      <c r="N492" s="1" t="s">
        <v>9328</v>
      </c>
      <c r="O492" s="1"/>
      <c r="P492" s="1" t="s">
        <v>1323</v>
      </c>
      <c r="Q492" s="1" t="s">
        <v>9329</v>
      </c>
      <c r="R492" s="1" t="s">
        <v>9330</v>
      </c>
      <c r="S492" s="1">
        <v>9840810292</v>
      </c>
      <c r="T492" s="1" t="s">
        <v>9331</v>
      </c>
      <c r="U492" s="1" t="s">
        <v>9332</v>
      </c>
      <c r="V492" s="1">
        <v>7904909123</v>
      </c>
      <c r="W492" s="1" t="s">
        <v>9333</v>
      </c>
      <c r="X492" s="1" t="s">
        <v>9334</v>
      </c>
      <c r="Y492" s="1" t="s">
        <v>191</v>
      </c>
      <c r="Z492" s="1" t="s">
        <v>92</v>
      </c>
      <c r="AA492" s="1" t="s">
        <v>9335</v>
      </c>
      <c r="AB492" s="1" t="s">
        <v>2318</v>
      </c>
      <c r="AC492" s="1" t="s">
        <v>1377</v>
      </c>
      <c r="AD492" s="1">
        <v>9.33</v>
      </c>
      <c r="AE492" s="1" t="s">
        <v>93</v>
      </c>
      <c r="AF492" s="1" t="s">
        <v>9336</v>
      </c>
      <c r="AG492" s="1" t="s">
        <v>939</v>
      </c>
      <c r="AH492" s="1" t="s">
        <v>161</v>
      </c>
      <c r="AI492" s="1" t="s">
        <v>527</v>
      </c>
      <c r="AJ492" s="1">
        <v>77.9</v>
      </c>
      <c r="AK492" s="1">
        <v>8.2</v>
      </c>
      <c r="AL492" s="1" t="s">
        <v>9337</v>
      </c>
      <c r="AM492" s="1" t="s">
        <v>9269</v>
      </c>
      <c r="AN492" s="1" t="s">
        <v>165</v>
      </c>
      <c r="AO492" s="1" t="s">
        <v>166</v>
      </c>
      <c r="AP492" s="1">
        <v>88.5</v>
      </c>
      <c r="AQ492" s="1">
        <v>0</v>
      </c>
      <c r="AR492" s="1"/>
      <c r="AS492" s="1"/>
      <c r="AT492" s="1"/>
      <c r="AU492" s="1"/>
      <c r="AV492" s="1"/>
      <c r="AW492" s="1"/>
      <c r="AX492" s="1" t="s">
        <v>1381</v>
      </c>
      <c r="AY492" s="1" t="s">
        <v>9338</v>
      </c>
      <c r="AZ492" s="1" t="s">
        <v>170</v>
      </c>
      <c r="BA492" s="1" t="s">
        <v>944</v>
      </c>
      <c r="BB492" s="1">
        <v>90</v>
      </c>
      <c r="BC492" s="1">
        <v>9</v>
      </c>
      <c r="BD492" s="1"/>
      <c r="BE492" s="1"/>
      <c r="BF492" s="1"/>
      <c r="BG492" s="1"/>
      <c r="BH492" s="1"/>
      <c r="BI492" s="1"/>
      <c r="BJ492" s="1" t="s">
        <v>4493</v>
      </c>
      <c r="BK492" s="1" t="s">
        <v>9339</v>
      </c>
      <c r="BL492" s="1" t="s">
        <v>1919</v>
      </c>
      <c r="BM492" s="1" t="s">
        <v>9340</v>
      </c>
      <c r="BN492" s="1">
        <v>12</v>
      </c>
      <c r="BO492" s="1" t="s">
        <v>9341</v>
      </c>
      <c r="BP492" s="1" t="str">
        <f>HYPERLINK("https://nconnect.nicmar.ac.in/storage/profile/ProfilePhoto_P25700448_675934.jpg","Download")</f>
        <v>0</v>
      </c>
      <c r="BQ492" s="3"/>
      <c r="BR492" s="3"/>
    </row>
    <row r="493" spans="1:70">
      <c r="A493" s="1" t="s">
        <v>70</v>
      </c>
      <c r="B493" s="1" t="s">
        <v>1269</v>
      </c>
      <c r="C493" s="1" t="s">
        <v>9342</v>
      </c>
      <c r="D493" s="1" t="s">
        <v>9343</v>
      </c>
      <c r="E493" s="1" t="s">
        <v>2762</v>
      </c>
      <c r="F493" s="1" t="s">
        <v>9344</v>
      </c>
      <c r="G493" s="1" t="s">
        <v>9345</v>
      </c>
      <c r="H493" s="1" t="s">
        <v>9346</v>
      </c>
      <c r="I493" s="1" t="s">
        <v>9347</v>
      </c>
      <c r="J493" s="1">
        <v>9307267462</v>
      </c>
      <c r="K493" s="1" t="s">
        <v>79</v>
      </c>
      <c r="L493" s="1" t="s">
        <v>9348</v>
      </c>
      <c r="M493" s="1" t="s">
        <v>81</v>
      </c>
      <c r="N493" s="1" t="s">
        <v>9349</v>
      </c>
      <c r="O493" s="1"/>
      <c r="P493" s="1" t="s">
        <v>1323</v>
      </c>
      <c r="Q493" s="1" t="s">
        <v>9350</v>
      </c>
      <c r="R493" s="1" t="s">
        <v>9351</v>
      </c>
      <c r="S493" s="1">
        <v>9422941112</v>
      </c>
      <c r="T493" s="1" t="s">
        <v>122</v>
      </c>
      <c r="U493" s="1" t="s">
        <v>9352</v>
      </c>
      <c r="V493" s="1">
        <v>9370959374</v>
      </c>
      <c r="W493" s="1" t="s">
        <v>122</v>
      </c>
      <c r="X493" s="1" t="s">
        <v>9353</v>
      </c>
      <c r="Y493" s="1" t="s">
        <v>1992</v>
      </c>
      <c r="Z493" s="1" t="s">
        <v>92</v>
      </c>
      <c r="AA493" s="1" t="s">
        <v>9353</v>
      </c>
      <c r="AB493" s="1" t="s">
        <v>1992</v>
      </c>
      <c r="AC493" s="1" t="s">
        <v>92</v>
      </c>
      <c r="AD493" s="1" t="s">
        <v>93</v>
      </c>
      <c r="AE493" s="1" t="s">
        <v>93</v>
      </c>
      <c r="AF493" s="1" t="s">
        <v>9354</v>
      </c>
      <c r="AG493" s="1" t="s">
        <v>9355</v>
      </c>
      <c r="AH493" s="1" t="s">
        <v>101</v>
      </c>
      <c r="AI493" s="1" t="s">
        <v>308</v>
      </c>
      <c r="AJ493" s="1">
        <v>96.2</v>
      </c>
      <c r="AK493" s="1"/>
      <c r="AL493" s="1" t="s">
        <v>9356</v>
      </c>
      <c r="AM493" s="1" t="s">
        <v>9357</v>
      </c>
      <c r="AN493" s="1" t="s">
        <v>699</v>
      </c>
      <c r="AO493" s="1" t="s">
        <v>1712</v>
      </c>
      <c r="AP493" s="1">
        <v>92</v>
      </c>
      <c r="AQ493" s="1"/>
      <c r="AR493" s="1"/>
      <c r="AS493" s="1"/>
      <c r="AT493" s="1"/>
      <c r="AU493" s="1"/>
      <c r="AV493" s="1"/>
      <c r="AW493" s="1"/>
      <c r="AX493" s="1" t="s">
        <v>9358</v>
      </c>
      <c r="AY493" s="1" t="s">
        <v>9359</v>
      </c>
      <c r="AZ493" s="1" t="s">
        <v>436</v>
      </c>
      <c r="BA493" s="1" t="s">
        <v>1361</v>
      </c>
      <c r="BB493" s="1">
        <v>78</v>
      </c>
      <c r="BC493" s="1">
        <v>8.6</v>
      </c>
      <c r="BD493" s="1"/>
      <c r="BE493" s="1"/>
      <c r="BF493" s="1"/>
      <c r="BG493" s="1"/>
      <c r="BH493" s="1"/>
      <c r="BI493" s="1"/>
      <c r="BJ493" s="1" t="s">
        <v>364</v>
      </c>
      <c r="BK493" s="1"/>
      <c r="BL493" s="1"/>
      <c r="BM493" s="1" t="s">
        <v>9360</v>
      </c>
      <c r="BN493" s="1">
        <v>20</v>
      </c>
      <c r="BO493" s="1"/>
      <c r="BP493" s="1" t="str">
        <f>HYPERLINK("https://nconnect.nicmar.ac.in/storage/profile/ProfilePhoto_P25700449_946731.jpg","Download")</f>
        <v>0</v>
      </c>
      <c r="BQ493" s="3"/>
      <c r="BR493" s="3"/>
    </row>
    <row r="494" spans="1:70">
      <c r="A494" s="1" t="s">
        <v>70</v>
      </c>
      <c r="B494" s="1" t="s">
        <v>1269</v>
      </c>
      <c r="C494" s="1" t="s">
        <v>9361</v>
      </c>
      <c r="D494" s="1" t="s">
        <v>9362</v>
      </c>
      <c r="E494" s="1" t="s">
        <v>3900</v>
      </c>
      <c r="F494" s="1" t="s">
        <v>9363</v>
      </c>
      <c r="G494" s="1" t="s">
        <v>9364</v>
      </c>
      <c r="H494" s="1" t="s">
        <v>9365</v>
      </c>
      <c r="I494" s="1" t="s">
        <v>9366</v>
      </c>
      <c r="J494" s="1">
        <v>9624951503</v>
      </c>
      <c r="K494" s="1" t="s">
        <v>79</v>
      </c>
      <c r="L494" s="1" t="s">
        <v>9367</v>
      </c>
      <c r="M494" s="1" t="s">
        <v>81</v>
      </c>
      <c r="N494" s="1" t="s">
        <v>9368</v>
      </c>
      <c r="O494" s="1"/>
      <c r="P494" s="1" t="s">
        <v>1278</v>
      </c>
      <c r="Q494" s="1" t="s">
        <v>9369</v>
      </c>
      <c r="R494" s="1" t="s">
        <v>9370</v>
      </c>
      <c r="S494" s="1">
        <v>7990856554</v>
      </c>
      <c r="T494" s="1" t="s">
        <v>120</v>
      </c>
      <c r="U494" s="1" t="s">
        <v>9371</v>
      </c>
      <c r="V494" s="1">
        <v>9265635667</v>
      </c>
      <c r="W494" s="1" t="s">
        <v>156</v>
      </c>
      <c r="X494" s="1" t="s">
        <v>9372</v>
      </c>
      <c r="Y494" s="1" t="s">
        <v>9373</v>
      </c>
      <c r="Z494" s="1" t="s">
        <v>1468</v>
      </c>
      <c r="AA494" s="1" t="s">
        <v>9372</v>
      </c>
      <c r="AB494" s="1" t="s">
        <v>9373</v>
      </c>
      <c r="AC494" s="1" t="s">
        <v>1468</v>
      </c>
      <c r="AD494" s="1">
        <v>8.19</v>
      </c>
      <c r="AE494" s="1" t="s">
        <v>93</v>
      </c>
      <c r="AF494" s="1" t="s">
        <v>9374</v>
      </c>
      <c r="AG494" s="1" t="s">
        <v>9375</v>
      </c>
      <c r="AH494" s="1" t="s">
        <v>96</v>
      </c>
      <c r="AI494" s="1" t="s">
        <v>161</v>
      </c>
      <c r="AJ494" s="1">
        <v>74</v>
      </c>
      <c r="AK494" s="1">
        <v>0</v>
      </c>
      <c r="AL494" s="1" t="s">
        <v>9376</v>
      </c>
      <c r="AM494" s="1" t="s">
        <v>9375</v>
      </c>
      <c r="AN494" s="1" t="s">
        <v>162</v>
      </c>
      <c r="AO494" s="1" t="s">
        <v>479</v>
      </c>
      <c r="AP494" s="1">
        <v>63.85</v>
      </c>
      <c r="AQ494" s="1">
        <v>0</v>
      </c>
      <c r="AR494" s="1"/>
      <c r="AS494" s="1"/>
      <c r="AT494" s="1"/>
      <c r="AU494" s="1"/>
      <c r="AV494" s="1"/>
      <c r="AW494" s="1"/>
      <c r="AX494" s="1" t="s">
        <v>5975</v>
      </c>
      <c r="AY494" s="1" t="s">
        <v>9377</v>
      </c>
      <c r="AZ494" s="1" t="s">
        <v>225</v>
      </c>
      <c r="BA494" s="1" t="s">
        <v>1131</v>
      </c>
      <c r="BB494" s="1">
        <v>74.4</v>
      </c>
      <c r="BC494" s="1">
        <v>7.94</v>
      </c>
      <c r="BD494" s="1"/>
      <c r="BE494" s="1"/>
      <c r="BF494" s="1"/>
      <c r="BG494" s="1"/>
      <c r="BH494" s="1"/>
      <c r="BI494" s="1"/>
      <c r="BJ494" s="1" t="s">
        <v>9378</v>
      </c>
      <c r="BK494" s="1" t="s">
        <v>9379</v>
      </c>
      <c r="BL494" s="1" t="s">
        <v>1919</v>
      </c>
      <c r="BM494" s="1" t="s">
        <v>9380</v>
      </c>
      <c r="BN494" s="1">
        <v>9</v>
      </c>
      <c r="BO494" s="1" t="s">
        <v>9381</v>
      </c>
      <c r="BP494" s="1" t="str">
        <f>HYPERLINK("https://nconnect.nicmar.ac.in/storage/profile/ProfilePhoto_P25700450_896257.jpg","Download")</f>
        <v>0</v>
      </c>
      <c r="BQ494" s="3"/>
      <c r="BR494" s="3"/>
    </row>
    <row r="495" spans="1:70">
      <c r="A495" s="1" t="s">
        <v>70</v>
      </c>
      <c r="B495" s="1" t="s">
        <v>1269</v>
      </c>
      <c r="C495" s="1" t="s">
        <v>9382</v>
      </c>
      <c r="D495" s="1" t="s">
        <v>8917</v>
      </c>
      <c r="E495" s="1" t="s">
        <v>596</v>
      </c>
      <c r="F495" s="1" t="s">
        <v>9383</v>
      </c>
      <c r="G495" s="1" t="s">
        <v>9384</v>
      </c>
      <c r="H495" s="1" t="s">
        <v>9385</v>
      </c>
      <c r="I495" s="1" t="s">
        <v>9386</v>
      </c>
      <c r="J495" s="1">
        <v>9669982217</v>
      </c>
      <c r="K495" s="1" t="s">
        <v>79</v>
      </c>
      <c r="L495" s="1" t="s">
        <v>9387</v>
      </c>
      <c r="M495" s="1" t="s">
        <v>81</v>
      </c>
      <c r="N495" s="1" t="s">
        <v>1418</v>
      </c>
      <c r="O495" s="1"/>
      <c r="P495" s="1" t="s">
        <v>1323</v>
      </c>
      <c r="Q495" s="1" t="s">
        <v>9388</v>
      </c>
      <c r="R495" s="1" t="s">
        <v>9389</v>
      </c>
      <c r="S495" s="1">
        <v>7693895796</v>
      </c>
      <c r="T495" s="1" t="s">
        <v>496</v>
      </c>
      <c r="U495" s="1" t="s">
        <v>9390</v>
      </c>
      <c r="V495" s="1">
        <v>7693895796</v>
      </c>
      <c r="W495" s="1" t="s">
        <v>89</v>
      </c>
      <c r="X495" s="1" t="s">
        <v>9391</v>
      </c>
      <c r="Y495" s="1" t="s">
        <v>9392</v>
      </c>
      <c r="Z495" s="1" t="s">
        <v>936</v>
      </c>
      <c r="AA495" s="1" t="s">
        <v>9391</v>
      </c>
      <c r="AB495" s="1" t="s">
        <v>9392</v>
      </c>
      <c r="AC495" s="1" t="s">
        <v>936</v>
      </c>
      <c r="AD495" s="1">
        <v>7.5</v>
      </c>
      <c r="AE495" s="1" t="s">
        <v>93</v>
      </c>
      <c r="AF495" s="1" t="s">
        <v>9393</v>
      </c>
      <c r="AG495" s="1" t="s">
        <v>9394</v>
      </c>
      <c r="AH495" s="1" t="s">
        <v>503</v>
      </c>
      <c r="AI495" s="1" t="s">
        <v>527</v>
      </c>
      <c r="AJ495" s="1">
        <v>79.8</v>
      </c>
      <c r="AK495" s="1">
        <v>8.4</v>
      </c>
      <c r="AL495" s="1" t="s">
        <v>9393</v>
      </c>
      <c r="AM495" s="1" t="s">
        <v>9394</v>
      </c>
      <c r="AN495" s="1" t="s">
        <v>678</v>
      </c>
      <c r="AO495" s="1" t="s">
        <v>166</v>
      </c>
      <c r="AP495" s="1">
        <v>65</v>
      </c>
      <c r="AQ495" s="1"/>
      <c r="AR495" s="1"/>
      <c r="AS495" s="1"/>
      <c r="AT495" s="1"/>
      <c r="AU495" s="1"/>
      <c r="AV495" s="1"/>
      <c r="AW495" s="1"/>
      <c r="AX495" s="1" t="s">
        <v>2994</v>
      </c>
      <c r="AY495" s="1" t="s">
        <v>9395</v>
      </c>
      <c r="AZ495" s="1" t="s">
        <v>636</v>
      </c>
      <c r="BA495" s="1" t="s">
        <v>6010</v>
      </c>
      <c r="BB495" s="1">
        <v>69</v>
      </c>
      <c r="BC495" s="1">
        <v>6.9</v>
      </c>
      <c r="BD495" s="1"/>
      <c r="BE495" s="1"/>
      <c r="BF495" s="1"/>
      <c r="BG495" s="1"/>
      <c r="BH495" s="1"/>
      <c r="BI495" s="1"/>
      <c r="BJ495" s="1" t="s">
        <v>9396</v>
      </c>
      <c r="BK495" s="1"/>
      <c r="BL495" s="1"/>
      <c r="BM495" s="1" t="s">
        <v>9397</v>
      </c>
      <c r="BN495" s="1">
        <v>43</v>
      </c>
      <c r="BO495" s="1" t="s">
        <v>9398</v>
      </c>
      <c r="BP495" s="1" t="str">
        <f>HYPERLINK("https://nconnect.nicmar.ac.in/storage/profile/ProfilePhoto_P25700451_316894.jpg","Download")</f>
        <v>0</v>
      </c>
      <c r="BQ495" s="3"/>
      <c r="BR495" s="3"/>
    </row>
    <row r="496" spans="1:70">
      <c r="A496" s="1" t="s">
        <v>70</v>
      </c>
      <c r="B496" s="1" t="s">
        <v>1269</v>
      </c>
      <c r="C496" s="1" t="s">
        <v>9399</v>
      </c>
      <c r="D496" s="1" t="s">
        <v>3051</v>
      </c>
      <c r="E496" s="1"/>
      <c r="F496" s="1" t="s">
        <v>9400</v>
      </c>
      <c r="G496" s="1" t="s">
        <v>9401</v>
      </c>
      <c r="H496" s="1" t="s">
        <v>9402</v>
      </c>
      <c r="I496" s="1" t="s">
        <v>9403</v>
      </c>
      <c r="J496" s="1">
        <v>9526915241</v>
      </c>
      <c r="K496" s="1" t="s">
        <v>79</v>
      </c>
      <c r="L496" s="1" t="s">
        <v>4184</v>
      </c>
      <c r="M496" s="1" t="s">
        <v>81</v>
      </c>
      <c r="N496" s="1" t="s">
        <v>9404</v>
      </c>
      <c r="O496" s="1"/>
      <c r="P496" s="1" t="s">
        <v>1298</v>
      </c>
      <c r="Q496" s="1" t="s">
        <v>9405</v>
      </c>
      <c r="R496" s="1" t="s">
        <v>9406</v>
      </c>
      <c r="S496" s="1">
        <v>9446104143</v>
      </c>
      <c r="T496" s="1" t="s">
        <v>9407</v>
      </c>
      <c r="U496" s="1" t="s">
        <v>9408</v>
      </c>
      <c r="V496" s="1">
        <v>9446317836</v>
      </c>
      <c r="W496" s="1" t="s">
        <v>9409</v>
      </c>
      <c r="X496" s="1" t="s">
        <v>9410</v>
      </c>
      <c r="Y496" s="1" t="s">
        <v>191</v>
      </c>
      <c r="Z496" s="1" t="s">
        <v>92</v>
      </c>
      <c r="AA496" s="1" t="s">
        <v>9411</v>
      </c>
      <c r="AB496" s="1" t="s">
        <v>1491</v>
      </c>
      <c r="AC496" s="1" t="s">
        <v>125</v>
      </c>
      <c r="AD496" s="1">
        <v>7.28</v>
      </c>
      <c r="AE496" s="1" t="s">
        <v>93</v>
      </c>
      <c r="AF496" s="1" t="s">
        <v>9412</v>
      </c>
      <c r="AG496" s="1" t="s">
        <v>9413</v>
      </c>
      <c r="AH496" s="1" t="s">
        <v>96</v>
      </c>
      <c r="AI496" s="1" t="s">
        <v>97</v>
      </c>
      <c r="AJ496" s="1">
        <v>70.3</v>
      </c>
      <c r="AK496" s="1">
        <v>7.4</v>
      </c>
      <c r="AL496" s="1" t="s">
        <v>1492</v>
      </c>
      <c r="AM496" s="1" t="s">
        <v>9413</v>
      </c>
      <c r="AN496" s="1" t="s">
        <v>162</v>
      </c>
      <c r="AO496" s="1" t="s">
        <v>195</v>
      </c>
      <c r="AP496" s="1">
        <v>68</v>
      </c>
      <c r="AQ496" s="1">
        <v>6.8</v>
      </c>
      <c r="AR496" s="1"/>
      <c r="AS496" s="1"/>
      <c r="AT496" s="1"/>
      <c r="AU496" s="1"/>
      <c r="AV496" s="1"/>
      <c r="AW496" s="1"/>
      <c r="AX496" s="1" t="s">
        <v>3425</v>
      </c>
      <c r="AY496" s="1" t="s">
        <v>6869</v>
      </c>
      <c r="AZ496" s="1" t="s">
        <v>101</v>
      </c>
      <c r="BA496" s="1" t="s">
        <v>1003</v>
      </c>
      <c r="BB496" s="1">
        <v>71</v>
      </c>
      <c r="BC496" s="1">
        <v>7.1</v>
      </c>
      <c r="BD496" s="1"/>
      <c r="BE496" s="1"/>
      <c r="BF496" s="1"/>
      <c r="BG496" s="1"/>
      <c r="BH496" s="1"/>
      <c r="BI496" s="1"/>
      <c r="BJ496" s="1" t="s">
        <v>9414</v>
      </c>
      <c r="BK496" s="1" t="s">
        <v>9415</v>
      </c>
      <c r="BL496" s="1" t="s">
        <v>1561</v>
      </c>
      <c r="BM496" s="1" t="s">
        <v>9416</v>
      </c>
      <c r="BN496" s="1">
        <v>8</v>
      </c>
      <c r="BO496" s="1"/>
      <c r="BP496" s="1" t="str">
        <f>HYPERLINK("https://nconnect.nicmar.ac.in/storage/profile/ProfilePhoto_P25700452_132786.jpg","Download")</f>
        <v>0</v>
      </c>
      <c r="BQ496" s="3"/>
      <c r="BR496" s="3"/>
    </row>
    <row r="497" spans="1:70">
      <c r="A497" s="1" t="s">
        <v>70</v>
      </c>
      <c r="B497" s="1" t="s">
        <v>1269</v>
      </c>
      <c r="C497" s="1" t="s">
        <v>9417</v>
      </c>
      <c r="D497" s="1" t="s">
        <v>3392</v>
      </c>
      <c r="E497" s="1" t="s">
        <v>9418</v>
      </c>
      <c r="F497" s="1" t="s">
        <v>9419</v>
      </c>
      <c r="G497" s="1" t="s">
        <v>9420</v>
      </c>
      <c r="H497" s="1" t="s">
        <v>9421</v>
      </c>
      <c r="I497" s="1" t="s">
        <v>9422</v>
      </c>
      <c r="J497" s="1">
        <v>9370776955</v>
      </c>
      <c r="K497" s="1" t="s">
        <v>79</v>
      </c>
      <c r="L497" s="1" t="s">
        <v>9423</v>
      </c>
      <c r="M497" s="1" t="s">
        <v>81</v>
      </c>
      <c r="N497" s="1" t="s">
        <v>2293</v>
      </c>
      <c r="O497" s="1"/>
      <c r="P497" s="1" t="s">
        <v>1278</v>
      </c>
      <c r="Q497" s="1" t="s">
        <v>9424</v>
      </c>
      <c r="R497" s="1" t="s">
        <v>9425</v>
      </c>
      <c r="S497" s="1">
        <v>9422137293</v>
      </c>
      <c r="T497" s="1" t="s">
        <v>154</v>
      </c>
      <c r="U497" s="1" t="s">
        <v>9426</v>
      </c>
      <c r="V497" s="1">
        <v>8390902629</v>
      </c>
      <c r="W497" s="1" t="s">
        <v>89</v>
      </c>
      <c r="X497" s="1" t="s">
        <v>9427</v>
      </c>
      <c r="Y497" s="1" t="s">
        <v>1424</v>
      </c>
      <c r="Z497" s="1" t="s">
        <v>92</v>
      </c>
      <c r="AA497" s="1" t="s">
        <v>9427</v>
      </c>
      <c r="AB497" s="1" t="s">
        <v>1424</v>
      </c>
      <c r="AC497" s="1" t="s">
        <v>92</v>
      </c>
      <c r="AD497" s="1">
        <v>8.58</v>
      </c>
      <c r="AE497" s="1" t="s">
        <v>93</v>
      </c>
      <c r="AF497" s="1" t="s">
        <v>9428</v>
      </c>
      <c r="AG497" s="1" t="s">
        <v>9429</v>
      </c>
      <c r="AH497" s="1" t="s">
        <v>503</v>
      </c>
      <c r="AI497" s="1" t="s">
        <v>456</v>
      </c>
      <c r="AJ497" s="1">
        <v>81.7</v>
      </c>
      <c r="AK497" s="1">
        <v>8.6</v>
      </c>
      <c r="AL497" s="1" t="s">
        <v>9430</v>
      </c>
      <c r="AM497" s="1" t="s">
        <v>9431</v>
      </c>
      <c r="AN497" s="1" t="s">
        <v>165</v>
      </c>
      <c r="AO497" s="1" t="s">
        <v>281</v>
      </c>
      <c r="AP497" s="1">
        <v>61.54</v>
      </c>
      <c r="AQ497" s="1"/>
      <c r="AR497" s="1"/>
      <c r="AS497" s="1"/>
      <c r="AT497" s="1"/>
      <c r="AU497" s="1"/>
      <c r="AV497" s="1"/>
      <c r="AW497" s="1"/>
      <c r="AX497" s="1" t="s">
        <v>410</v>
      </c>
      <c r="AY497" s="1" t="s">
        <v>548</v>
      </c>
      <c r="AZ497" s="1" t="s">
        <v>636</v>
      </c>
      <c r="BA497" s="1" t="s">
        <v>105</v>
      </c>
      <c r="BB497" s="1">
        <v>80.3</v>
      </c>
      <c r="BC497" s="1">
        <v>8.78</v>
      </c>
      <c r="BD497" s="1"/>
      <c r="BE497" s="1"/>
      <c r="BF497" s="1"/>
      <c r="BG497" s="1"/>
      <c r="BH497" s="1"/>
      <c r="BI497" s="1"/>
      <c r="BJ497" s="1" t="s">
        <v>9432</v>
      </c>
      <c r="BK497" s="1" t="s">
        <v>9433</v>
      </c>
      <c r="BL497" s="1" t="s">
        <v>2382</v>
      </c>
      <c r="BM497" s="1" t="s">
        <v>9434</v>
      </c>
      <c r="BN497" s="1">
        <v>12</v>
      </c>
      <c r="BO497" s="1" t="s">
        <v>9435</v>
      </c>
      <c r="BP497" s="1" t="str">
        <f>HYPERLINK("https://nconnect.nicmar.ac.in/storage/profile/ProfilePhoto_P25700453_982314.jpg","Download")</f>
        <v>0</v>
      </c>
      <c r="BQ497" s="3"/>
      <c r="BR497" s="3"/>
    </row>
    <row r="498" spans="1:70">
      <c r="A498" s="1" t="s">
        <v>70</v>
      </c>
      <c r="B498" s="1" t="s">
        <v>1269</v>
      </c>
      <c r="C498" s="1" t="s">
        <v>9436</v>
      </c>
      <c r="D498" s="1" t="s">
        <v>9437</v>
      </c>
      <c r="E498" s="1"/>
      <c r="F498" s="1" t="s">
        <v>9438</v>
      </c>
      <c r="G498" s="1" t="s">
        <v>9439</v>
      </c>
      <c r="H498" s="1" t="s">
        <v>9440</v>
      </c>
      <c r="I498" s="1" t="s">
        <v>9441</v>
      </c>
      <c r="J498" s="1">
        <v>8610181085</v>
      </c>
      <c r="K498" s="1" t="s">
        <v>79</v>
      </c>
      <c r="L498" s="1" t="s">
        <v>9442</v>
      </c>
      <c r="M498" s="1" t="s">
        <v>81</v>
      </c>
      <c r="N498" s="1" t="s">
        <v>9443</v>
      </c>
      <c r="O498" s="1"/>
      <c r="P498" s="1" t="s">
        <v>1278</v>
      </c>
      <c r="Q498" s="1" t="s">
        <v>9444</v>
      </c>
      <c r="R498" s="1" t="s">
        <v>9445</v>
      </c>
      <c r="S498" s="1">
        <v>8940067277</v>
      </c>
      <c r="T498" s="1" t="s">
        <v>9446</v>
      </c>
      <c r="U498" s="1" t="s">
        <v>9447</v>
      </c>
      <c r="V498" s="1">
        <v>9655697277</v>
      </c>
      <c r="W498" s="1" t="s">
        <v>273</v>
      </c>
      <c r="X498" s="1" t="s">
        <v>9448</v>
      </c>
      <c r="Y498" s="1" t="s">
        <v>9449</v>
      </c>
      <c r="Z498" s="1" t="s">
        <v>1377</v>
      </c>
      <c r="AA498" s="1" t="s">
        <v>9448</v>
      </c>
      <c r="AB498" s="1" t="s">
        <v>9449</v>
      </c>
      <c r="AC498" s="1" t="s">
        <v>1377</v>
      </c>
      <c r="AD498" s="1">
        <v>8.39</v>
      </c>
      <c r="AE498" s="1" t="s">
        <v>93</v>
      </c>
      <c r="AF498" s="1" t="s">
        <v>9450</v>
      </c>
      <c r="AG498" s="1" t="s">
        <v>9451</v>
      </c>
      <c r="AH498" s="1" t="s">
        <v>101</v>
      </c>
      <c r="AI498" s="1" t="s">
        <v>308</v>
      </c>
      <c r="AJ498" s="1">
        <v>93.4</v>
      </c>
      <c r="AK498" s="1"/>
      <c r="AL498" s="1" t="s">
        <v>9450</v>
      </c>
      <c r="AM498" s="1" t="s">
        <v>9451</v>
      </c>
      <c r="AN498" s="1" t="s">
        <v>699</v>
      </c>
      <c r="AO498" s="1" t="s">
        <v>506</v>
      </c>
      <c r="AP498" s="1">
        <v>96.2</v>
      </c>
      <c r="AQ498" s="1"/>
      <c r="AR498" s="1"/>
      <c r="AS498" s="1"/>
      <c r="AT498" s="1"/>
      <c r="AU498" s="1"/>
      <c r="AV498" s="1"/>
      <c r="AW498" s="1"/>
      <c r="AX498" s="1" t="s">
        <v>1381</v>
      </c>
      <c r="AY498" s="1" t="s">
        <v>9452</v>
      </c>
      <c r="AZ498" s="1" t="s">
        <v>436</v>
      </c>
      <c r="BA498" s="1" t="s">
        <v>1361</v>
      </c>
      <c r="BB498" s="1">
        <v>74.9</v>
      </c>
      <c r="BC498" s="1">
        <v>7.49</v>
      </c>
      <c r="BD498" s="1"/>
      <c r="BE498" s="1"/>
      <c r="BF498" s="1"/>
      <c r="BG498" s="1"/>
      <c r="BH498" s="1"/>
      <c r="BI498" s="1"/>
      <c r="BJ498" s="1" t="s">
        <v>9453</v>
      </c>
      <c r="BK498" s="1"/>
      <c r="BL498" s="1"/>
      <c r="BM498" s="1" t="s">
        <v>9454</v>
      </c>
      <c r="BN498" s="1">
        <v>4</v>
      </c>
      <c r="BO498" s="1"/>
      <c r="BP498" s="1" t="str">
        <f>HYPERLINK("https://nconnect.nicmar.ac.in/storage/profile/ProfilePhoto_P25700454_245369.jpg","Download")</f>
        <v>0</v>
      </c>
      <c r="BQ498" s="3"/>
      <c r="BR498" s="3"/>
    </row>
    <row r="499" spans="1:70">
      <c r="A499" s="1" t="s">
        <v>70</v>
      </c>
      <c r="B499" s="1" t="s">
        <v>1269</v>
      </c>
      <c r="C499" s="1" t="s">
        <v>9455</v>
      </c>
      <c r="D499" s="1" t="s">
        <v>343</v>
      </c>
      <c r="E499" s="1" t="s">
        <v>7585</v>
      </c>
      <c r="F499" s="1" t="s">
        <v>5151</v>
      </c>
      <c r="G499" s="1" t="s">
        <v>9456</v>
      </c>
      <c r="H499" s="1" t="s">
        <v>9457</v>
      </c>
      <c r="I499" s="1" t="s">
        <v>9458</v>
      </c>
      <c r="J499" s="1">
        <v>9423785516</v>
      </c>
      <c r="K499" s="1" t="s">
        <v>79</v>
      </c>
      <c r="L499" s="1" t="s">
        <v>9459</v>
      </c>
      <c r="M499" s="1" t="s">
        <v>81</v>
      </c>
      <c r="N499" s="1" t="s">
        <v>860</v>
      </c>
      <c r="O499" s="1"/>
      <c r="P499" s="1" t="s">
        <v>1278</v>
      </c>
      <c r="Q499" s="1" t="s">
        <v>9460</v>
      </c>
      <c r="R499" s="1" t="s">
        <v>7585</v>
      </c>
      <c r="S499" s="1">
        <v>9423530082</v>
      </c>
      <c r="T499" s="1" t="s">
        <v>120</v>
      </c>
      <c r="U499" s="1" t="s">
        <v>3060</v>
      </c>
      <c r="V499" s="1">
        <v>9423530082</v>
      </c>
      <c r="W499" s="1" t="s">
        <v>156</v>
      </c>
      <c r="X499" s="1" t="s">
        <v>9461</v>
      </c>
      <c r="Y499" s="1" t="s">
        <v>191</v>
      </c>
      <c r="Z499" s="1" t="s">
        <v>92</v>
      </c>
      <c r="AA499" s="1" t="s">
        <v>9462</v>
      </c>
      <c r="AB499" s="1" t="s">
        <v>523</v>
      </c>
      <c r="AC499" s="1" t="s">
        <v>92</v>
      </c>
      <c r="AD499" s="1">
        <v>8.61</v>
      </c>
      <c r="AE499" s="1" t="s">
        <v>93</v>
      </c>
      <c r="AF499" s="1" t="s">
        <v>9463</v>
      </c>
      <c r="AG499" s="1" t="s">
        <v>160</v>
      </c>
      <c r="AH499" s="1" t="s">
        <v>128</v>
      </c>
      <c r="AI499" s="1" t="s">
        <v>998</v>
      </c>
      <c r="AJ499" s="1">
        <v>85.09</v>
      </c>
      <c r="AK499" s="1"/>
      <c r="AL499" s="1" t="s">
        <v>9464</v>
      </c>
      <c r="AM499" s="1" t="s">
        <v>160</v>
      </c>
      <c r="AN499" s="1" t="s">
        <v>2401</v>
      </c>
      <c r="AO499" s="1" t="s">
        <v>131</v>
      </c>
      <c r="AP499" s="1">
        <v>62.15</v>
      </c>
      <c r="AQ499" s="1"/>
      <c r="AR499" s="1"/>
      <c r="AS499" s="1"/>
      <c r="AT499" s="1"/>
      <c r="AU499" s="1"/>
      <c r="AV499" s="1"/>
      <c r="AW499" s="1"/>
      <c r="AX499" s="1" t="s">
        <v>361</v>
      </c>
      <c r="AY499" s="1" t="s">
        <v>9465</v>
      </c>
      <c r="AZ499" s="1" t="s">
        <v>337</v>
      </c>
      <c r="BA499" s="1" t="s">
        <v>170</v>
      </c>
      <c r="BB499" s="1">
        <v>64.76</v>
      </c>
      <c r="BC499" s="1">
        <v>7.36</v>
      </c>
      <c r="BD499" s="1"/>
      <c r="BE499" s="1"/>
      <c r="BF499" s="1"/>
      <c r="BG499" s="1"/>
      <c r="BH499" s="1"/>
      <c r="BI499" s="1"/>
      <c r="BJ499" s="1" t="s">
        <v>9466</v>
      </c>
      <c r="BK499" s="1" t="s">
        <v>9467</v>
      </c>
      <c r="BL499" s="1" t="s">
        <v>5685</v>
      </c>
      <c r="BM499" s="1"/>
      <c r="BN499" s="1"/>
      <c r="BO499" s="1" t="s">
        <v>9468</v>
      </c>
      <c r="BP499" s="1" t="str">
        <f>HYPERLINK("https://nconnect.nicmar.ac.in/storage/profile/ProfilePhoto_P25700455_781534.jpg","Download")</f>
        <v>0</v>
      </c>
      <c r="BQ499" s="3"/>
      <c r="BR499" s="3"/>
    </row>
    <row r="500" spans="1:70">
      <c r="A500" s="1" t="s">
        <v>70</v>
      </c>
      <c r="B500" s="1" t="s">
        <v>1269</v>
      </c>
      <c r="C500" s="1" t="s">
        <v>9469</v>
      </c>
      <c r="D500" s="1" t="s">
        <v>9470</v>
      </c>
      <c r="E500" s="1" t="s">
        <v>1875</v>
      </c>
      <c r="F500" s="1" t="s">
        <v>9471</v>
      </c>
      <c r="G500" s="1" t="s">
        <v>9472</v>
      </c>
      <c r="H500" s="1" t="s">
        <v>9473</v>
      </c>
      <c r="I500" s="1" t="s">
        <v>9474</v>
      </c>
      <c r="J500" s="1">
        <v>9284555590</v>
      </c>
      <c r="K500" s="1" t="s">
        <v>79</v>
      </c>
      <c r="L500" s="1" t="s">
        <v>9475</v>
      </c>
      <c r="M500" s="1" t="s">
        <v>81</v>
      </c>
      <c r="N500" s="1" t="s">
        <v>9476</v>
      </c>
      <c r="O500" s="1"/>
      <c r="P500" s="1" t="s">
        <v>1278</v>
      </c>
      <c r="Q500" s="1" t="s">
        <v>9477</v>
      </c>
      <c r="R500" s="1" t="s">
        <v>9478</v>
      </c>
      <c r="S500" s="1">
        <v>7020000124</v>
      </c>
      <c r="T500" s="1" t="s">
        <v>496</v>
      </c>
      <c r="U500" s="1" t="s">
        <v>9479</v>
      </c>
      <c r="V500" s="1">
        <v>9422374434</v>
      </c>
      <c r="W500" s="1" t="s">
        <v>2763</v>
      </c>
      <c r="X500" s="1" t="s">
        <v>9480</v>
      </c>
      <c r="Y500" s="1" t="s">
        <v>6375</v>
      </c>
      <c r="Z500" s="1" t="s">
        <v>92</v>
      </c>
      <c r="AA500" s="1" t="s">
        <v>9481</v>
      </c>
      <c r="AB500" s="1" t="s">
        <v>6375</v>
      </c>
      <c r="AC500" s="1" t="s">
        <v>92</v>
      </c>
      <c r="AD500" s="1">
        <v>8.28</v>
      </c>
      <c r="AE500" s="1" t="s">
        <v>93</v>
      </c>
      <c r="AF500" s="1" t="s">
        <v>9482</v>
      </c>
      <c r="AG500" s="1" t="s">
        <v>9483</v>
      </c>
      <c r="AH500" s="1" t="s">
        <v>998</v>
      </c>
      <c r="AI500" s="1" t="s">
        <v>999</v>
      </c>
      <c r="AJ500" s="1">
        <v>65.2</v>
      </c>
      <c r="AK500" s="1"/>
      <c r="AL500" s="1" t="s">
        <v>9484</v>
      </c>
      <c r="AM500" s="1" t="s">
        <v>9483</v>
      </c>
      <c r="AN500" s="1" t="s">
        <v>97</v>
      </c>
      <c r="AO500" s="1" t="s">
        <v>1001</v>
      </c>
      <c r="AP500" s="1">
        <v>55.85</v>
      </c>
      <c r="AQ500" s="1"/>
      <c r="AR500" s="1" t="s">
        <v>98</v>
      </c>
      <c r="AS500" s="1" t="s">
        <v>9485</v>
      </c>
      <c r="AT500" s="1" t="s">
        <v>165</v>
      </c>
      <c r="AU500" s="1" t="s">
        <v>433</v>
      </c>
      <c r="AV500" s="1">
        <v>69.82</v>
      </c>
      <c r="AW500" s="1"/>
      <c r="AX500" s="1" t="s">
        <v>102</v>
      </c>
      <c r="AY500" s="1" t="s">
        <v>9486</v>
      </c>
      <c r="AZ500" s="1" t="s">
        <v>433</v>
      </c>
      <c r="BA500" s="1" t="s">
        <v>105</v>
      </c>
      <c r="BB500" s="1">
        <v>82.6</v>
      </c>
      <c r="BC500" s="1">
        <v>8.76</v>
      </c>
      <c r="BD500" s="1"/>
      <c r="BE500" s="1"/>
      <c r="BF500" s="1"/>
      <c r="BG500" s="1"/>
      <c r="BH500" s="1"/>
      <c r="BI500" s="1"/>
      <c r="BJ500" s="1" t="s">
        <v>1383</v>
      </c>
      <c r="BK500" s="1" t="s">
        <v>9487</v>
      </c>
      <c r="BL500" s="1" t="s">
        <v>9488</v>
      </c>
      <c r="BM500" s="1" t="s">
        <v>9489</v>
      </c>
      <c r="BN500" s="1">
        <v>26</v>
      </c>
      <c r="BO500" s="1" t="s">
        <v>9490</v>
      </c>
      <c r="BP500" s="1" t="str">
        <f>HYPERLINK("https://nconnect.nicmar.ac.in/storage/profile/ProfilePhoto_P25700456_195823.jpg","Download")</f>
        <v>0</v>
      </c>
      <c r="BQ500" s="3"/>
      <c r="BR500" s="3"/>
    </row>
    <row r="501" spans="1:70">
      <c r="A501" s="1" t="s">
        <v>70</v>
      </c>
      <c r="B501" s="1" t="s">
        <v>1269</v>
      </c>
      <c r="C501" s="1" t="s">
        <v>9491</v>
      </c>
      <c r="D501" s="1" t="s">
        <v>9492</v>
      </c>
      <c r="E501" s="1"/>
      <c r="F501" s="1" t="s">
        <v>9493</v>
      </c>
      <c r="G501" s="1" t="s">
        <v>9494</v>
      </c>
      <c r="H501" s="1" t="s">
        <v>9495</v>
      </c>
      <c r="I501" s="1" t="s">
        <v>9496</v>
      </c>
      <c r="J501" s="1">
        <v>6374242665</v>
      </c>
      <c r="K501" s="1" t="s">
        <v>148</v>
      </c>
      <c r="L501" s="1" t="s">
        <v>9497</v>
      </c>
      <c r="M501" s="1" t="s">
        <v>81</v>
      </c>
      <c r="N501" s="1" t="s">
        <v>9498</v>
      </c>
      <c r="O501" s="1"/>
      <c r="P501" s="1" t="s">
        <v>1278</v>
      </c>
      <c r="Q501" s="1" t="s">
        <v>9499</v>
      </c>
      <c r="R501" s="1" t="s">
        <v>9500</v>
      </c>
      <c r="S501" s="1">
        <v>9865834887</v>
      </c>
      <c r="T501" s="1" t="s">
        <v>9501</v>
      </c>
      <c r="U501" s="1" t="s">
        <v>9502</v>
      </c>
      <c r="V501" s="1">
        <v>9865873484</v>
      </c>
      <c r="W501" s="1" t="s">
        <v>122</v>
      </c>
      <c r="X501" s="1" t="s">
        <v>9503</v>
      </c>
      <c r="Y501" s="1" t="s">
        <v>9504</v>
      </c>
      <c r="Z501" s="1" t="s">
        <v>1377</v>
      </c>
      <c r="AA501" s="1" t="s">
        <v>9503</v>
      </c>
      <c r="AB501" s="1" t="s">
        <v>9504</v>
      </c>
      <c r="AC501" s="1" t="s">
        <v>1377</v>
      </c>
      <c r="AD501" s="1">
        <v>8.46</v>
      </c>
      <c r="AE501" s="1" t="s">
        <v>93</v>
      </c>
      <c r="AF501" s="1" t="s">
        <v>9505</v>
      </c>
      <c r="AG501" s="1" t="s">
        <v>9506</v>
      </c>
      <c r="AH501" s="1" t="s">
        <v>101</v>
      </c>
      <c r="AI501" s="1" t="s">
        <v>1065</v>
      </c>
      <c r="AJ501" s="1">
        <v>86.8</v>
      </c>
      <c r="AK501" s="1"/>
      <c r="AL501" s="1" t="s">
        <v>9505</v>
      </c>
      <c r="AM501" s="1" t="s">
        <v>9506</v>
      </c>
      <c r="AN501" s="1" t="s">
        <v>699</v>
      </c>
      <c r="AO501" s="1" t="s">
        <v>506</v>
      </c>
      <c r="AP501" s="1">
        <v>87.75</v>
      </c>
      <c r="AQ501" s="1"/>
      <c r="AR501" s="1"/>
      <c r="AS501" s="1"/>
      <c r="AT501" s="1"/>
      <c r="AU501" s="1"/>
      <c r="AV501" s="1"/>
      <c r="AW501" s="1"/>
      <c r="AX501" s="1" t="s">
        <v>7953</v>
      </c>
      <c r="AY501" s="1" t="s">
        <v>7953</v>
      </c>
      <c r="AZ501" s="1" t="s">
        <v>1051</v>
      </c>
      <c r="BA501" s="1" t="s">
        <v>1361</v>
      </c>
      <c r="BB501" s="1">
        <v>75.4</v>
      </c>
      <c r="BC501" s="1">
        <v>7.54</v>
      </c>
      <c r="BD501" s="1"/>
      <c r="BE501" s="1"/>
      <c r="BF501" s="1"/>
      <c r="BG501" s="1"/>
      <c r="BH501" s="1"/>
      <c r="BI501" s="1"/>
      <c r="BJ501" s="1" t="s">
        <v>9507</v>
      </c>
      <c r="BK501" s="1"/>
      <c r="BL501" s="1"/>
      <c r="BM501" s="1" t="s">
        <v>9508</v>
      </c>
      <c r="BN501" s="1">
        <v>7</v>
      </c>
      <c r="BO501" s="1"/>
      <c r="BP501" s="1" t="str">
        <f>HYPERLINK("https://nconnect.nicmar.ac.in/storage/profile/ProfilePhoto_P25700457_793145.jpg","Download")</f>
        <v>0</v>
      </c>
      <c r="BQ501" s="3"/>
      <c r="BR501" s="3"/>
    </row>
    <row r="502" spans="1:70">
      <c r="A502" s="1" t="s">
        <v>70</v>
      </c>
      <c r="B502" s="1" t="s">
        <v>1269</v>
      </c>
      <c r="C502" s="1" t="s">
        <v>9509</v>
      </c>
      <c r="D502" s="1" t="s">
        <v>596</v>
      </c>
      <c r="E502" s="1"/>
      <c r="F502" s="1" t="s">
        <v>9510</v>
      </c>
      <c r="G502" s="1" t="s">
        <v>9511</v>
      </c>
      <c r="H502" s="1" t="s">
        <v>9512</v>
      </c>
      <c r="I502" s="1" t="s">
        <v>9513</v>
      </c>
      <c r="J502" s="1">
        <v>9682500421</v>
      </c>
      <c r="K502" s="1" t="s">
        <v>79</v>
      </c>
      <c r="L502" s="1" t="s">
        <v>9514</v>
      </c>
      <c r="M502" s="1" t="s">
        <v>81</v>
      </c>
      <c r="N502" s="1" t="s">
        <v>8114</v>
      </c>
      <c r="O502" s="1"/>
      <c r="P502" s="1" t="s">
        <v>1298</v>
      </c>
      <c r="Q502" s="1" t="s">
        <v>9515</v>
      </c>
      <c r="R502" s="1" t="s">
        <v>841</v>
      </c>
      <c r="S502" s="1">
        <v>9469141363</v>
      </c>
      <c r="T502" s="1" t="s">
        <v>9516</v>
      </c>
      <c r="U502" s="1" t="s">
        <v>9517</v>
      </c>
      <c r="V502" s="1">
        <v>9086596964</v>
      </c>
      <c r="W502" s="1" t="s">
        <v>156</v>
      </c>
      <c r="X502" s="1" t="s">
        <v>9518</v>
      </c>
      <c r="Y502" s="1" t="s">
        <v>9519</v>
      </c>
      <c r="Z502" s="1" t="s">
        <v>9520</v>
      </c>
      <c r="AA502" s="1" t="s">
        <v>9518</v>
      </c>
      <c r="AB502" s="1" t="s">
        <v>9519</v>
      </c>
      <c r="AC502" s="1" t="s">
        <v>9520</v>
      </c>
      <c r="AD502" s="1">
        <v>8.43</v>
      </c>
      <c r="AE502" s="1" t="s">
        <v>93</v>
      </c>
      <c r="AF502" s="1" t="s">
        <v>9521</v>
      </c>
      <c r="AG502" s="1" t="s">
        <v>1665</v>
      </c>
      <c r="AH502" s="1" t="s">
        <v>678</v>
      </c>
      <c r="AI502" s="1" t="s">
        <v>166</v>
      </c>
      <c r="AJ502" s="1">
        <v>82</v>
      </c>
      <c r="AK502" s="1"/>
      <c r="AL502" s="1" t="s">
        <v>9521</v>
      </c>
      <c r="AM502" s="1" t="s">
        <v>1665</v>
      </c>
      <c r="AN502" s="1" t="s">
        <v>1065</v>
      </c>
      <c r="AO502" s="1" t="s">
        <v>173</v>
      </c>
      <c r="AP502" s="1">
        <v>79.2</v>
      </c>
      <c r="AQ502" s="1"/>
      <c r="AR502" s="1"/>
      <c r="AS502" s="1"/>
      <c r="AT502" s="1"/>
      <c r="AU502" s="1"/>
      <c r="AV502" s="1"/>
      <c r="AW502" s="1"/>
      <c r="AX502" s="1" t="s">
        <v>9522</v>
      </c>
      <c r="AY502" s="1" t="s">
        <v>9523</v>
      </c>
      <c r="AZ502" s="1" t="s">
        <v>681</v>
      </c>
      <c r="BA502" s="1" t="s">
        <v>944</v>
      </c>
      <c r="BB502" s="1">
        <v>70.76</v>
      </c>
      <c r="BC502" s="1">
        <v>7.45</v>
      </c>
      <c r="BD502" s="1"/>
      <c r="BE502" s="1"/>
      <c r="BF502" s="1"/>
      <c r="BG502" s="1"/>
      <c r="BH502" s="1"/>
      <c r="BI502" s="1"/>
      <c r="BJ502" s="1" t="s">
        <v>9524</v>
      </c>
      <c r="BK502" s="1"/>
      <c r="BL502" s="1"/>
      <c r="BM502" s="1" t="s">
        <v>9525</v>
      </c>
      <c r="BN502" s="1">
        <v>26</v>
      </c>
      <c r="BO502" s="1" t="s">
        <v>9526</v>
      </c>
      <c r="BP502" s="1" t="str">
        <f>HYPERLINK("https://nconnect.nicmar.ac.in/storage/profile/ProfilePhoto_P25700458_218963.jpg","Download")</f>
        <v>0</v>
      </c>
      <c r="BQ502" s="3"/>
      <c r="BR502" s="3"/>
    </row>
    <row r="503" spans="1:70">
      <c r="A503" s="1" t="s">
        <v>70</v>
      </c>
      <c r="B503" s="1" t="s">
        <v>1269</v>
      </c>
      <c r="C503" s="1" t="s">
        <v>9527</v>
      </c>
      <c r="D503" s="1" t="s">
        <v>9528</v>
      </c>
      <c r="E503" s="1" t="s">
        <v>2483</v>
      </c>
      <c r="F503" s="1" t="s">
        <v>2024</v>
      </c>
      <c r="G503" s="1" t="s">
        <v>9529</v>
      </c>
      <c r="H503" s="1" t="s">
        <v>9530</v>
      </c>
      <c r="I503" s="1" t="s">
        <v>9531</v>
      </c>
      <c r="J503" s="1">
        <v>7776833773</v>
      </c>
      <c r="K503" s="1" t="s">
        <v>79</v>
      </c>
      <c r="L503" s="1" t="s">
        <v>9532</v>
      </c>
      <c r="M503" s="1" t="s">
        <v>81</v>
      </c>
      <c r="N503" s="1" t="s">
        <v>1418</v>
      </c>
      <c r="O503" s="1"/>
      <c r="P503" s="1" t="s">
        <v>1298</v>
      </c>
      <c r="Q503" s="1" t="s">
        <v>9533</v>
      </c>
      <c r="R503" s="1" t="s">
        <v>2483</v>
      </c>
      <c r="S503" s="1">
        <v>7620077100</v>
      </c>
      <c r="T503" s="1" t="s">
        <v>496</v>
      </c>
      <c r="U503" s="1" t="s">
        <v>9534</v>
      </c>
      <c r="V503" s="1">
        <v>7776833773</v>
      </c>
      <c r="W503" s="1" t="s">
        <v>3344</v>
      </c>
      <c r="X503" s="1" t="s">
        <v>9535</v>
      </c>
      <c r="Y503" s="1" t="s">
        <v>304</v>
      </c>
      <c r="Z503" s="1" t="s">
        <v>92</v>
      </c>
      <c r="AA503" s="1" t="s">
        <v>9535</v>
      </c>
      <c r="AB503" s="1" t="s">
        <v>304</v>
      </c>
      <c r="AC503" s="1" t="s">
        <v>92</v>
      </c>
      <c r="AD503" s="1">
        <v>9.02</v>
      </c>
      <c r="AE503" s="1" t="s">
        <v>93</v>
      </c>
      <c r="AF503" s="1" t="s">
        <v>9536</v>
      </c>
      <c r="AG503" s="1" t="s">
        <v>9537</v>
      </c>
      <c r="AH503" s="1" t="s">
        <v>162</v>
      </c>
      <c r="AI503" s="1" t="s">
        <v>678</v>
      </c>
      <c r="AJ503" s="1">
        <v>93.2</v>
      </c>
      <c r="AK503" s="1"/>
      <c r="AL503" s="1" t="s">
        <v>9538</v>
      </c>
      <c r="AM503" s="1" t="s">
        <v>9539</v>
      </c>
      <c r="AN503" s="1" t="s">
        <v>101</v>
      </c>
      <c r="AO503" s="1" t="s">
        <v>1065</v>
      </c>
      <c r="AP503" s="1">
        <v>76.77</v>
      </c>
      <c r="AQ503" s="1"/>
      <c r="AR503" s="1"/>
      <c r="AS503" s="1"/>
      <c r="AT503" s="1"/>
      <c r="AU503" s="1"/>
      <c r="AV503" s="1"/>
      <c r="AW503" s="1"/>
      <c r="AX503" s="1" t="s">
        <v>361</v>
      </c>
      <c r="AY503" s="1" t="s">
        <v>9540</v>
      </c>
      <c r="AZ503" s="1" t="s">
        <v>310</v>
      </c>
      <c r="BA503" s="1" t="s">
        <v>229</v>
      </c>
      <c r="BB503" s="1">
        <v>87</v>
      </c>
      <c r="BC503" s="1">
        <v>9.45</v>
      </c>
      <c r="BD503" s="1"/>
      <c r="BE503" s="1"/>
      <c r="BF503" s="1"/>
      <c r="BG503" s="1"/>
      <c r="BH503" s="1"/>
      <c r="BI503" s="1"/>
      <c r="BJ503" s="1" t="s">
        <v>9541</v>
      </c>
      <c r="BK503" s="1" t="s">
        <v>9542</v>
      </c>
      <c r="BL503" s="1" t="s">
        <v>1561</v>
      </c>
      <c r="BM503" s="1" t="s">
        <v>9543</v>
      </c>
      <c r="BN503" s="1">
        <v>34</v>
      </c>
      <c r="BO503" s="1" t="s">
        <v>9544</v>
      </c>
      <c r="BP503" s="1" t="str">
        <f>HYPERLINK("https://nconnect.nicmar.ac.in/storage/profile/ProfilePhoto_P25700459_341756.jpg","Download")</f>
        <v>0</v>
      </c>
      <c r="BQ503" s="3"/>
      <c r="BR503" s="3"/>
    </row>
    <row r="504" spans="1:70">
      <c r="A504" s="1" t="s">
        <v>70</v>
      </c>
      <c r="B504" s="1" t="s">
        <v>1269</v>
      </c>
      <c r="C504" s="1" t="s">
        <v>9545</v>
      </c>
      <c r="D504" s="1" t="s">
        <v>9546</v>
      </c>
      <c r="E504" s="1"/>
      <c r="F504" s="1" t="s">
        <v>9547</v>
      </c>
      <c r="G504" s="1" t="s">
        <v>9548</v>
      </c>
      <c r="H504" s="1" t="s">
        <v>9549</v>
      </c>
      <c r="I504" s="1" t="s">
        <v>9550</v>
      </c>
      <c r="J504" s="1">
        <v>8610896413</v>
      </c>
      <c r="K504" s="1" t="s">
        <v>79</v>
      </c>
      <c r="L504" s="1" t="s">
        <v>9551</v>
      </c>
      <c r="M504" s="1" t="s">
        <v>81</v>
      </c>
      <c r="N504" s="1" t="s">
        <v>6490</v>
      </c>
      <c r="O504" s="1"/>
      <c r="P504" s="1" t="s">
        <v>1323</v>
      </c>
      <c r="Q504" s="1" t="s">
        <v>9552</v>
      </c>
      <c r="R504" s="1" t="s">
        <v>9547</v>
      </c>
      <c r="S504" s="1">
        <v>9363044241</v>
      </c>
      <c r="T504" s="1" t="s">
        <v>496</v>
      </c>
      <c r="U504" s="1" t="s">
        <v>9553</v>
      </c>
      <c r="V504" s="1">
        <v>9442644241</v>
      </c>
      <c r="W504" s="1" t="s">
        <v>273</v>
      </c>
      <c r="X504" s="1" t="s">
        <v>9554</v>
      </c>
      <c r="Y504" s="1" t="s">
        <v>9555</v>
      </c>
      <c r="Z504" s="1" t="s">
        <v>1377</v>
      </c>
      <c r="AA504" s="1" t="s">
        <v>9554</v>
      </c>
      <c r="AB504" s="1" t="s">
        <v>9555</v>
      </c>
      <c r="AC504" s="1" t="s">
        <v>1377</v>
      </c>
      <c r="AD504" s="1">
        <v>7.98</v>
      </c>
      <c r="AE504" s="1" t="s">
        <v>93</v>
      </c>
      <c r="AF504" s="1" t="s">
        <v>9556</v>
      </c>
      <c r="AG504" s="1" t="s">
        <v>9557</v>
      </c>
      <c r="AH504" s="1" t="s">
        <v>678</v>
      </c>
      <c r="AI504" s="1" t="s">
        <v>308</v>
      </c>
      <c r="AJ504" s="1">
        <v>70.8</v>
      </c>
      <c r="AK504" s="1"/>
      <c r="AL504" s="1" t="s">
        <v>9556</v>
      </c>
      <c r="AM504" s="1" t="s">
        <v>9557</v>
      </c>
      <c r="AN504" s="1" t="s">
        <v>678</v>
      </c>
      <c r="AO504" s="1" t="s">
        <v>506</v>
      </c>
      <c r="AP504" s="1">
        <v>78.8</v>
      </c>
      <c r="AQ504" s="1"/>
      <c r="AR504" s="1"/>
      <c r="AS504" s="1"/>
      <c r="AT504" s="1"/>
      <c r="AU504" s="1"/>
      <c r="AV504" s="1"/>
      <c r="AW504" s="1"/>
      <c r="AX504" s="1" t="s">
        <v>1359</v>
      </c>
      <c r="AY504" s="1" t="s">
        <v>9558</v>
      </c>
      <c r="AZ504" s="1" t="s">
        <v>1051</v>
      </c>
      <c r="BA504" s="1" t="s">
        <v>1361</v>
      </c>
      <c r="BB504" s="1">
        <v>79.2</v>
      </c>
      <c r="BC504" s="1">
        <v>7.92</v>
      </c>
      <c r="BD504" s="1"/>
      <c r="BE504" s="1"/>
      <c r="BF504" s="1"/>
      <c r="BG504" s="1"/>
      <c r="BH504" s="1"/>
      <c r="BI504" s="1"/>
      <c r="BJ504" s="1" t="s">
        <v>364</v>
      </c>
      <c r="BK504" s="1"/>
      <c r="BL504" s="1"/>
      <c r="BM504" s="1" t="s">
        <v>9559</v>
      </c>
      <c r="BN504" s="1">
        <v>4</v>
      </c>
      <c r="BO504" s="1" t="s">
        <v>9560</v>
      </c>
      <c r="BP504" s="1" t="str">
        <f>HYPERLINK("https://nconnect.nicmar.ac.in/storage/profile/ProfilePhoto_P25700460_479385.jpg","Download")</f>
        <v>0</v>
      </c>
      <c r="BQ504" s="3"/>
      <c r="BR504" s="3"/>
    </row>
    <row r="505" spans="1:70">
      <c r="A505" s="1" t="s">
        <v>70</v>
      </c>
      <c r="B505" s="1" t="s">
        <v>1269</v>
      </c>
      <c r="C505" s="1" t="s">
        <v>9561</v>
      </c>
      <c r="D505" s="1" t="s">
        <v>533</v>
      </c>
      <c r="E505" s="1" t="s">
        <v>9562</v>
      </c>
      <c r="F505" s="1" t="s">
        <v>4016</v>
      </c>
      <c r="G505" s="1" t="s">
        <v>9563</v>
      </c>
      <c r="H505" s="1" t="s">
        <v>9564</v>
      </c>
      <c r="I505" s="1" t="s">
        <v>9565</v>
      </c>
      <c r="J505" s="1">
        <v>8999541427</v>
      </c>
      <c r="K505" s="1" t="s">
        <v>79</v>
      </c>
      <c r="L505" s="1" t="s">
        <v>9566</v>
      </c>
      <c r="M505" s="1" t="s">
        <v>81</v>
      </c>
      <c r="N505" s="1" t="s">
        <v>1986</v>
      </c>
      <c r="O505" s="1"/>
      <c r="P505" s="1" t="s">
        <v>1278</v>
      </c>
      <c r="Q505" s="1" t="s">
        <v>9567</v>
      </c>
      <c r="R505" s="1" t="s">
        <v>9562</v>
      </c>
      <c r="S505" s="1">
        <v>9921418107</v>
      </c>
      <c r="T505" s="1" t="s">
        <v>154</v>
      </c>
      <c r="U505" s="1" t="s">
        <v>9156</v>
      </c>
      <c r="V505" s="1">
        <v>9834640632</v>
      </c>
      <c r="W505" s="1" t="s">
        <v>9568</v>
      </c>
      <c r="X505" s="1" t="s">
        <v>9569</v>
      </c>
      <c r="Y505" s="1" t="s">
        <v>191</v>
      </c>
      <c r="Z505" s="1" t="s">
        <v>92</v>
      </c>
      <c r="AA505" s="1" t="s">
        <v>9569</v>
      </c>
      <c r="AB505" s="1" t="s">
        <v>191</v>
      </c>
      <c r="AC505" s="1" t="s">
        <v>92</v>
      </c>
      <c r="AD505" s="1">
        <v>8.03</v>
      </c>
      <c r="AE505" s="1" t="s">
        <v>93</v>
      </c>
      <c r="AF505" s="1" t="s">
        <v>9570</v>
      </c>
      <c r="AG505" s="1" t="s">
        <v>9571</v>
      </c>
      <c r="AH505" s="1" t="s">
        <v>101</v>
      </c>
      <c r="AI505" s="1" t="s">
        <v>409</v>
      </c>
      <c r="AJ505" s="1">
        <v>75.2</v>
      </c>
      <c r="AK505" s="1"/>
      <c r="AL505" s="1"/>
      <c r="AM505" s="1"/>
      <c r="AN505" s="1"/>
      <c r="AO505" s="1"/>
      <c r="AP505" s="1"/>
      <c r="AQ505" s="1"/>
      <c r="AR505" s="1" t="s">
        <v>98</v>
      </c>
      <c r="AS505" s="1" t="s">
        <v>9572</v>
      </c>
      <c r="AT505" s="1" t="s">
        <v>201</v>
      </c>
      <c r="AU505" s="1" t="s">
        <v>105</v>
      </c>
      <c r="AV505" s="1">
        <v>77.4</v>
      </c>
      <c r="AW505" s="1"/>
      <c r="AX505" s="1" t="s">
        <v>361</v>
      </c>
      <c r="AY505" s="1" t="s">
        <v>9573</v>
      </c>
      <c r="AZ505" s="1" t="s">
        <v>2690</v>
      </c>
      <c r="BA505" s="1" t="s">
        <v>1714</v>
      </c>
      <c r="BB505" s="1">
        <v>66.3</v>
      </c>
      <c r="BC505" s="1">
        <v>7.38</v>
      </c>
      <c r="BD505" s="1"/>
      <c r="BE505" s="1"/>
      <c r="BF505" s="1"/>
      <c r="BG505" s="1"/>
      <c r="BH505" s="1"/>
      <c r="BI505" s="1"/>
      <c r="BJ505" s="1" t="s">
        <v>9574</v>
      </c>
      <c r="BK505" s="1"/>
      <c r="BL505" s="1"/>
      <c r="BM505" s="1" t="s">
        <v>9575</v>
      </c>
      <c r="BN505" s="1">
        <v>4</v>
      </c>
      <c r="BO505" s="1" t="s">
        <v>9576</v>
      </c>
      <c r="BP505" s="1" t="str">
        <f>HYPERLINK("https://nconnect.nicmar.ac.in/storage/profile/ProfilePhoto_P25700461_475293.jpg","Download")</f>
        <v>0</v>
      </c>
      <c r="BQ505" s="3"/>
      <c r="BR505" s="3"/>
    </row>
    <row r="506" spans="1:70">
      <c r="A506" s="1" t="s">
        <v>70</v>
      </c>
      <c r="B506" s="1" t="s">
        <v>1269</v>
      </c>
      <c r="C506" s="1" t="s">
        <v>9577</v>
      </c>
      <c r="D506" s="1" t="s">
        <v>9578</v>
      </c>
      <c r="E506" s="1"/>
      <c r="F506" s="1" t="s">
        <v>234</v>
      </c>
      <c r="G506" s="1" t="s">
        <v>9579</v>
      </c>
      <c r="H506" s="1" t="s">
        <v>9580</v>
      </c>
      <c r="I506" s="1" t="s">
        <v>9581</v>
      </c>
      <c r="J506" s="1">
        <v>8757777788</v>
      </c>
      <c r="K506" s="1" t="s">
        <v>79</v>
      </c>
      <c r="L506" s="1" t="s">
        <v>9582</v>
      </c>
      <c r="M506" s="1" t="s">
        <v>81</v>
      </c>
      <c r="N506" s="1" t="s">
        <v>1950</v>
      </c>
      <c r="O506" s="1"/>
      <c r="P506" s="1" t="s">
        <v>1323</v>
      </c>
      <c r="Q506" s="1" t="s">
        <v>9583</v>
      </c>
      <c r="R506" s="1" t="s">
        <v>9584</v>
      </c>
      <c r="S506" s="1">
        <v>8102728777</v>
      </c>
      <c r="T506" s="1" t="s">
        <v>496</v>
      </c>
      <c r="U506" s="1" t="s">
        <v>9585</v>
      </c>
      <c r="V506" s="1">
        <v>9905023432</v>
      </c>
      <c r="W506" s="1" t="s">
        <v>89</v>
      </c>
      <c r="X506" s="1" t="s">
        <v>9586</v>
      </c>
      <c r="Y506" s="1" t="s">
        <v>191</v>
      </c>
      <c r="Z506" s="1" t="s">
        <v>92</v>
      </c>
      <c r="AA506" s="1" t="s">
        <v>9587</v>
      </c>
      <c r="AB506" s="1" t="s">
        <v>845</v>
      </c>
      <c r="AC506" s="1" t="s">
        <v>846</v>
      </c>
      <c r="AD506" s="1">
        <v>8.33</v>
      </c>
      <c r="AE506" s="1" t="s">
        <v>93</v>
      </c>
      <c r="AF506" s="1" t="s">
        <v>9588</v>
      </c>
      <c r="AG506" s="1" t="s">
        <v>9589</v>
      </c>
      <c r="AH506" s="1" t="s">
        <v>477</v>
      </c>
      <c r="AI506" s="1" t="s">
        <v>131</v>
      </c>
      <c r="AJ506" s="1">
        <v>95</v>
      </c>
      <c r="AK506" s="1">
        <v>10</v>
      </c>
      <c r="AL506" s="1" t="s">
        <v>9590</v>
      </c>
      <c r="AM506" s="1" t="s">
        <v>9589</v>
      </c>
      <c r="AN506" s="1" t="s">
        <v>1307</v>
      </c>
      <c r="AO506" s="1" t="s">
        <v>308</v>
      </c>
      <c r="AP506" s="1">
        <v>66.2</v>
      </c>
      <c r="AQ506" s="1"/>
      <c r="AR506" s="1"/>
      <c r="AS506" s="1"/>
      <c r="AT506" s="1"/>
      <c r="AU506" s="1"/>
      <c r="AV506" s="1"/>
      <c r="AW506" s="1"/>
      <c r="AX506" s="1" t="s">
        <v>361</v>
      </c>
      <c r="AY506" s="1" t="s">
        <v>5466</v>
      </c>
      <c r="AZ506" s="1" t="s">
        <v>201</v>
      </c>
      <c r="BA506" s="1" t="s">
        <v>174</v>
      </c>
      <c r="BB506" s="1">
        <v>69.24</v>
      </c>
      <c r="BC506" s="1">
        <v>7.78</v>
      </c>
      <c r="BD506" s="1"/>
      <c r="BE506" s="1"/>
      <c r="BF506" s="1"/>
      <c r="BG506" s="1"/>
      <c r="BH506" s="1"/>
      <c r="BI506" s="1"/>
      <c r="BJ506" s="1" t="s">
        <v>9591</v>
      </c>
      <c r="BK506" s="1" t="s">
        <v>9592</v>
      </c>
      <c r="BL506" s="1" t="s">
        <v>2019</v>
      </c>
      <c r="BM506" s="1" t="s">
        <v>9593</v>
      </c>
      <c r="BN506" s="1">
        <v>36</v>
      </c>
      <c r="BO506" s="1" t="s">
        <v>9594</v>
      </c>
      <c r="BP506" s="1" t="str">
        <f>HYPERLINK("https://nconnect.nicmar.ac.in/storage/profile/ProfilePhoto_P25700462_461837.jpg","Download")</f>
        <v>0</v>
      </c>
      <c r="BQ506" s="3"/>
      <c r="BR506" s="3"/>
    </row>
    <row r="507" spans="1:70">
      <c r="A507" s="1" t="s">
        <v>70</v>
      </c>
      <c r="B507" s="1" t="s">
        <v>1269</v>
      </c>
      <c r="C507" s="1" t="s">
        <v>9595</v>
      </c>
      <c r="D507" s="1" t="s">
        <v>9596</v>
      </c>
      <c r="E507" s="1" t="s">
        <v>971</v>
      </c>
      <c r="F507" s="1" t="s">
        <v>393</v>
      </c>
      <c r="G507" s="1" t="s">
        <v>9597</v>
      </c>
      <c r="H507" s="1" t="s">
        <v>9598</v>
      </c>
      <c r="I507" s="1" t="s">
        <v>9599</v>
      </c>
      <c r="J507" s="1">
        <v>9175048718</v>
      </c>
      <c r="K507" s="1" t="s">
        <v>148</v>
      </c>
      <c r="L507" s="1" t="s">
        <v>4812</v>
      </c>
      <c r="M507" s="1" t="s">
        <v>81</v>
      </c>
      <c r="N507" s="1" t="s">
        <v>1986</v>
      </c>
      <c r="O507" s="1"/>
      <c r="P507" s="1" t="s">
        <v>1278</v>
      </c>
      <c r="Q507" s="1" t="s">
        <v>9600</v>
      </c>
      <c r="R507" s="1" t="s">
        <v>9601</v>
      </c>
      <c r="S507" s="1">
        <v>9850353247</v>
      </c>
      <c r="T507" s="1" t="s">
        <v>4672</v>
      </c>
      <c r="U507" s="1" t="s">
        <v>9602</v>
      </c>
      <c r="V507" s="1">
        <v>9850721288</v>
      </c>
      <c r="W507" s="1" t="s">
        <v>156</v>
      </c>
      <c r="X507" s="1" t="s">
        <v>9603</v>
      </c>
      <c r="Y507" s="1" t="s">
        <v>405</v>
      </c>
      <c r="Z507" s="1" t="s">
        <v>92</v>
      </c>
      <c r="AA507" s="1" t="s">
        <v>9604</v>
      </c>
      <c r="AB507" s="1" t="s">
        <v>405</v>
      </c>
      <c r="AC507" s="1" t="s">
        <v>92</v>
      </c>
      <c r="AD507" s="1">
        <v>8.52</v>
      </c>
      <c r="AE507" s="1" t="s">
        <v>93</v>
      </c>
      <c r="AF507" s="1" t="s">
        <v>9605</v>
      </c>
      <c r="AG507" s="1" t="s">
        <v>307</v>
      </c>
      <c r="AH507" s="1" t="s">
        <v>1240</v>
      </c>
      <c r="AI507" s="1" t="s">
        <v>308</v>
      </c>
      <c r="AJ507" s="1">
        <v>81.2</v>
      </c>
      <c r="AK507" s="1">
        <v>0</v>
      </c>
      <c r="AL507" s="1" t="s">
        <v>9606</v>
      </c>
      <c r="AM507" s="1" t="s">
        <v>476</v>
      </c>
      <c r="AN507" s="1" t="s">
        <v>310</v>
      </c>
      <c r="AO507" s="1" t="s">
        <v>436</v>
      </c>
      <c r="AP507" s="1">
        <v>95.33</v>
      </c>
      <c r="AQ507" s="1">
        <v>0</v>
      </c>
      <c r="AR507" s="1"/>
      <c r="AS507" s="1"/>
      <c r="AT507" s="1"/>
      <c r="AU507" s="1"/>
      <c r="AV507" s="1"/>
      <c r="AW507" s="1"/>
      <c r="AX507" s="1" t="s">
        <v>9607</v>
      </c>
      <c r="AY507" s="1" t="s">
        <v>9608</v>
      </c>
      <c r="AZ507" s="1" t="s">
        <v>897</v>
      </c>
      <c r="BA507" s="1" t="s">
        <v>1714</v>
      </c>
      <c r="BB507" s="1">
        <v>68.79</v>
      </c>
      <c r="BC507" s="1">
        <v>7.63</v>
      </c>
      <c r="BD507" s="1"/>
      <c r="BE507" s="1"/>
      <c r="BF507" s="1"/>
      <c r="BG507" s="1"/>
      <c r="BH507" s="1"/>
      <c r="BI507" s="1"/>
      <c r="BJ507" s="1" t="s">
        <v>9609</v>
      </c>
      <c r="BK507" s="1"/>
      <c r="BL507" s="1"/>
      <c r="BM507" s="1" t="s">
        <v>9610</v>
      </c>
      <c r="BN507" s="1">
        <v>15</v>
      </c>
      <c r="BO507" s="1"/>
      <c r="BP507" s="1" t="str">
        <f>HYPERLINK("https://nconnect.nicmar.ac.in/storage/profile/ProfilePhoto_P25700463_384196.jpg","Download")</f>
        <v>0</v>
      </c>
      <c r="BQ507" s="3"/>
      <c r="BR507" s="3"/>
    </row>
    <row r="508" spans="1:70">
      <c r="A508" s="1" t="s">
        <v>70</v>
      </c>
      <c r="B508" s="1" t="s">
        <v>1269</v>
      </c>
      <c r="C508" s="1" t="s">
        <v>9611</v>
      </c>
      <c r="D508" s="1" t="s">
        <v>9612</v>
      </c>
      <c r="E508" s="1"/>
      <c r="F508" s="1" t="s">
        <v>9613</v>
      </c>
      <c r="G508" s="1" t="s">
        <v>9614</v>
      </c>
      <c r="H508" s="1" t="s">
        <v>9615</v>
      </c>
      <c r="I508" s="1" t="s">
        <v>9616</v>
      </c>
      <c r="J508" s="1">
        <v>8184975124</v>
      </c>
      <c r="K508" s="1" t="s">
        <v>79</v>
      </c>
      <c r="L508" s="1" t="s">
        <v>9617</v>
      </c>
      <c r="M508" s="1" t="s">
        <v>81</v>
      </c>
      <c r="N508" s="1" t="s">
        <v>9618</v>
      </c>
      <c r="O508" s="1"/>
      <c r="P508" s="1" t="s">
        <v>1766</v>
      </c>
      <c r="Q508" s="1" t="s">
        <v>9619</v>
      </c>
      <c r="R508" s="1" t="s">
        <v>9620</v>
      </c>
      <c r="S508" s="1">
        <v>9030871186</v>
      </c>
      <c r="T508" s="1" t="s">
        <v>9621</v>
      </c>
      <c r="U508" s="1" t="s">
        <v>7625</v>
      </c>
      <c r="V508" s="1">
        <v>9346051186</v>
      </c>
      <c r="W508" s="1" t="s">
        <v>273</v>
      </c>
      <c r="X508" s="1" t="s">
        <v>9622</v>
      </c>
      <c r="Y508" s="1" t="s">
        <v>9623</v>
      </c>
      <c r="Z508" s="1" t="s">
        <v>609</v>
      </c>
      <c r="AA508" s="1" t="s">
        <v>9622</v>
      </c>
      <c r="AB508" s="1" t="s">
        <v>9623</v>
      </c>
      <c r="AC508" s="1" t="s">
        <v>609</v>
      </c>
      <c r="AD508" s="1">
        <v>7.72</v>
      </c>
      <c r="AE508" s="1" t="s">
        <v>93</v>
      </c>
      <c r="AF508" s="1" t="s">
        <v>9624</v>
      </c>
      <c r="AG508" s="1" t="s">
        <v>1285</v>
      </c>
      <c r="AH508" s="1" t="s">
        <v>165</v>
      </c>
      <c r="AI508" s="1" t="s">
        <v>281</v>
      </c>
      <c r="AJ508" s="1">
        <v>80.76</v>
      </c>
      <c r="AK508" s="1">
        <v>8.5</v>
      </c>
      <c r="AL508" s="1"/>
      <c r="AM508" s="1"/>
      <c r="AN508" s="1"/>
      <c r="AO508" s="1"/>
      <c r="AP508" s="1"/>
      <c r="AQ508" s="1"/>
      <c r="AR508" s="1" t="s">
        <v>434</v>
      </c>
      <c r="AS508" s="1" t="s">
        <v>9625</v>
      </c>
      <c r="AT508" s="1" t="s">
        <v>101</v>
      </c>
      <c r="AU508" s="1" t="s">
        <v>506</v>
      </c>
      <c r="AV508" s="1">
        <v>58.5</v>
      </c>
      <c r="AW508" s="1">
        <v>6.35</v>
      </c>
      <c r="AX508" s="1" t="s">
        <v>9626</v>
      </c>
      <c r="AY508" s="1" t="s">
        <v>9627</v>
      </c>
      <c r="AZ508" s="1" t="s">
        <v>1051</v>
      </c>
      <c r="BA508" s="1" t="s">
        <v>702</v>
      </c>
      <c r="BB508" s="1">
        <v>73.4</v>
      </c>
      <c r="BC508" s="1">
        <v>7.84</v>
      </c>
      <c r="BD508" s="1"/>
      <c r="BE508" s="1"/>
      <c r="BF508" s="1"/>
      <c r="BG508" s="1"/>
      <c r="BH508" s="1"/>
      <c r="BI508" s="1"/>
      <c r="BJ508" s="1" t="s">
        <v>4493</v>
      </c>
      <c r="BK508" s="1" t="s">
        <v>9628</v>
      </c>
      <c r="BL508" s="1" t="s">
        <v>1919</v>
      </c>
      <c r="BM508" s="1" t="s">
        <v>9629</v>
      </c>
      <c r="BN508" s="1">
        <v>32</v>
      </c>
      <c r="BO508" s="1"/>
      <c r="BP508" s="1" t="str">
        <f>HYPERLINK("https://nconnect.nicmar.ac.in/storage/profile/ProfilePhoto_P25700464_638752.jpg","Download")</f>
        <v>0</v>
      </c>
      <c r="BQ508" s="3"/>
      <c r="BR508" s="3"/>
    </row>
    <row r="509" spans="1:70">
      <c r="A509" s="1" t="s">
        <v>70</v>
      </c>
      <c r="B509" s="1" t="s">
        <v>1269</v>
      </c>
      <c r="C509" s="1" t="s">
        <v>9630</v>
      </c>
      <c r="D509" s="1" t="s">
        <v>3466</v>
      </c>
      <c r="E509" s="1"/>
      <c r="F509" s="1" t="s">
        <v>2655</v>
      </c>
      <c r="G509" s="1" t="s">
        <v>9631</v>
      </c>
      <c r="H509" s="1" t="s">
        <v>9632</v>
      </c>
      <c r="I509" s="1" t="s">
        <v>9633</v>
      </c>
      <c r="J509" s="1">
        <v>6382968542</v>
      </c>
      <c r="K509" s="1" t="s">
        <v>79</v>
      </c>
      <c r="L509" s="1" t="s">
        <v>9634</v>
      </c>
      <c r="M509" s="1" t="s">
        <v>81</v>
      </c>
      <c r="N509" s="1" t="s">
        <v>9635</v>
      </c>
      <c r="O509" s="1"/>
      <c r="P509" s="1" t="s">
        <v>1278</v>
      </c>
      <c r="Q509" s="1" t="s">
        <v>9636</v>
      </c>
      <c r="R509" s="1" t="s">
        <v>9637</v>
      </c>
      <c r="S509" s="1">
        <v>9443864602</v>
      </c>
      <c r="T509" s="1" t="s">
        <v>9638</v>
      </c>
      <c r="U509" s="1" t="s">
        <v>9639</v>
      </c>
      <c r="V509" s="1">
        <v>9443864602</v>
      </c>
      <c r="W509" s="1" t="s">
        <v>9640</v>
      </c>
      <c r="X509" s="1" t="s">
        <v>9641</v>
      </c>
      <c r="Y509" s="1" t="s">
        <v>9642</v>
      </c>
      <c r="Z509" s="1" t="s">
        <v>1377</v>
      </c>
      <c r="AA509" s="1" t="s">
        <v>9641</v>
      </c>
      <c r="AB509" s="1" t="s">
        <v>9642</v>
      </c>
      <c r="AC509" s="1" t="s">
        <v>1377</v>
      </c>
      <c r="AD509" s="1">
        <v>8.56</v>
      </c>
      <c r="AE509" s="1" t="s">
        <v>93</v>
      </c>
      <c r="AF509" s="1" t="s">
        <v>9643</v>
      </c>
      <c r="AG509" s="1" t="s">
        <v>9644</v>
      </c>
      <c r="AH509" s="1" t="s">
        <v>165</v>
      </c>
      <c r="AI509" s="1" t="s">
        <v>166</v>
      </c>
      <c r="AJ509" s="1">
        <v>64.4</v>
      </c>
      <c r="AK509" s="1"/>
      <c r="AL509" s="1" t="s">
        <v>9645</v>
      </c>
      <c r="AM509" s="1" t="s">
        <v>9646</v>
      </c>
      <c r="AN509" s="1" t="s">
        <v>310</v>
      </c>
      <c r="AO509" s="1" t="s">
        <v>173</v>
      </c>
      <c r="AP509" s="1">
        <v>80.2</v>
      </c>
      <c r="AQ509" s="1"/>
      <c r="AR509" s="1"/>
      <c r="AS509" s="1"/>
      <c r="AT509" s="1"/>
      <c r="AU509" s="1"/>
      <c r="AV509" s="1"/>
      <c r="AW509" s="1"/>
      <c r="AX509" s="1" t="s">
        <v>9647</v>
      </c>
      <c r="AY509" s="1" t="s">
        <v>9648</v>
      </c>
      <c r="AZ509" s="1" t="s">
        <v>699</v>
      </c>
      <c r="BA509" s="1" t="s">
        <v>1714</v>
      </c>
      <c r="BB509" s="1">
        <v>87.6</v>
      </c>
      <c r="BC509" s="1">
        <v>8.76</v>
      </c>
      <c r="BD509" s="1"/>
      <c r="BE509" s="1"/>
      <c r="BF509" s="1"/>
      <c r="BG509" s="1"/>
      <c r="BH509" s="1"/>
      <c r="BI509" s="1"/>
      <c r="BJ509" s="1" t="s">
        <v>9649</v>
      </c>
      <c r="BK509" s="1"/>
      <c r="BL509" s="1"/>
      <c r="BM509" s="1" t="s">
        <v>9650</v>
      </c>
      <c r="BN509" s="1">
        <v>26</v>
      </c>
      <c r="BO509" s="1"/>
      <c r="BP509" s="1" t="str">
        <f>HYPERLINK("https://nconnect.nicmar.ac.in/storage/profile/ProfilePhoto_P25700465_781254.jpg","Download")</f>
        <v>0</v>
      </c>
      <c r="BQ509" s="3"/>
      <c r="BR509" s="3"/>
    </row>
    <row r="510" spans="1:70">
      <c r="A510" s="1" t="s">
        <v>70</v>
      </c>
      <c r="B510" s="1" t="s">
        <v>1269</v>
      </c>
      <c r="C510" s="1" t="s">
        <v>9651</v>
      </c>
      <c r="D510" s="1" t="s">
        <v>417</v>
      </c>
      <c r="E510" s="1" t="s">
        <v>9652</v>
      </c>
      <c r="F510" s="1" t="s">
        <v>2024</v>
      </c>
      <c r="G510" s="1" t="s">
        <v>9653</v>
      </c>
      <c r="H510" s="1" t="s">
        <v>9654</v>
      </c>
      <c r="I510" s="1" t="s">
        <v>9655</v>
      </c>
      <c r="J510" s="1">
        <v>9022703156</v>
      </c>
      <c r="K510" s="1" t="s">
        <v>148</v>
      </c>
      <c r="L510" s="1" t="s">
        <v>3504</v>
      </c>
      <c r="M510" s="1" t="s">
        <v>150</v>
      </c>
      <c r="N510" s="1" t="s">
        <v>1418</v>
      </c>
      <c r="O510" s="1"/>
      <c r="P510" s="1" t="s">
        <v>1323</v>
      </c>
      <c r="Q510" s="1" t="s">
        <v>9656</v>
      </c>
      <c r="R510" s="1" t="s">
        <v>5452</v>
      </c>
      <c r="S510" s="1">
        <v>9657735550</v>
      </c>
      <c r="T510" s="1" t="s">
        <v>9657</v>
      </c>
      <c r="U510" s="1" t="s">
        <v>5726</v>
      </c>
      <c r="V510" s="1">
        <v>8805854784</v>
      </c>
      <c r="W510" s="1" t="s">
        <v>273</v>
      </c>
      <c r="X510" s="1" t="s">
        <v>9658</v>
      </c>
      <c r="Y510" s="1" t="s">
        <v>766</v>
      </c>
      <c r="Z510" s="1" t="s">
        <v>92</v>
      </c>
      <c r="AA510" s="1" t="s">
        <v>9659</v>
      </c>
      <c r="AB510" s="1" t="s">
        <v>5064</v>
      </c>
      <c r="AC510" s="1" t="s">
        <v>92</v>
      </c>
      <c r="AD510" s="1">
        <v>7.2</v>
      </c>
      <c r="AE510" s="1" t="s">
        <v>93</v>
      </c>
      <c r="AF510" s="1" t="s">
        <v>9660</v>
      </c>
      <c r="AG510" s="1" t="s">
        <v>160</v>
      </c>
      <c r="AH510" s="1" t="s">
        <v>165</v>
      </c>
      <c r="AI510" s="1" t="s">
        <v>281</v>
      </c>
      <c r="AJ510" s="1">
        <v>81.6</v>
      </c>
      <c r="AK510" s="1">
        <v>0</v>
      </c>
      <c r="AL510" s="1" t="s">
        <v>9661</v>
      </c>
      <c r="AM510" s="1" t="s">
        <v>160</v>
      </c>
      <c r="AN510" s="1" t="s">
        <v>433</v>
      </c>
      <c r="AO510" s="1" t="s">
        <v>360</v>
      </c>
      <c r="AP510" s="1">
        <v>69.69</v>
      </c>
      <c r="AQ510" s="1">
        <v>0</v>
      </c>
      <c r="AR510" s="1"/>
      <c r="AS510" s="1"/>
      <c r="AT510" s="1"/>
      <c r="AU510" s="1"/>
      <c r="AV510" s="1"/>
      <c r="AW510" s="1"/>
      <c r="AX510" s="1" t="s">
        <v>1024</v>
      </c>
      <c r="AY510" s="1" t="s">
        <v>9662</v>
      </c>
      <c r="AZ510" s="1" t="s">
        <v>699</v>
      </c>
      <c r="BA510" s="1" t="s">
        <v>1714</v>
      </c>
      <c r="BB510" s="1">
        <v>69.23</v>
      </c>
      <c r="BC510" s="1">
        <v>7.46</v>
      </c>
      <c r="BD510" s="1"/>
      <c r="BE510" s="1"/>
      <c r="BF510" s="1"/>
      <c r="BG510" s="1"/>
      <c r="BH510" s="1"/>
      <c r="BI510" s="1"/>
      <c r="BJ510" s="1" t="s">
        <v>4102</v>
      </c>
      <c r="BK510" s="1"/>
      <c r="BL510" s="1"/>
      <c r="BM510" s="1" t="s">
        <v>9663</v>
      </c>
      <c r="BN510" s="1">
        <v>8</v>
      </c>
      <c r="BO510" s="1"/>
      <c r="BP510" s="1" t="str">
        <f>HYPERLINK("https://nconnect.nicmar.ac.in/storage/profile/ProfilePhoto_P25700466_237615.jpg","Download")</f>
        <v>0</v>
      </c>
      <c r="BQ510" s="3"/>
      <c r="BR510" s="3"/>
    </row>
    <row r="511" spans="1:70">
      <c r="A511" s="1" t="s">
        <v>70</v>
      </c>
      <c r="B511" s="1" t="s">
        <v>1269</v>
      </c>
      <c r="C511" s="1" t="s">
        <v>9664</v>
      </c>
      <c r="D511" s="1" t="s">
        <v>9665</v>
      </c>
      <c r="E511" s="1"/>
      <c r="F511" s="1" t="s">
        <v>9666</v>
      </c>
      <c r="G511" s="1" t="s">
        <v>9667</v>
      </c>
      <c r="H511" s="1" t="s">
        <v>9668</v>
      </c>
      <c r="I511" s="1" t="s">
        <v>9669</v>
      </c>
      <c r="J511" s="1">
        <v>8318035615</v>
      </c>
      <c r="K511" s="1" t="s">
        <v>79</v>
      </c>
      <c r="L511" s="1" t="s">
        <v>9670</v>
      </c>
      <c r="M511" s="1" t="s">
        <v>81</v>
      </c>
      <c r="N511" s="1" t="s">
        <v>5040</v>
      </c>
      <c r="O511" s="1"/>
      <c r="P511" s="1" t="s">
        <v>1323</v>
      </c>
      <c r="Q511" s="1" t="s">
        <v>9671</v>
      </c>
      <c r="R511" s="1" t="s">
        <v>9672</v>
      </c>
      <c r="S511" s="1">
        <v>6388241703</v>
      </c>
      <c r="T511" s="1" t="s">
        <v>9673</v>
      </c>
      <c r="U511" s="1" t="s">
        <v>9674</v>
      </c>
      <c r="V511" s="1">
        <v>9140420240</v>
      </c>
      <c r="W511" s="1" t="s">
        <v>9673</v>
      </c>
      <c r="X511" s="1" t="s">
        <v>9675</v>
      </c>
      <c r="Y511" s="1" t="s">
        <v>9676</v>
      </c>
      <c r="Z511" s="1" t="s">
        <v>1355</v>
      </c>
      <c r="AA511" s="1" t="s">
        <v>9675</v>
      </c>
      <c r="AB511" s="1" t="s">
        <v>9676</v>
      </c>
      <c r="AC511" s="1" t="s">
        <v>1355</v>
      </c>
      <c r="AD511" s="1">
        <v>8.23</v>
      </c>
      <c r="AE511" s="1" t="s">
        <v>93</v>
      </c>
      <c r="AF511" s="1" t="s">
        <v>9677</v>
      </c>
      <c r="AG511" s="1" t="s">
        <v>9678</v>
      </c>
      <c r="AH511" s="1" t="s">
        <v>1307</v>
      </c>
      <c r="AI511" s="1" t="s">
        <v>308</v>
      </c>
      <c r="AJ511" s="1">
        <v>90.4</v>
      </c>
      <c r="AK511" s="1">
        <v>9.51</v>
      </c>
      <c r="AL511" s="1" t="s">
        <v>9677</v>
      </c>
      <c r="AM511" s="1" t="s">
        <v>9678</v>
      </c>
      <c r="AN511" s="1" t="s">
        <v>1833</v>
      </c>
      <c r="AO511" s="1" t="s">
        <v>506</v>
      </c>
      <c r="AP511" s="1">
        <v>88.83</v>
      </c>
      <c r="AQ511" s="1">
        <v>9.35</v>
      </c>
      <c r="AR511" s="1"/>
      <c r="AS511" s="1"/>
      <c r="AT511" s="1"/>
      <c r="AU511" s="1"/>
      <c r="AV511" s="1"/>
      <c r="AW511" s="1"/>
      <c r="AX511" s="1" t="s">
        <v>1359</v>
      </c>
      <c r="AY511" s="1" t="s">
        <v>6869</v>
      </c>
      <c r="AZ511" s="1" t="s">
        <v>1051</v>
      </c>
      <c r="BA511" s="1" t="s">
        <v>1361</v>
      </c>
      <c r="BB511" s="1">
        <v>78.9</v>
      </c>
      <c r="BC511" s="1">
        <v>7.89</v>
      </c>
      <c r="BD511" s="1"/>
      <c r="BE511" s="1"/>
      <c r="BF511" s="1"/>
      <c r="BG511" s="1"/>
      <c r="BH511" s="1"/>
      <c r="BI511" s="1"/>
      <c r="BJ511" s="1" t="s">
        <v>9679</v>
      </c>
      <c r="BK511" s="1"/>
      <c r="BL511" s="1"/>
      <c r="BM511" s="1" t="s">
        <v>9680</v>
      </c>
      <c r="BN511" s="1">
        <v>4</v>
      </c>
      <c r="BO511" s="1"/>
      <c r="BP511" s="1" t="str">
        <f>HYPERLINK("https://nconnect.nicmar.ac.in/storage/profile/ProfilePhoto_P25700467_125643.jpg","Download")</f>
        <v>0</v>
      </c>
      <c r="BQ511" s="3"/>
      <c r="BR511" s="3"/>
    </row>
    <row r="512" spans="1:70">
      <c r="A512" s="1" t="s">
        <v>70</v>
      </c>
      <c r="B512" s="1" t="s">
        <v>1269</v>
      </c>
      <c r="C512" s="1" t="s">
        <v>9681</v>
      </c>
      <c r="D512" s="1" t="s">
        <v>9682</v>
      </c>
      <c r="E512" s="1" t="s">
        <v>5545</v>
      </c>
      <c r="F512" s="1" t="s">
        <v>9683</v>
      </c>
      <c r="G512" s="1" t="s">
        <v>9684</v>
      </c>
      <c r="H512" s="1" t="s">
        <v>9685</v>
      </c>
      <c r="I512" s="1" t="s">
        <v>9686</v>
      </c>
      <c r="J512" s="1">
        <v>6361837707</v>
      </c>
      <c r="K512" s="1" t="s">
        <v>79</v>
      </c>
      <c r="L512" s="1" t="s">
        <v>9687</v>
      </c>
      <c r="M512" s="1" t="s">
        <v>81</v>
      </c>
      <c r="N512" s="1" t="s">
        <v>9688</v>
      </c>
      <c r="O512" s="1"/>
      <c r="P512" s="1" t="s">
        <v>1278</v>
      </c>
      <c r="Q512" s="1" t="s">
        <v>9689</v>
      </c>
      <c r="R512" s="1" t="s">
        <v>9690</v>
      </c>
      <c r="S512" s="1">
        <v>8660703603</v>
      </c>
      <c r="T512" s="1" t="s">
        <v>154</v>
      </c>
      <c r="U512" s="1" t="s">
        <v>9691</v>
      </c>
      <c r="V512" s="1">
        <v>9686646486</v>
      </c>
      <c r="W512" s="1" t="s">
        <v>273</v>
      </c>
      <c r="X512" s="1" t="s">
        <v>9692</v>
      </c>
      <c r="Y512" s="1" t="s">
        <v>9693</v>
      </c>
      <c r="Z512" s="1" t="s">
        <v>1084</v>
      </c>
      <c r="AA512" s="1" t="s">
        <v>9692</v>
      </c>
      <c r="AB512" s="1" t="s">
        <v>9693</v>
      </c>
      <c r="AC512" s="1" t="s">
        <v>1084</v>
      </c>
      <c r="AD512" s="1">
        <v>8.09</v>
      </c>
      <c r="AE512" s="1" t="s">
        <v>93</v>
      </c>
      <c r="AF512" s="1" t="s">
        <v>9694</v>
      </c>
      <c r="AG512" s="1" t="s">
        <v>9695</v>
      </c>
      <c r="AH512" s="1" t="s">
        <v>162</v>
      </c>
      <c r="AI512" s="1" t="s">
        <v>479</v>
      </c>
      <c r="AJ512" s="1">
        <v>65.16</v>
      </c>
      <c r="AK512" s="1"/>
      <c r="AL512" s="1" t="s">
        <v>9696</v>
      </c>
      <c r="AM512" s="1" t="s">
        <v>4511</v>
      </c>
      <c r="AN512" s="1" t="s">
        <v>166</v>
      </c>
      <c r="AO512" s="1" t="s">
        <v>409</v>
      </c>
      <c r="AP512" s="1">
        <v>74.66</v>
      </c>
      <c r="AQ512" s="1"/>
      <c r="AR512" s="1"/>
      <c r="AS512" s="1"/>
      <c r="AT512" s="1"/>
      <c r="AU512" s="1"/>
      <c r="AV512" s="1"/>
      <c r="AW512" s="1"/>
      <c r="AX512" s="1" t="s">
        <v>8258</v>
      </c>
      <c r="AY512" s="1" t="s">
        <v>4841</v>
      </c>
      <c r="AZ512" s="1" t="s">
        <v>201</v>
      </c>
      <c r="BA512" s="1" t="s">
        <v>229</v>
      </c>
      <c r="BB512" s="1">
        <v>77.3</v>
      </c>
      <c r="BC512" s="1">
        <v>7.73</v>
      </c>
      <c r="BD512" s="1"/>
      <c r="BE512" s="1"/>
      <c r="BF512" s="1"/>
      <c r="BG512" s="1"/>
      <c r="BH512" s="1"/>
      <c r="BI512" s="1"/>
      <c r="BJ512" s="1" t="s">
        <v>9697</v>
      </c>
      <c r="BK512" s="1"/>
      <c r="BL512" s="1"/>
      <c r="BM512" s="1" t="s">
        <v>9698</v>
      </c>
      <c r="BN512" s="1">
        <v>14</v>
      </c>
      <c r="BO512" s="1" t="s">
        <v>9699</v>
      </c>
      <c r="BP512" s="1" t="str">
        <f>HYPERLINK("https://nconnect.nicmar.ac.in/storage/profile/ProfilePhoto_P25700468_981762.jpg","Download")</f>
        <v>0</v>
      </c>
      <c r="BQ512" s="3"/>
      <c r="BR512" s="3"/>
    </row>
    <row r="513" spans="1:70">
      <c r="A513" s="1" t="s">
        <v>70</v>
      </c>
      <c r="B513" s="1" t="s">
        <v>1269</v>
      </c>
      <c r="C513" s="1" t="s">
        <v>9700</v>
      </c>
      <c r="D513" s="1" t="s">
        <v>7618</v>
      </c>
      <c r="E513" s="1" t="s">
        <v>181</v>
      </c>
      <c r="F513" s="1" t="s">
        <v>9701</v>
      </c>
      <c r="G513" s="1" t="s">
        <v>9702</v>
      </c>
      <c r="H513" s="1" t="s">
        <v>9703</v>
      </c>
      <c r="I513" s="1" t="s">
        <v>9704</v>
      </c>
      <c r="J513" s="1">
        <v>7588134455</v>
      </c>
      <c r="K513" s="1" t="s">
        <v>79</v>
      </c>
      <c r="L513" s="1" t="s">
        <v>9705</v>
      </c>
      <c r="M513" s="1" t="s">
        <v>81</v>
      </c>
      <c r="N513" s="1" t="s">
        <v>9706</v>
      </c>
      <c r="O513" s="1"/>
      <c r="P513" s="1" t="s">
        <v>1323</v>
      </c>
      <c r="Q513" s="1" t="s">
        <v>9707</v>
      </c>
      <c r="R513" s="1" t="s">
        <v>181</v>
      </c>
      <c r="S513" s="1">
        <v>9823016462</v>
      </c>
      <c r="T513" s="1" t="s">
        <v>842</v>
      </c>
      <c r="U513" s="1" t="s">
        <v>4287</v>
      </c>
      <c r="V513" s="1">
        <v>9403080278</v>
      </c>
      <c r="W513" s="1" t="s">
        <v>156</v>
      </c>
      <c r="X513" s="1" t="s">
        <v>9708</v>
      </c>
      <c r="Y513" s="1" t="s">
        <v>191</v>
      </c>
      <c r="Z513" s="1" t="s">
        <v>92</v>
      </c>
      <c r="AA513" s="1" t="s">
        <v>9708</v>
      </c>
      <c r="AB513" s="1" t="s">
        <v>191</v>
      </c>
      <c r="AC513" s="1" t="s">
        <v>92</v>
      </c>
      <c r="AD513" s="1">
        <v>8.52</v>
      </c>
      <c r="AE513" s="1" t="s">
        <v>93</v>
      </c>
      <c r="AF513" s="1" t="s">
        <v>9709</v>
      </c>
      <c r="AG513" s="1" t="s">
        <v>5086</v>
      </c>
      <c r="AH513" s="1" t="s">
        <v>101</v>
      </c>
      <c r="AI513" s="1" t="s">
        <v>308</v>
      </c>
      <c r="AJ513" s="1">
        <v>83.4</v>
      </c>
      <c r="AK513" s="1"/>
      <c r="AL513" s="1" t="s">
        <v>9709</v>
      </c>
      <c r="AM513" s="1" t="s">
        <v>5086</v>
      </c>
      <c r="AN513" s="1" t="s">
        <v>433</v>
      </c>
      <c r="AO513" s="1" t="s">
        <v>1712</v>
      </c>
      <c r="AP513" s="1">
        <v>87.17</v>
      </c>
      <c r="AQ513" s="1"/>
      <c r="AR513" s="1"/>
      <c r="AS513" s="1"/>
      <c r="AT513" s="1"/>
      <c r="AU513" s="1"/>
      <c r="AV513" s="1"/>
      <c r="AW513" s="1"/>
      <c r="AX513" s="1" t="s">
        <v>1583</v>
      </c>
      <c r="AY513" s="1" t="s">
        <v>1583</v>
      </c>
      <c r="AZ513" s="1" t="s">
        <v>1051</v>
      </c>
      <c r="BA513" s="1" t="s">
        <v>1361</v>
      </c>
      <c r="BB513" s="1">
        <v>84.9</v>
      </c>
      <c r="BC513" s="1">
        <v>8.49</v>
      </c>
      <c r="BD513" s="1"/>
      <c r="BE513" s="1"/>
      <c r="BF513" s="1"/>
      <c r="BG513" s="1"/>
      <c r="BH513" s="1"/>
      <c r="BI513" s="1"/>
      <c r="BJ513" s="1" t="s">
        <v>9710</v>
      </c>
      <c r="BK513" s="1"/>
      <c r="BL513" s="1"/>
      <c r="BM513" s="1" t="s">
        <v>9711</v>
      </c>
      <c r="BN513" s="1">
        <v>12</v>
      </c>
      <c r="BO513" s="1" t="s">
        <v>9712</v>
      </c>
      <c r="BP513" s="1" t="str">
        <f>HYPERLINK("https://nconnect.nicmar.ac.in/storage/profile/ProfilePhoto_P25700470_843725.jpg","Download")</f>
        <v>0</v>
      </c>
      <c r="BQ513" s="3"/>
      <c r="BR513" s="3"/>
    </row>
    <row r="514" spans="1:70">
      <c r="A514" s="1" t="s">
        <v>70</v>
      </c>
      <c r="B514" s="1" t="s">
        <v>1269</v>
      </c>
      <c r="C514" s="1" t="s">
        <v>9713</v>
      </c>
      <c r="D514" s="1" t="s">
        <v>443</v>
      </c>
      <c r="E514" s="1"/>
      <c r="F514" s="1" t="s">
        <v>5373</v>
      </c>
      <c r="G514" s="1" t="s">
        <v>9714</v>
      </c>
      <c r="H514" s="1" t="s">
        <v>9715</v>
      </c>
      <c r="I514" s="1" t="s">
        <v>9716</v>
      </c>
      <c r="J514" s="1">
        <v>9425961340</v>
      </c>
      <c r="K514" s="1" t="s">
        <v>79</v>
      </c>
      <c r="L514" s="1" t="s">
        <v>9717</v>
      </c>
      <c r="M514" s="1" t="s">
        <v>81</v>
      </c>
      <c r="N514" s="1" t="s">
        <v>5040</v>
      </c>
      <c r="O514" s="1"/>
      <c r="P514" s="1" t="s">
        <v>1298</v>
      </c>
      <c r="Q514" s="1" t="s">
        <v>9718</v>
      </c>
      <c r="R514" s="1" t="s">
        <v>9719</v>
      </c>
      <c r="S514" s="1">
        <v>9131958600</v>
      </c>
      <c r="T514" s="1" t="s">
        <v>6338</v>
      </c>
      <c r="U514" s="1" t="s">
        <v>9720</v>
      </c>
      <c r="V514" s="1">
        <v>9691271545</v>
      </c>
      <c r="W514" s="1" t="s">
        <v>6338</v>
      </c>
      <c r="X514" s="1" t="s">
        <v>9721</v>
      </c>
      <c r="Y514" s="1" t="s">
        <v>9722</v>
      </c>
      <c r="Z514" s="1" t="s">
        <v>936</v>
      </c>
      <c r="AA514" s="1" t="s">
        <v>9721</v>
      </c>
      <c r="AB514" s="1" t="s">
        <v>9722</v>
      </c>
      <c r="AC514" s="1" t="s">
        <v>936</v>
      </c>
      <c r="AD514" s="1">
        <v>7.18</v>
      </c>
      <c r="AE514" s="1" t="s">
        <v>93</v>
      </c>
      <c r="AF514" s="1" t="s">
        <v>9723</v>
      </c>
      <c r="AG514" s="1" t="s">
        <v>9724</v>
      </c>
      <c r="AH514" s="1" t="s">
        <v>161</v>
      </c>
      <c r="AI514" s="1" t="s">
        <v>162</v>
      </c>
      <c r="AJ514" s="1">
        <v>77.9</v>
      </c>
      <c r="AK514" s="1">
        <v>8.2</v>
      </c>
      <c r="AL514" s="1" t="s">
        <v>9725</v>
      </c>
      <c r="AM514" s="1" t="s">
        <v>9726</v>
      </c>
      <c r="AN514" s="1" t="s">
        <v>165</v>
      </c>
      <c r="AO514" s="1" t="s">
        <v>101</v>
      </c>
      <c r="AP514" s="1">
        <v>61.2</v>
      </c>
      <c r="AQ514" s="1"/>
      <c r="AR514" s="1"/>
      <c r="AS514" s="1"/>
      <c r="AT514" s="1"/>
      <c r="AU514" s="1"/>
      <c r="AV514" s="1"/>
      <c r="AW514" s="1"/>
      <c r="AX514" s="1" t="s">
        <v>9727</v>
      </c>
      <c r="AY514" s="1" t="s">
        <v>9728</v>
      </c>
      <c r="AZ514" s="1" t="s">
        <v>636</v>
      </c>
      <c r="BA514" s="1" t="s">
        <v>284</v>
      </c>
      <c r="BB514" s="1">
        <v>69.7</v>
      </c>
      <c r="BC514" s="1">
        <v>6.97</v>
      </c>
      <c r="BD514" s="1"/>
      <c r="BE514" s="1"/>
      <c r="BF514" s="1"/>
      <c r="BG514" s="1"/>
      <c r="BH514" s="1"/>
      <c r="BI514" s="1"/>
      <c r="BJ514" s="1" t="s">
        <v>364</v>
      </c>
      <c r="BK514" s="1" t="s">
        <v>9729</v>
      </c>
      <c r="BL514" s="1" t="s">
        <v>9730</v>
      </c>
      <c r="BM514" s="1"/>
      <c r="BN514" s="1"/>
      <c r="BO514" s="1" t="s">
        <v>9731</v>
      </c>
      <c r="BP514" s="1" t="str">
        <f>HYPERLINK("https://nconnect.nicmar.ac.in/storage/profile/ProfilePhoto_P25700471_756394.jpg","Download")</f>
        <v>0</v>
      </c>
      <c r="BQ514" s="3"/>
      <c r="BR514" s="3"/>
    </row>
    <row r="515" spans="1:70">
      <c r="A515" s="1" t="s">
        <v>70</v>
      </c>
      <c r="B515" s="1" t="s">
        <v>1269</v>
      </c>
      <c r="C515" s="1" t="s">
        <v>9732</v>
      </c>
      <c r="D515" s="1" t="s">
        <v>3297</v>
      </c>
      <c r="E515" s="1" t="s">
        <v>5452</v>
      </c>
      <c r="F515" s="1" t="s">
        <v>2893</v>
      </c>
      <c r="G515" s="1" t="s">
        <v>9733</v>
      </c>
      <c r="H515" s="1" t="s">
        <v>9734</v>
      </c>
      <c r="I515" s="1" t="s">
        <v>9735</v>
      </c>
      <c r="J515" s="1">
        <v>7841023889</v>
      </c>
      <c r="K515" s="1" t="s">
        <v>79</v>
      </c>
      <c r="L515" s="1" t="s">
        <v>9736</v>
      </c>
      <c r="M515" s="1" t="s">
        <v>81</v>
      </c>
      <c r="N515" s="1" t="s">
        <v>2008</v>
      </c>
      <c r="O515" s="1"/>
      <c r="P515" s="1" t="s">
        <v>2505</v>
      </c>
      <c r="Q515" s="1" t="s">
        <v>9737</v>
      </c>
      <c r="R515" s="1" t="s">
        <v>9738</v>
      </c>
      <c r="S515" s="1">
        <v>9423058325</v>
      </c>
      <c r="T515" s="1" t="s">
        <v>154</v>
      </c>
      <c r="U515" s="1" t="s">
        <v>9739</v>
      </c>
      <c r="V515" s="1">
        <v>7798204891</v>
      </c>
      <c r="W515" s="1" t="s">
        <v>9740</v>
      </c>
      <c r="X515" s="1" t="s">
        <v>9741</v>
      </c>
      <c r="Y515" s="1" t="s">
        <v>191</v>
      </c>
      <c r="Z515" s="1" t="s">
        <v>92</v>
      </c>
      <c r="AA515" s="1" t="s">
        <v>9742</v>
      </c>
      <c r="AB515" s="1" t="s">
        <v>191</v>
      </c>
      <c r="AC515" s="1" t="s">
        <v>92</v>
      </c>
      <c r="AD515" s="1">
        <v>8.61</v>
      </c>
      <c r="AE515" s="1" t="s">
        <v>93</v>
      </c>
      <c r="AF515" s="1" t="s">
        <v>9743</v>
      </c>
      <c r="AG515" s="1" t="s">
        <v>160</v>
      </c>
      <c r="AH515" s="1" t="s">
        <v>162</v>
      </c>
      <c r="AI515" s="1" t="s">
        <v>195</v>
      </c>
      <c r="AJ515" s="1">
        <v>83.2</v>
      </c>
      <c r="AK515" s="1">
        <v>0</v>
      </c>
      <c r="AL515" s="1" t="s">
        <v>9744</v>
      </c>
      <c r="AM515" s="1" t="s">
        <v>160</v>
      </c>
      <c r="AN515" s="1" t="s">
        <v>101</v>
      </c>
      <c r="AO515" s="1" t="s">
        <v>198</v>
      </c>
      <c r="AP515" s="1">
        <v>66.77</v>
      </c>
      <c r="AQ515" s="1">
        <v>0</v>
      </c>
      <c r="AR515" s="1"/>
      <c r="AS515" s="1"/>
      <c r="AT515" s="1"/>
      <c r="AU515" s="1"/>
      <c r="AV515" s="1"/>
      <c r="AW515" s="1"/>
      <c r="AX515" s="1" t="s">
        <v>361</v>
      </c>
      <c r="AY515" s="1" t="s">
        <v>9745</v>
      </c>
      <c r="AZ515" s="1" t="s">
        <v>201</v>
      </c>
      <c r="BA515" s="1" t="s">
        <v>682</v>
      </c>
      <c r="BB515" s="1">
        <v>72.9</v>
      </c>
      <c r="BC515" s="1">
        <v>8.04</v>
      </c>
      <c r="BD515" s="1"/>
      <c r="BE515" s="1"/>
      <c r="BF515" s="1"/>
      <c r="BG515" s="1"/>
      <c r="BH515" s="1"/>
      <c r="BI515" s="1"/>
      <c r="BJ515" s="1" t="s">
        <v>9746</v>
      </c>
      <c r="BK515" s="1" t="s">
        <v>9747</v>
      </c>
      <c r="BL515" s="1" t="s">
        <v>1028</v>
      </c>
      <c r="BM515" s="1" t="s">
        <v>9748</v>
      </c>
      <c r="BN515" s="1">
        <v>14</v>
      </c>
      <c r="BO515" s="1" t="s">
        <v>9749</v>
      </c>
      <c r="BP515" s="1" t="str">
        <f>HYPERLINK("https://nconnect.nicmar.ac.in/storage/profile/ProfilePhoto_P25700472_563742.jpg","Download")</f>
        <v>0</v>
      </c>
      <c r="BQ515" s="3"/>
      <c r="BR515" s="3"/>
    </row>
    <row r="516" spans="1:70">
      <c r="A516" s="1" t="s">
        <v>70</v>
      </c>
      <c r="B516" s="1" t="s">
        <v>1269</v>
      </c>
      <c r="C516" s="1" t="s">
        <v>9750</v>
      </c>
      <c r="D516" s="1" t="s">
        <v>9751</v>
      </c>
      <c r="E516" s="1" t="s">
        <v>554</v>
      </c>
      <c r="F516" s="1" t="s">
        <v>9752</v>
      </c>
      <c r="G516" s="1" t="s">
        <v>9753</v>
      </c>
      <c r="H516" s="1" t="s">
        <v>9754</v>
      </c>
      <c r="I516" s="1" t="s">
        <v>9755</v>
      </c>
      <c r="J516" s="1">
        <v>8291691754</v>
      </c>
      <c r="K516" s="1" t="s">
        <v>79</v>
      </c>
      <c r="L516" s="1" t="s">
        <v>9756</v>
      </c>
      <c r="M516" s="1" t="s">
        <v>81</v>
      </c>
      <c r="N516" s="1" t="s">
        <v>2293</v>
      </c>
      <c r="O516" s="1"/>
      <c r="P516" s="1" t="s">
        <v>1278</v>
      </c>
      <c r="Q516" s="1" t="s">
        <v>9757</v>
      </c>
      <c r="R516" s="1" t="s">
        <v>9758</v>
      </c>
      <c r="S516" s="1">
        <v>9930811145</v>
      </c>
      <c r="T516" s="1" t="s">
        <v>120</v>
      </c>
      <c r="U516" s="1" t="s">
        <v>9759</v>
      </c>
      <c r="V516" s="1">
        <v>9930320469</v>
      </c>
      <c r="W516" s="1" t="s">
        <v>763</v>
      </c>
      <c r="X516" s="1" t="s">
        <v>9760</v>
      </c>
      <c r="Y516" s="1" t="s">
        <v>766</v>
      </c>
      <c r="Z516" s="1" t="s">
        <v>92</v>
      </c>
      <c r="AA516" s="1" t="s">
        <v>9760</v>
      </c>
      <c r="AB516" s="1" t="s">
        <v>766</v>
      </c>
      <c r="AC516" s="1" t="s">
        <v>92</v>
      </c>
      <c r="AD516" s="1">
        <v>7.28</v>
      </c>
      <c r="AE516" s="1" t="s">
        <v>93</v>
      </c>
      <c r="AF516" s="1" t="s">
        <v>9761</v>
      </c>
      <c r="AG516" s="1" t="s">
        <v>160</v>
      </c>
      <c r="AH516" s="1" t="s">
        <v>161</v>
      </c>
      <c r="AI516" s="1" t="s">
        <v>527</v>
      </c>
      <c r="AJ516" s="1">
        <v>73.4</v>
      </c>
      <c r="AK516" s="1"/>
      <c r="AL516" s="1"/>
      <c r="AM516" s="1"/>
      <c r="AN516" s="1"/>
      <c r="AO516" s="1"/>
      <c r="AP516" s="1"/>
      <c r="AQ516" s="1"/>
      <c r="AR516" s="1" t="s">
        <v>98</v>
      </c>
      <c r="AS516" s="1" t="s">
        <v>9762</v>
      </c>
      <c r="AT516" s="1" t="s">
        <v>134</v>
      </c>
      <c r="AU516" s="1" t="s">
        <v>433</v>
      </c>
      <c r="AV516" s="1">
        <v>73.39</v>
      </c>
      <c r="AW516" s="1"/>
      <c r="AX516" s="1" t="s">
        <v>253</v>
      </c>
      <c r="AY516" s="1" t="s">
        <v>9763</v>
      </c>
      <c r="AZ516" s="1" t="s">
        <v>201</v>
      </c>
      <c r="BA516" s="1" t="s">
        <v>105</v>
      </c>
      <c r="BB516" s="1">
        <v>68.04</v>
      </c>
      <c r="BC516" s="1">
        <v>7.59</v>
      </c>
      <c r="BD516" s="1"/>
      <c r="BE516" s="1"/>
      <c r="BF516" s="1"/>
      <c r="BG516" s="1"/>
      <c r="BH516" s="1"/>
      <c r="BI516" s="1"/>
      <c r="BJ516" s="1" t="s">
        <v>364</v>
      </c>
      <c r="BK516" s="1" t="s">
        <v>9764</v>
      </c>
      <c r="BL516" s="1" t="s">
        <v>8309</v>
      </c>
      <c r="BM516" s="1"/>
      <c r="BN516" s="1"/>
      <c r="BO516" s="1"/>
      <c r="BP516" s="1" t="str">
        <f>HYPERLINK("https://nconnect.nicmar.ac.in/storage/profile/ProfilePhoto_P25700473_341952.jpg","Download")</f>
        <v>0</v>
      </c>
      <c r="BQ516" s="3"/>
      <c r="BR516" s="3"/>
    </row>
    <row r="517" spans="1:70">
      <c r="A517" s="1" t="s">
        <v>70</v>
      </c>
      <c r="B517" s="1" t="s">
        <v>1269</v>
      </c>
      <c r="C517" s="1" t="s">
        <v>9765</v>
      </c>
      <c r="D517" s="1" t="s">
        <v>9701</v>
      </c>
      <c r="E517" s="1" t="s">
        <v>9766</v>
      </c>
      <c r="F517" s="1" t="s">
        <v>9767</v>
      </c>
      <c r="G517" s="1" t="s">
        <v>9768</v>
      </c>
      <c r="H517" s="1" t="s">
        <v>9769</v>
      </c>
      <c r="I517" s="1" t="s">
        <v>9770</v>
      </c>
      <c r="J517" s="1">
        <v>7028905422</v>
      </c>
      <c r="K517" s="1" t="s">
        <v>79</v>
      </c>
      <c r="L517" s="1" t="s">
        <v>9771</v>
      </c>
      <c r="M517" s="1" t="s">
        <v>81</v>
      </c>
      <c r="N517" s="1" t="s">
        <v>2008</v>
      </c>
      <c r="O517" s="1"/>
      <c r="P517" s="1" t="s">
        <v>1298</v>
      </c>
      <c r="Q517" s="1" t="s">
        <v>9772</v>
      </c>
      <c r="R517" s="1" t="s">
        <v>9767</v>
      </c>
      <c r="S517" s="1">
        <v>8862026202</v>
      </c>
      <c r="T517" s="1" t="s">
        <v>496</v>
      </c>
      <c r="U517" s="1" t="s">
        <v>9773</v>
      </c>
      <c r="V517" s="1">
        <v>9561335801</v>
      </c>
      <c r="W517" s="1" t="s">
        <v>9774</v>
      </c>
      <c r="X517" s="1" t="s">
        <v>9775</v>
      </c>
      <c r="Y517" s="1" t="s">
        <v>191</v>
      </c>
      <c r="Z517" s="1" t="s">
        <v>92</v>
      </c>
      <c r="AA517" s="1" t="s">
        <v>9775</v>
      </c>
      <c r="AB517" s="1" t="s">
        <v>191</v>
      </c>
      <c r="AC517" s="1" t="s">
        <v>92</v>
      </c>
      <c r="AD517" s="1">
        <v>9.04</v>
      </c>
      <c r="AE517" s="1" t="s">
        <v>93</v>
      </c>
      <c r="AF517" s="1" t="s">
        <v>9776</v>
      </c>
      <c r="AG517" s="1" t="s">
        <v>160</v>
      </c>
      <c r="AH517" s="1" t="s">
        <v>281</v>
      </c>
      <c r="AI517" s="1" t="s">
        <v>409</v>
      </c>
      <c r="AJ517" s="1">
        <v>76</v>
      </c>
      <c r="AK517" s="1"/>
      <c r="AL517" s="1" t="s">
        <v>9776</v>
      </c>
      <c r="AM517" s="1" t="s">
        <v>160</v>
      </c>
      <c r="AN517" s="1" t="s">
        <v>412</v>
      </c>
      <c r="AO517" s="1" t="s">
        <v>1712</v>
      </c>
      <c r="AP517" s="1">
        <v>73.83</v>
      </c>
      <c r="AQ517" s="1"/>
      <c r="AR517" s="1"/>
      <c r="AS517" s="1"/>
      <c r="AT517" s="1"/>
      <c r="AU517" s="1"/>
      <c r="AV517" s="1"/>
      <c r="AW517" s="1"/>
      <c r="AX517" s="1" t="s">
        <v>361</v>
      </c>
      <c r="AY517" s="1" t="s">
        <v>9777</v>
      </c>
      <c r="AZ517" s="1" t="s">
        <v>897</v>
      </c>
      <c r="BA517" s="1" t="s">
        <v>1714</v>
      </c>
      <c r="BB517" s="1">
        <v>68.08</v>
      </c>
      <c r="BC517" s="1">
        <v>7.65</v>
      </c>
      <c r="BD517" s="1"/>
      <c r="BE517" s="1"/>
      <c r="BF517" s="1"/>
      <c r="BG517" s="1"/>
      <c r="BH517" s="1"/>
      <c r="BI517" s="1"/>
      <c r="BJ517" s="1" t="s">
        <v>9778</v>
      </c>
      <c r="BK517" s="1"/>
      <c r="BL517" s="1"/>
      <c r="BM517" s="1" t="s">
        <v>9779</v>
      </c>
      <c r="BN517" s="1">
        <v>4</v>
      </c>
      <c r="BO517" s="1"/>
      <c r="BP517" s="1" t="str">
        <f>HYPERLINK("https://nconnect.nicmar.ac.in/storage/profile/ProfilePhoto_P25700474_921674.jpg","Download")</f>
        <v>0</v>
      </c>
      <c r="BQ517" s="3"/>
      <c r="BR517" s="3"/>
    </row>
    <row r="518" spans="1:70">
      <c r="A518" s="1" t="s">
        <v>70</v>
      </c>
      <c r="B518" s="1" t="s">
        <v>1269</v>
      </c>
      <c r="C518" s="1" t="s">
        <v>9780</v>
      </c>
      <c r="D518" s="1" t="s">
        <v>4015</v>
      </c>
      <c r="E518" s="1"/>
      <c r="F518" s="1" t="s">
        <v>9781</v>
      </c>
      <c r="G518" s="1" t="s">
        <v>9782</v>
      </c>
      <c r="H518" s="1" t="s">
        <v>9783</v>
      </c>
      <c r="I518" s="1" t="s">
        <v>9784</v>
      </c>
      <c r="J518" s="1">
        <v>7708192164</v>
      </c>
      <c r="K518" s="1" t="s">
        <v>79</v>
      </c>
      <c r="L518" s="1" t="s">
        <v>9785</v>
      </c>
      <c r="M518" s="1" t="s">
        <v>81</v>
      </c>
      <c r="N518" s="1" t="s">
        <v>6490</v>
      </c>
      <c r="O518" s="1"/>
      <c r="P518" s="1" t="s">
        <v>1323</v>
      </c>
      <c r="Q518" s="1" t="s">
        <v>9786</v>
      </c>
      <c r="R518" s="1" t="s">
        <v>9787</v>
      </c>
      <c r="S518" s="1">
        <v>9443341744</v>
      </c>
      <c r="T518" s="1" t="s">
        <v>496</v>
      </c>
      <c r="U518" s="1" t="s">
        <v>9788</v>
      </c>
      <c r="V518" s="1">
        <v>9487541744</v>
      </c>
      <c r="W518" s="1" t="s">
        <v>651</v>
      </c>
      <c r="X518" s="1" t="s">
        <v>9789</v>
      </c>
      <c r="Y518" s="1" t="s">
        <v>9790</v>
      </c>
      <c r="Z518" s="1" t="s">
        <v>1377</v>
      </c>
      <c r="AA518" s="1" t="s">
        <v>9789</v>
      </c>
      <c r="AB518" s="1" t="s">
        <v>9790</v>
      </c>
      <c r="AC518" s="1" t="s">
        <v>1377</v>
      </c>
      <c r="AD518" s="1">
        <v>8.41</v>
      </c>
      <c r="AE518" s="1" t="s">
        <v>93</v>
      </c>
      <c r="AF518" s="1" t="s">
        <v>7950</v>
      </c>
      <c r="AG518" s="1" t="s">
        <v>9791</v>
      </c>
      <c r="AH518" s="1" t="s">
        <v>1307</v>
      </c>
      <c r="AI518" s="1" t="s">
        <v>308</v>
      </c>
      <c r="AJ518" s="1">
        <v>86.2</v>
      </c>
      <c r="AK518" s="1"/>
      <c r="AL518" s="1" t="s">
        <v>7950</v>
      </c>
      <c r="AM518" s="1" t="s">
        <v>9791</v>
      </c>
      <c r="AN518" s="1" t="s">
        <v>1833</v>
      </c>
      <c r="AO518" s="1" t="s">
        <v>506</v>
      </c>
      <c r="AP518" s="1">
        <v>88.4</v>
      </c>
      <c r="AQ518" s="1"/>
      <c r="AR518" s="1"/>
      <c r="AS518" s="1"/>
      <c r="AT518" s="1"/>
      <c r="AU518" s="1"/>
      <c r="AV518" s="1"/>
      <c r="AW518" s="1"/>
      <c r="AX518" s="1" t="s">
        <v>1359</v>
      </c>
      <c r="AY518" s="1" t="s">
        <v>9792</v>
      </c>
      <c r="AZ518" s="1" t="s">
        <v>1051</v>
      </c>
      <c r="BA518" s="1" t="s">
        <v>1361</v>
      </c>
      <c r="BB518" s="1">
        <v>88.4</v>
      </c>
      <c r="BC518" s="1">
        <v>8.84</v>
      </c>
      <c r="BD518" s="1"/>
      <c r="BE518" s="1"/>
      <c r="BF518" s="1"/>
      <c r="BG518" s="1"/>
      <c r="BH518" s="1"/>
      <c r="BI518" s="1"/>
      <c r="BJ518" s="1" t="s">
        <v>364</v>
      </c>
      <c r="BK518" s="1"/>
      <c r="BL518" s="1"/>
      <c r="BM518" s="1" t="s">
        <v>9793</v>
      </c>
      <c r="BN518" s="1">
        <v>33</v>
      </c>
      <c r="BO518" s="1" t="s">
        <v>9794</v>
      </c>
      <c r="BP518" s="1" t="str">
        <f>HYPERLINK("https://nconnect.nicmar.ac.in/storage/profile/ProfilePhoto_P25700475_418297.jpg","Download")</f>
        <v>0</v>
      </c>
      <c r="BQ518" s="3"/>
      <c r="BR518" s="3"/>
    </row>
    <row r="519" spans="1:70">
      <c r="A519" s="1" t="s">
        <v>70</v>
      </c>
      <c r="B519" s="1" t="s">
        <v>1269</v>
      </c>
      <c r="C519" s="1" t="s">
        <v>9795</v>
      </c>
      <c r="D519" s="1" t="s">
        <v>9796</v>
      </c>
      <c r="E519" s="1"/>
      <c r="F519" s="1" t="s">
        <v>9797</v>
      </c>
      <c r="G519" s="1" t="s">
        <v>9798</v>
      </c>
      <c r="H519" s="1" t="s">
        <v>9799</v>
      </c>
      <c r="I519" s="1" t="s">
        <v>9800</v>
      </c>
      <c r="J519" s="1">
        <v>9678538506</v>
      </c>
      <c r="K519" s="1" t="s">
        <v>79</v>
      </c>
      <c r="L519" s="1" t="s">
        <v>9801</v>
      </c>
      <c r="M519" s="1" t="s">
        <v>81</v>
      </c>
      <c r="N519" s="1" t="s">
        <v>9802</v>
      </c>
      <c r="O519" s="1"/>
      <c r="P519" s="1" t="s">
        <v>1298</v>
      </c>
      <c r="Q519" s="1" t="s">
        <v>9803</v>
      </c>
      <c r="R519" s="1" t="s">
        <v>9804</v>
      </c>
      <c r="S519" s="1">
        <v>9613177123</v>
      </c>
      <c r="T519" s="1" t="s">
        <v>5439</v>
      </c>
      <c r="U519" s="1" t="s">
        <v>9805</v>
      </c>
      <c r="V519" s="1">
        <v>9101597034</v>
      </c>
      <c r="W519" s="1" t="s">
        <v>156</v>
      </c>
      <c r="X519" s="1" t="s">
        <v>9806</v>
      </c>
      <c r="Y519" s="1" t="s">
        <v>9807</v>
      </c>
      <c r="Z519" s="1" t="s">
        <v>2375</v>
      </c>
      <c r="AA519" s="1" t="s">
        <v>9806</v>
      </c>
      <c r="AB519" s="1" t="s">
        <v>9807</v>
      </c>
      <c r="AC519" s="1" t="s">
        <v>2375</v>
      </c>
      <c r="AD519" s="1">
        <v>9.31</v>
      </c>
      <c r="AE519" s="1" t="s">
        <v>93</v>
      </c>
      <c r="AF519" s="1" t="s">
        <v>9808</v>
      </c>
      <c r="AG519" s="1" t="s">
        <v>9809</v>
      </c>
      <c r="AH519" s="1" t="s">
        <v>129</v>
      </c>
      <c r="AI519" s="1" t="s">
        <v>1197</v>
      </c>
      <c r="AJ519" s="1">
        <v>87.4</v>
      </c>
      <c r="AK519" s="1">
        <v>9.2</v>
      </c>
      <c r="AL519" s="1" t="s">
        <v>9810</v>
      </c>
      <c r="AM519" s="1" t="s">
        <v>9811</v>
      </c>
      <c r="AN519" s="1" t="s">
        <v>161</v>
      </c>
      <c r="AO519" s="1" t="s">
        <v>162</v>
      </c>
      <c r="AP519" s="1">
        <v>87.4</v>
      </c>
      <c r="AQ519" s="1"/>
      <c r="AR519" s="1"/>
      <c r="AS519" s="1"/>
      <c r="AT519" s="1"/>
      <c r="AU519" s="1"/>
      <c r="AV519" s="1"/>
      <c r="AW519" s="1"/>
      <c r="AX519" s="1" t="s">
        <v>9812</v>
      </c>
      <c r="AY519" s="1" t="s">
        <v>9813</v>
      </c>
      <c r="AZ519" s="1" t="s">
        <v>134</v>
      </c>
      <c r="BA519" s="1" t="s">
        <v>412</v>
      </c>
      <c r="BB519" s="1">
        <v>71.42</v>
      </c>
      <c r="BC519" s="1"/>
      <c r="BD519" s="1"/>
      <c r="BE519" s="1"/>
      <c r="BF519" s="1"/>
      <c r="BG519" s="1"/>
      <c r="BH519" s="1"/>
      <c r="BI519" s="1"/>
      <c r="BJ519" s="1" t="s">
        <v>9814</v>
      </c>
      <c r="BK519" s="1" t="s">
        <v>9815</v>
      </c>
      <c r="BL519" s="1" t="s">
        <v>1543</v>
      </c>
      <c r="BM519" s="1"/>
      <c r="BN519" s="1"/>
      <c r="BO519" s="1"/>
      <c r="BP519" s="1" t="str">
        <f>HYPERLINK("https://nconnect.nicmar.ac.in/storage/profile/ProfilePhoto_P25700476_725986.jpg","Download")</f>
        <v>0</v>
      </c>
      <c r="BQ519" s="3"/>
      <c r="BR519" s="3"/>
    </row>
    <row r="520" spans="1:70">
      <c r="A520" s="1" t="s">
        <v>70</v>
      </c>
      <c r="B520" s="1" t="s">
        <v>1269</v>
      </c>
      <c r="C520" s="1" t="s">
        <v>9816</v>
      </c>
      <c r="D520" s="1" t="s">
        <v>533</v>
      </c>
      <c r="E520" s="1" t="s">
        <v>1981</v>
      </c>
      <c r="F520" s="1" t="s">
        <v>9817</v>
      </c>
      <c r="G520" s="1" t="s">
        <v>9818</v>
      </c>
      <c r="H520" s="1" t="s">
        <v>9819</v>
      </c>
      <c r="I520" s="1" t="s">
        <v>9820</v>
      </c>
      <c r="J520" s="1">
        <v>7030406464</v>
      </c>
      <c r="K520" s="1" t="s">
        <v>79</v>
      </c>
      <c r="L520" s="1" t="s">
        <v>9821</v>
      </c>
      <c r="M520" s="1" t="s">
        <v>81</v>
      </c>
      <c r="N520" s="1" t="s">
        <v>1765</v>
      </c>
      <c r="O520" s="1"/>
      <c r="P520" s="1" t="s">
        <v>1323</v>
      </c>
      <c r="Q520" s="1" t="s">
        <v>9822</v>
      </c>
      <c r="R520" s="1" t="s">
        <v>1981</v>
      </c>
      <c r="S520" s="1">
        <v>9823661700</v>
      </c>
      <c r="T520" s="1" t="s">
        <v>154</v>
      </c>
      <c r="U520" s="1" t="s">
        <v>9823</v>
      </c>
      <c r="V520" s="1">
        <v>9823661700</v>
      </c>
      <c r="W520" s="1" t="s">
        <v>156</v>
      </c>
      <c r="X520" s="1" t="s">
        <v>9824</v>
      </c>
      <c r="Y520" s="1" t="s">
        <v>1174</v>
      </c>
      <c r="Z520" s="1" t="s">
        <v>92</v>
      </c>
      <c r="AA520" s="1" t="s">
        <v>9824</v>
      </c>
      <c r="AB520" s="1" t="s">
        <v>1174</v>
      </c>
      <c r="AC520" s="1" t="s">
        <v>92</v>
      </c>
      <c r="AD520" s="1">
        <v>9.22</v>
      </c>
      <c r="AE520" s="1" t="s">
        <v>93</v>
      </c>
      <c r="AF520" s="1" t="s">
        <v>9825</v>
      </c>
      <c r="AG520" s="1" t="s">
        <v>7401</v>
      </c>
      <c r="AH520" s="1" t="s">
        <v>162</v>
      </c>
      <c r="AI520" s="1" t="s">
        <v>195</v>
      </c>
      <c r="AJ520" s="1">
        <v>89.6</v>
      </c>
      <c r="AK520" s="1"/>
      <c r="AL520" s="1"/>
      <c r="AM520" s="1"/>
      <c r="AN520" s="1"/>
      <c r="AO520" s="1"/>
      <c r="AP520" s="1"/>
      <c r="AQ520" s="1"/>
      <c r="AR520" s="1" t="s">
        <v>434</v>
      </c>
      <c r="AS520" s="1" t="s">
        <v>9826</v>
      </c>
      <c r="AT520" s="1" t="s">
        <v>165</v>
      </c>
      <c r="AU520" s="1" t="s">
        <v>170</v>
      </c>
      <c r="AV520" s="1">
        <v>88.21</v>
      </c>
      <c r="AW520" s="1"/>
      <c r="AX520" s="1" t="s">
        <v>361</v>
      </c>
      <c r="AY520" s="1" t="s">
        <v>9827</v>
      </c>
      <c r="AZ520" s="1" t="s">
        <v>363</v>
      </c>
      <c r="BA520" s="1" t="s">
        <v>682</v>
      </c>
      <c r="BB520" s="1">
        <v>74.3</v>
      </c>
      <c r="BC520" s="1">
        <v>8.18</v>
      </c>
      <c r="BD520" s="1"/>
      <c r="BE520" s="1"/>
      <c r="BF520" s="1"/>
      <c r="BG520" s="1"/>
      <c r="BH520" s="1"/>
      <c r="BI520" s="1"/>
      <c r="BJ520" s="1" t="s">
        <v>9828</v>
      </c>
      <c r="BK520" s="1" t="s">
        <v>9829</v>
      </c>
      <c r="BL520" s="1" t="s">
        <v>484</v>
      </c>
      <c r="BM520" s="1" t="s">
        <v>9830</v>
      </c>
      <c r="BN520" s="1">
        <v>25</v>
      </c>
      <c r="BO520" s="1" t="s">
        <v>9831</v>
      </c>
      <c r="BP520" s="1" t="str">
        <f>HYPERLINK("https://nconnect.nicmar.ac.in/storage/profile/ProfilePhoto_P25700477_351924.jpg","Download")</f>
        <v>0</v>
      </c>
      <c r="BQ520" s="3"/>
      <c r="BR520" s="3"/>
    </row>
    <row r="521" spans="1:70">
      <c r="A521" s="1" t="s">
        <v>70</v>
      </c>
      <c r="B521" s="1" t="s">
        <v>1269</v>
      </c>
      <c r="C521" s="1" t="s">
        <v>9832</v>
      </c>
      <c r="D521" s="1" t="s">
        <v>9833</v>
      </c>
      <c r="E521" s="1"/>
      <c r="F521" s="1" t="s">
        <v>3031</v>
      </c>
      <c r="G521" s="1" t="s">
        <v>9834</v>
      </c>
      <c r="H521" s="1" t="s">
        <v>9835</v>
      </c>
      <c r="I521" s="1" t="s">
        <v>9836</v>
      </c>
      <c r="J521" s="1">
        <v>8505965550</v>
      </c>
      <c r="K521" s="1" t="s">
        <v>79</v>
      </c>
      <c r="L521" s="1" t="s">
        <v>7083</v>
      </c>
      <c r="M521" s="1" t="s">
        <v>81</v>
      </c>
      <c r="N521" s="1" t="s">
        <v>5040</v>
      </c>
      <c r="O521" s="1"/>
      <c r="P521" s="1" t="s">
        <v>1278</v>
      </c>
      <c r="Q521" s="1" t="s">
        <v>9837</v>
      </c>
      <c r="R521" s="1" t="s">
        <v>9838</v>
      </c>
      <c r="S521" s="1">
        <v>8505965550</v>
      </c>
      <c r="T521" s="1" t="s">
        <v>7415</v>
      </c>
      <c r="U521" s="1" t="s">
        <v>9839</v>
      </c>
      <c r="V521" s="1">
        <v>8505965550</v>
      </c>
      <c r="W521" s="1" t="s">
        <v>156</v>
      </c>
      <c r="X521" s="1" t="s">
        <v>9840</v>
      </c>
      <c r="Y521" s="1" t="s">
        <v>721</v>
      </c>
      <c r="Z521" s="1" t="s">
        <v>722</v>
      </c>
      <c r="AA521" s="1" t="s">
        <v>9840</v>
      </c>
      <c r="AB521" s="1" t="s">
        <v>721</v>
      </c>
      <c r="AC521" s="1" t="s">
        <v>722</v>
      </c>
      <c r="AD521" s="1">
        <v>9.0</v>
      </c>
      <c r="AE521" s="1" t="s">
        <v>93</v>
      </c>
      <c r="AF521" s="1" t="s">
        <v>9841</v>
      </c>
      <c r="AG521" s="1" t="s">
        <v>894</v>
      </c>
      <c r="AH521" s="1" t="s">
        <v>1307</v>
      </c>
      <c r="AI521" s="1" t="s">
        <v>308</v>
      </c>
      <c r="AJ521" s="1">
        <v>88</v>
      </c>
      <c r="AK521" s="1"/>
      <c r="AL521" s="1" t="s">
        <v>9841</v>
      </c>
      <c r="AM521" s="1" t="s">
        <v>894</v>
      </c>
      <c r="AN521" s="1" t="s">
        <v>1833</v>
      </c>
      <c r="AO521" s="1" t="s">
        <v>1131</v>
      </c>
      <c r="AP521" s="1">
        <v>85.5</v>
      </c>
      <c r="AQ521" s="1"/>
      <c r="AR521" s="1"/>
      <c r="AS521" s="1"/>
      <c r="AT521" s="1"/>
      <c r="AU521" s="1"/>
      <c r="AV521" s="1"/>
      <c r="AW521" s="1"/>
      <c r="AX521" s="1" t="s">
        <v>9842</v>
      </c>
      <c r="AY521" s="1" t="s">
        <v>9842</v>
      </c>
      <c r="AZ521" s="1" t="s">
        <v>1407</v>
      </c>
      <c r="BA521" s="1" t="s">
        <v>1361</v>
      </c>
      <c r="BB521" s="1">
        <v>76</v>
      </c>
      <c r="BC521" s="1">
        <v>7.6</v>
      </c>
      <c r="BD521" s="1"/>
      <c r="BE521" s="1"/>
      <c r="BF521" s="1"/>
      <c r="BG521" s="1"/>
      <c r="BH521" s="1"/>
      <c r="BI521" s="1"/>
      <c r="BJ521" s="1" t="s">
        <v>9843</v>
      </c>
      <c r="BK521" s="1"/>
      <c r="BL521" s="1"/>
      <c r="BM521" s="1" t="s">
        <v>9844</v>
      </c>
      <c r="BN521" s="1">
        <v>21</v>
      </c>
      <c r="BO521" s="1" t="s">
        <v>9845</v>
      </c>
      <c r="BP521" s="1" t="str">
        <f>HYPERLINK("https://nconnect.nicmar.ac.in/storage/profile/ProfilePhoto_P25700478_489325.jpg","Download")</f>
        <v>0</v>
      </c>
      <c r="BQ521" s="3"/>
      <c r="BR521" s="3"/>
    </row>
    <row r="522" spans="1:70">
      <c r="A522" s="1" t="s">
        <v>70</v>
      </c>
      <c r="B522" s="1" t="s">
        <v>1269</v>
      </c>
      <c r="C522" s="1" t="s">
        <v>9846</v>
      </c>
      <c r="D522" s="1" t="s">
        <v>9847</v>
      </c>
      <c r="E522" s="1" t="s">
        <v>9848</v>
      </c>
      <c r="F522" s="1" t="s">
        <v>9849</v>
      </c>
      <c r="G522" s="1" t="s">
        <v>9850</v>
      </c>
      <c r="H522" s="1" t="s">
        <v>9851</v>
      </c>
      <c r="I522" s="1" t="s">
        <v>9852</v>
      </c>
      <c r="J522" s="1">
        <v>9137489224</v>
      </c>
      <c r="K522" s="1" t="s">
        <v>79</v>
      </c>
      <c r="L522" s="1" t="s">
        <v>9853</v>
      </c>
      <c r="M522" s="1" t="s">
        <v>81</v>
      </c>
      <c r="N522" s="1" t="s">
        <v>9279</v>
      </c>
      <c r="O522" s="1"/>
      <c r="P522" s="1" t="s">
        <v>2505</v>
      </c>
      <c r="Q522" s="1" t="s">
        <v>9854</v>
      </c>
      <c r="R522" s="1" t="s">
        <v>9849</v>
      </c>
      <c r="S522" s="1">
        <v>8605128946</v>
      </c>
      <c r="T522" s="1" t="s">
        <v>154</v>
      </c>
      <c r="U522" s="1" t="s">
        <v>3361</v>
      </c>
      <c r="V522" s="1">
        <v>7977052725</v>
      </c>
      <c r="W522" s="1" t="s">
        <v>156</v>
      </c>
      <c r="X522" s="1" t="s">
        <v>9855</v>
      </c>
      <c r="Y522" s="1" t="s">
        <v>158</v>
      </c>
      <c r="Z522" s="1" t="s">
        <v>92</v>
      </c>
      <c r="AA522" s="1" t="s">
        <v>9855</v>
      </c>
      <c r="AB522" s="1" t="s">
        <v>158</v>
      </c>
      <c r="AC522" s="1" t="s">
        <v>92</v>
      </c>
      <c r="AD522" s="1">
        <v>8.64</v>
      </c>
      <c r="AE522" s="1" t="s">
        <v>93</v>
      </c>
      <c r="AF522" s="1" t="s">
        <v>9856</v>
      </c>
      <c r="AG522" s="1" t="s">
        <v>9857</v>
      </c>
      <c r="AH522" s="1" t="s">
        <v>162</v>
      </c>
      <c r="AI522" s="1" t="s">
        <v>195</v>
      </c>
      <c r="AJ522" s="1">
        <v>90.2</v>
      </c>
      <c r="AK522" s="1"/>
      <c r="AL522" s="1"/>
      <c r="AM522" s="1"/>
      <c r="AN522" s="1"/>
      <c r="AO522" s="1"/>
      <c r="AP522" s="1"/>
      <c r="AQ522" s="1"/>
      <c r="AR522" s="1" t="s">
        <v>434</v>
      </c>
      <c r="AS522" s="1" t="s">
        <v>2767</v>
      </c>
      <c r="AT522" s="1" t="s">
        <v>225</v>
      </c>
      <c r="AU522" s="1" t="s">
        <v>699</v>
      </c>
      <c r="AV522" s="1">
        <v>83.45</v>
      </c>
      <c r="AW522" s="1"/>
      <c r="AX522" s="1" t="s">
        <v>361</v>
      </c>
      <c r="AY522" s="1" t="s">
        <v>9858</v>
      </c>
      <c r="AZ522" s="1" t="s">
        <v>506</v>
      </c>
      <c r="BA522" s="1" t="s">
        <v>202</v>
      </c>
      <c r="BB522" s="1">
        <v>76.5</v>
      </c>
      <c r="BC522" s="1">
        <v>8.4</v>
      </c>
      <c r="BD522" s="1"/>
      <c r="BE522" s="1"/>
      <c r="BF522" s="1"/>
      <c r="BG522" s="1"/>
      <c r="BH522" s="1"/>
      <c r="BI522" s="1"/>
      <c r="BJ522" s="1" t="s">
        <v>9859</v>
      </c>
      <c r="BK522" s="1" t="s">
        <v>9860</v>
      </c>
      <c r="BL522" s="1" t="s">
        <v>2186</v>
      </c>
      <c r="BM522" s="1" t="s">
        <v>9861</v>
      </c>
      <c r="BN522" s="1">
        <v>20</v>
      </c>
      <c r="BO522" s="1" t="s">
        <v>9862</v>
      </c>
      <c r="BP522" s="1" t="str">
        <f>HYPERLINK("https://nconnect.nicmar.ac.in/storage/profile/ProfilePhoto_P25700479_865294.jpg","Download")</f>
        <v>0</v>
      </c>
      <c r="BQ522" s="3"/>
      <c r="BR522" s="3"/>
    </row>
    <row r="523" spans="1:70">
      <c r="A523" s="1" t="s">
        <v>70</v>
      </c>
      <c r="B523" s="1" t="s">
        <v>1269</v>
      </c>
      <c r="C523" s="1" t="s">
        <v>9863</v>
      </c>
      <c r="D523" s="1" t="s">
        <v>533</v>
      </c>
      <c r="E523" s="1" t="s">
        <v>9864</v>
      </c>
      <c r="F523" s="1" t="s">
        <v>9865</v>
      </c>
      <c r="G523" s="1" t="s">
        <v>9866</v>
      </c>
      <c r="H523" s="1" t="s">
        <v>9867</v>
      </c>
      <c r="I523" s="1" t="s">
        <v>9868</v>
      </c>
      <c r="J523" s="1">
        <v>9359507651</v>
      </c>
      <c r="K523" s="1" t="s">
        <v>79</v>
      </c>
      <c r="L523" s="1" t="s">
        <v>9869</v>
      </c>
      <c r="M523" s="1" t="s">
        <v>81</v>
      </c>
      <c r="N523" s="1" t="s">
        <v>1418</v>
      </c>
      <c r="O523" s="1"/>
      <c r="P523" s="1" t="s">
        <v>1323</v>
      </c>
      <c r="Q523" s="1" t="s">
        <v>9870</v>
      </c>
      <c r="R523" s="1" t="s">
        <v>9864</v>
      </c>
      <c r="S523" s="1">
        <v>9823434100</v>
      </c>
      <c r="T523" s="1" t="s">
        <v>9871</v>
      </c>
      <c r="U523" s="1" t="s">
        <v>3807</v>
      </c>
      <c r="V523" s="1">
        <v>9823615100</v>
      </c>
      <c r="W523" s="1" t="s">
        <v>156</v>
      </c>
      <c r="X523" s="1" t="s">
        <v>9872</v>
      </c>
      <c r="Y523" s="1" t="s">
        <v>5915</v>
      </c>
      <c r="Z523" s="1" t="s">
        <v>92</v>
      </c>
      <c r="AA523" s="1" t="s">
        <v>9872</v>
      </c>
      <c r="AB523" s="1" t="s">
        <v>5915</v>
      </c>
      <c r="AC523" s="1" t="s">
        <v>92</v>
      </c>
      <c r="AD523" s="1">
        <v>9.18</v>
      </c>
      <c r="AE523" s="1" t="s">
        <v>93</v>
      </c>
      <c r="AF523" s="1" t="s">
        <v>9873</v>
      </c>
      <c r="AG523" s="1" t="s">
        <v>9186</v>
      </c>
      <c r="AH523" s="1" t="s">
        <v>165</v>
      </c>
      <c r="AI523" s="1" t="s">
        <v>281</v>
      </c>
      <c r="AJ523" s="1">
        <v>85.4</v>
      </c>
      <c r="AK523" s="1"/>
      <c r="AL523" s="1" t="s">
        <v>9874</v>
      </c>
      <c r="AM523" s="1" t="s">
        <v>9186</v>
      </c>
      <c r="AN523" s="1" t="s">
        <v>359</v>
      </c>
      <c r="AO523" s="1" t="s">
        <v>360</v>
      </c>
      <c r="AP523" s="1">
        <v>61.38</v>
      </c>
      <c r="AQ523" s="1"/>
      <c r="AR523" s="1"/>
      <c r="AS523" s="1"/>
      <c r="AT523" s="1"/>
      <c r="AU523" s="1"/>
      <c r="AV523" s="1"/>
      <c r="AW523" s="1"/>
      <c r="AX523" s="1" t="s">
        <v>1891</v>
      </c>
      <c r="AY523" s="1" t="s">
        <v>9188</v>
      </c>
      <c r="AZ523" s="1" t="s">
        <v>363</v>
      </c>
      <c r="BA523" s="1" t="s">
        <v>1714</v>
      </c>
      <c r="BB523" s="1">
        <v>63.9</v>
      </c>
      <c r="BC523" s="1">
        <v>7.14</v>
      </c>
      <c r="BD523" s="1"/>
      <c r="BE523" s="1"/>
      <c r="BF523" s="1"/>
      <c r="BG523" s="1"/>
      <c r="BH523" s="1"/>
      <c r="BI523" s="1"/>
      <c r="BJ523" s="1" t="s">
        <v>8002</v>
      </c>
      <c r="BK523" s="1"/>
      <c r="BL523" s="1"/>
      <c r="BM523" s="1" t="s">
        <v>9875</v>
      </c>
      <c r="BN523" s="1">
        <v>15</v>
      </c>
      <c r="BO523" s="1" t="s">
        <v>5608</v>
      </c>
      <c r="BP523" s="1" t="str">
        <f>HYPERLINK("https://nconnect.nicmar.ac.in/storage/profile/ProfilePhoto_P25700480_918634.jpg","Download")</f>
        <v>0</v>
      </c>
      <c r="BQ523" s="3"/>
      <c r="BR523" s="3"/>
    </row>
    <row r="524" spans="1:70">
      <c r="A524" s="1" t="s">
        <v>70</v>
      </c>
      <c r="B524" s="1" t="s">
        <v>1269</v>
      </c>
      <c r="C524" s="1" t="s">
        <v>9876</v>
      </c>
      <c r="D524" s="1" t="s">
        <v>1117</v>
      </c>
      <c r="E524" s="1" t="s">
        <v>5204</v>
      </c>
      <c r="F524" s="1" t="s">
        <v>9877</v>
      </c>
      <c r="G524" s="1" t="s">
        <v>9878</v>
      </c>
      <c r="H524" s="1" t="s">
        <v>9879</v>
      </c>
      <c r="I524" s="1" t="s">
        <v>9880</v>
      </c>
      <c r="J524" s="1">
        <v>9527336651</v>
      </c>
      <c r="K524" s="1" t="s">
        <v>79</v>
      </c>
      <c r="L524" s="1" t="s">
        <v>9881</v>
      </c>
      <c r="M524" s="1" t="s">
        <v>81</v>
      </c>
      <c r="N524" s="1" t="s">
        <v>9882</v>
      </c>
      <c r="O524" s="1"/>
      <c r="P524" s="1" t="s">
        <v>1323</v>
      </c>
      <c r="Q524" s="1" t="s">
        <v>9883</v>
      </c>
      <c r="R524" s="1" t="s">
        <v>5204</v>
      </c>
      <c r="S524" s="1">
        <v>9604648313</v>
      </c>
      <c r="T524" s="1" t="s">
        <v>472</v>
      </c>
      <c r="U524" s="1" t="s">
        <v>977</v>
      </c>
      <c r="V524" s="1">
        <v>8329367333</v>
      </c>
      <c r="W524" s="1" t="s">
        <v>273</v>
      </c>
      <c r="X524" s="1" t="s">
        <v>9884</v>
      </c>
      <c r="Y524" s="1" t="s">
        <v>766</v>
      </c>
      <c r="Z524" s="1" t="s">
        <v>92</v>
      </c>
      <c r="AA524" s="1" t="s">
        <v>9884</v>
      </c>
      <c r="AB524" s="1" t="s">
        <v>766</v>
      </c>
      <c r="AC524" s="1" t="s">
        <v>92</v>
      </c>
      <c r="AD524" s="1">
        <v>8.95</v>
      </c>
      <c r="AE524" s="1" t="s">
        <v>93</v>
      </c>
      <c r="AF524" s="1" t="s">
        <v>9885</v>
      </c>
      <c r="AG524" s="1" t="s">
        <v>160</v>
      </c>
      <c r="AH524" s="1" t="s">
        <v>161</v>
      </c>
      <c r="AI524" s="1" t="s">
        <v>456</v>
      </c>
      <c r="AJ524" s="1">
        <v>86.6</v>
      </c>
      <c r="AK524" s="1"/>
      <c r="AL524" s="1" t="s">
        <v>9886</v>
      </c>
      <c r="AM524" s="1" t="s">
        <v>160</v>
      </c>
      <c r="AN524" s="1" t="s">
        <v>165</v>
      </c>
      <c r="AO524" s="1" t="s">
        <v>166</v>
      </c>
      <c r="AP524" s="1">
        <v>63.69</v>
      </c>
      <c r="AQ524" s="1"/>
      <c r="AR524" s="1" t="s">
        <v>434</v>
      </c>
      <c r="AS524" s="1" t="s">
        <v>9887</v>
      </c>
      <c r="AT524" s="1" t="s">
        <v>636</v>
      </c>
      <c r="AU524" s="1" t="s">
        <v>170</v>
      </c>
      <c r="AV524" s="1">
        <v>87.05</v>
      </c>
      <c r="AW524" s="1"/>
      <c r="AX524" s="1" t="s">
        <v>1024</v>
      </c>
      <c r="AY524" s="1" t="s">
        <v>9888</v>
      </c>
      <c r="AZ524" s="1" t="s">
        <v>228</v>
      </c>
      <c r="BA524" s="1" t="s">
        <v>682</v>
      </c>
      <c r="BB524" s="1">
        <v>76.4</v>
      </c>
      <c r="BC524" s="1"/>
      <c r="BD524" s="1"/>
      <c r="BE524" s="1"/>
      <c r="BF524" s="1"/>
      <c r="BG524" s="1"/>
      <c r="BH524" s="1"/>
      <c r="BI524" s="1"/>
      <c r="BJ524" s="1" t="s">
        <v>255</v>
      </c>
      <c r="BK524" s="1" t="s">
        <v>9889</v>
      </c>
      <c r="BL524" s="1" t="s">
        <v>2019</v>
      </c>
      <c r="BM524" s="1" t="s">
        <v>9890</v>
      </c>
      <c r="BN524" s="1">
        <v>16</v>
      </c>
      <c r="BO524" s="1" t="s">
        <v>9891</v>
      </c>
      <c r="BP524" s="1" t="str">
        <f>HYPERLINK("https://nconnect.nicmar.ac.in/storage/profile/ProfilePhoto_P25700481_569471.jpg","Download")</f>
        <v>0</v>
      </c>
      <c r="BQ524" s="3"/>
      <c r="BR524" s="3"/>
    </row>
    <row r="525" spans="1:70">
      <c r="A525" s="1" t="s">
        <v>70</v>
      </c>
      <c r="B525" s="1" t="s">
        <v>1269</v>
      </c>
      <c r="C525" s="1" t="s">
        <v>9892</v>
      </c>
      <c r="D525" s="1" t="s">
        <v>2287</v>
      </c>
      <c r="E525" s="1"/>
      <c r="F525" s="1" t="s">
        <v>9893</v>
      </c>
      <c r="G525" s="1" t="s">
        <v>9894</v>
      </c>
      <c r="H525" s="1" t="s">
        <v>9895</v>
      </c>
      <c r="I525" s="1" t="s">
        <v>9896</v>
      </c>
      <c r="J525" s="1">
        <v>9787193939</v>
      </c>
      <c r="K525" s="1" t="s">
        <v>79</v>
      </c>
      <c r="L525" s="1" t="s">
        <v>9897</v>
      </c>
      <c r="M525" s="1" t="s">
        <v>81</v>
      </c>
      <c r="N525" s="1" t="s">
        <v>6490</v>
      </c>
      <c r="O525" s="1"/>
      <c r="P525" s="1" t="s">
        <v>1278</v>
      </c>
      <c r="Q525" s="1" t="s">
        <v>9898</v>
      </c>
      <c r="R525" s="1" t="s">
        <v>9899</v>
      </c>
      <c r="S525" s="1">
        <v>9842472734</v>
      </c>
      <c r="T525" s="1" t="s">
        <v>496</v>
      </c>
      <c r="U525" s="1" t="s">
        <v>9900</v>
      </c>
      <c r="V525" s="1">
        <v>9942472734</v>
      </c>
      <c r="W525" s="1" t="s">
        <v>273</v>
      </c>
      <c r="X525" s="1" t="s">
        <v>9901</v>
      </c>
      <c r="Y525" s="1" t="s">
        <v>9642</v>
      </c>
      <c r="Z525" s="1" t="s">
        <v>1377</v>
      </c>
      <c r="AA525" s="1" t="s">
        <v>9901</v>
      </c>
      <c r="AB525" s="1" t="s">
        <v>9642</v>
      </c>
      <c r="AC525" s="1" t="s">
        <v>1377</v>
      </c>
      <c r="AD525" s="1">
        <v>9.03</v>
      </c>
      <c r="AE525" s="1" t="s">
        <v>93</v>
      </c>
      <c r="AF525" s="1" t="s">
        <v>9643</v>
      </c>
      <c r="AG525" s="1" t="s">
        <v>9902</v>
      </c>
      <c r="AH525" s="1" t="s">
        <v>101</v>
      </c>
      <c r="AI525" s="1" t="s">
        <v>308</v>
      </c>
      <c r="AJ525" s="1">
        <v>69.2</v>
      </c>
      <c r="AK525" s="1"/>
      <c r="AL525" s="1" t="s">
        <v>9643</v>
      </c>
      <c r="AM525" s="1" t="s">
        <v>9902</v>
      </c>
      <c r="AN525" s="1" t="s">
        <v>699</v>
      </c>
      <c r="AO525" s="1" t="s">
        <v>506</v>
      </c>
      <c r="AP525" s="1">
        <v>84.6</v>
      </c>
      <c r="AQ525" s="1"/>
      <c r="AR525" s="1"/>
      <c r="AS525" s="1"/>
      <c r="AT525" s="1"/>
      <c r="AU525" s="1"/>
      <c r="AV525" s="1"/>
      <c r="AW525" s="1"/>
      <c r="AX525" s="1" t="s">
        <v>1381</v>
      </c>
      <c r="AY525" s="1" t="s">
        <v>9903</v>
      </c>
      <c r="AZ525" s="1" t="s">
        <v>135</v>
      </c>
      <c r="BA525" s="1" t="s">
        <v>1408</v>
      </c>
      <c r="BB525" s="1">
        <v>85</v>
      </c>
      <c r="BC525" s="1"/>
      <c r="BD525" s="1"/>
      <c r="BE525" s="1"/>
      <c r="BF525" s="1"/>
      <c r="BG525" s="1"/>
      <c r="BH525" s="1"/>
      <c r="BI525" s="1"/>
      <c r="BJ525" s="1" t="s">
        <v>9904</v>
      </c>
      <c r="BK525" s="1"/>
      <c r="BL525" s="1"/>
      <c r="BM525" s="1" t="s">
        <v>9905</v>
      </c>
      <c r="BN525" s="1">
        <v>24</v>
      </c>
      <c r="BO525" s="1" t="s">
        <v>9906</v>
      </c>
      <c r="BP525" s="1" t="str">
        <f>HYPERLINK("https://nconnect.nicmar.ac.in/storage/profile/ProfilePhoto_P25700482_765438.jpg","Download")</f>
        <v>0</v>
      </c>
      <c r="BQ525" s="3"/>
      <c r="BR525" s="3"/>
    </row>
    <row r="526" spans="1:70">
      <c r="A526" s="1" t="s">
        <v>70</v>
      </c>
      <c r="B526" s="1" t="s">
        <v>1269</v>
      </c>
      <c r="C526" s="1" t="s">
        <v>9907</v>
      </c>
      <c r="D526" s="1" t="s">
        <v>9908</v>
      </c>
      <c r="E526" s="1" t="s">
        <v>9909</v>
      </c>
      <c r="F526" s="1" t="s">
        <v>9910</v>
      </c>
      <c r="G526" s="1" t="s">
        <v>9911</v>
      </c>
      <c r="H526" s="1" t="s">
        <v>9912</v>
      </c>
      <c r="I526" s="1" t="s">
        <v>9913</v>
      </c>
      <c r="J526" s="1">
        <v>7507513437</v>
      </c>
      <c r="K526" s="1" t="s">
        <v>79</v>
      </c>
      <c r="L526" s="1" t="s">
        <v>9914</v>
      </c>
      <c r="M526" s="1" t="s">
        <v>81</v>
      </c>
      <c r="N526" s="1" t="s">
        <v>1418</v>
      </c>
      <c r="O526" s="1"/>
      <c r="P526" s="1" t="s">
        <v>1323</v>
      </c>
      <c r="Q526" s="1" t="s">
        <v>9915</v>
      </c>
      <c r="R526" s="1" t="s">
        <v>9916</v>
      </c>
      <c r="S526" s="1">
        <v>9823325325</v>
      </c>
      <c r="T526" s="1" t="s">
        <v>377</v>
      </c>
      <c r="U526" s="1" t="s">
        <v>9917</v>
      </c>
      <c r="V526" s="1">
        <v>7499329248</v>
      </c>
      <c r="W526" s="1" t="s">
        <v>273</v>
      </c>
      <c r="X526" s="1" t="s">
        <v>9918</v>
      </c>
      <c r="Y526" s="1" t="s">
        <v>1174</v>
      </c>
      <c r="Z526" s="1" t="s">
        <v>92</v>
      </c>
      <c r="AA526" s="1" t="s">
        <v>9918</v>
      </c>
      <c r="AB526" s="1" t="s">
        <v>1174</v>
      </c>
      <c r="AC526" s="1" t="s">
        <v>92</v>
      </c>
      <c r="AD526" s="1">
        <v>8.65</v>
      </c>
      <c r="AE526" s="1" t="s">
        <v>93</v>
      </c>
      <c r="AF526" s="1" t="s">
        <v>9919</v>
      </c>
      <c r="AG526" s="1" t="s">
        <v>3549</v>
      </c>
      <c r="AH526" s="1" t="s">
        <v>195</v>
      </c>
      <c r="AI526" s="1" t="s">
        <v>281</v>
      </c>
      <c r="AJ526" s="1">
        <v>84.6</v>
      </c>
      <c r="AK526" s="1"/>
      <c r="AL526" s="1" t="s">
        <v>9920</v>
      </c>
      <c r="AM526" s="1" t="s">
        <v>3549</v>
      </c>
      <c r="AN526" s="1" t="s">
        <v>310</v>
      </c>
      <c r="AO526" s="1" t="s">
        <v>360</v>
      </c>
      <c r="AP526" s="1">
        <v>74.31</v>
      </c>
      <c r="AQ526" s="1"/>
      <c r="AR526" s="1"/>
      <c r="AS526" s="1"/>
      <c r="AT526" s="1"/>
      <c r="AU526" s="1"/>
      <c r="AV526" s="1"/>
      <c r="AW526" s="1"/>
      <c r="AX526" s="1" t="s">
        <v>361</v>
      </c>
      <c r="AY526" s="1" t="s">
        <v>9921</v>
      </c>
      <c r="AZ526" s="1" t="s">
        <v>412</v>
      </c>
      <c r="BA526" s="1" t="s">
        <v>413</v>
      </c>
      <c r="BB526" s="1">
        <v>74.5</v>
      </c>
      <c r="BC526" s="1">
        <v>8.2</v>
      </c>
      <c r="BD526" s="1"/>
      <c r="BE526" s="1"/>
      <c r="BF526" s="1"/>
      <c r="BG526" s="1"/>
      <c r="BH526" s="1"/>
      <c r="BI526" s="1"/>
      <c r="BJ526" s="1" t="s">
        <v>9922</v>
      </c>
      <c r="BK526" s="1" t="s">
        <v>9923</v>
      </c>
      <c r="BL526" s="1" t="s">
        <v>1919</v>
      </c>
      <c r="BM526" s="1" t="s">
        <v>9924</v>
      </c>
      <c r="BN526" s="1">
        <v>13</v>
      </c>
      <c r="BO526" s="1" t="s">
        <v>9925</v>
      </c>
      <c r="BP526" s="1" t="str">
        <f>HYPERLINK("https://nconnect.nicmar.ac.in/storage/profile/ProfilePhoto_P25700483_846325.jpg","Download")</f>
        <v>0</v>
      </c>
      <c r="BQ526" s="3"/>
      <c r="BR526" s="3"/>
    </row>
    <row r="527" spans="1:70">
      <c r="A527" s="1" t="s">
        <v>70</v>
      </c>
      <c r="B527" s="1" t="s">
        <v>1269</v>
      </c>
      <c r="C527" s="1" t="s">
        <v>9926</v>
      </c>
      <c r="D527" s="1" t="s">
        <v>9927</v>
      </c>
      <c r="E527" s="1" t="s">
        <v>181</v>
      </c>
      <c r="F527" s="1" t="s">
        <v>9928</v>
      </c>
      <c r="G527" s="1" t="s">
        <v>9929</v>
      </c>
      <c r="H527" s="1" t="s">
        <v>9930</v>
      </c>
      <c r="I527" s="1" t="s">
        <v>9931</v>
      </c>
      <c r="J527" s="1">
        <v>7057521752</v>
      </c>
      <c r="K527" s="1" t="s">
        <v>79</v>
      </c>
      <c r="L527" s="1" t="s">
        <v>9932</v>
      </c>
      <c r="M527" s="1" t="s">
        <v>81</v>
      </c>
      <c r="N527" s="1" t="s">
        <v>2008</v>
      </c>
      <c r="O527" s="1"/>
      <c r="P527" s="1" t="s">
        <v>1323</v>
      </c>
      <c r="Q527" s="1" t="s">
        <v>9933</v>
      </c>
      <c r="R527" s="1" t="s">
        <v>181</v>
      </c>
      <c r="S527" s="1">
        <v>9422722731</v>
      </c>
      <c r="T527" s="1" t="s">
        <v>154</v>
      </c>
      <c r="U527" s="1" t="s">
        <v>5401</v>
      </c>
      <c r="V527" s="1">
        <v>9921717790</v>
      </c>
      <c r="W527" s="1" t="s">
        <v>156</v>
      </c>
      <c r="X527" s="1" t="s">
        <v>9934</v>
      </c>
      <c r="Y527" s="1" t="s">
        <v>91</v>
      </c>
      <c r="Z527" s="1" t="s">
        <v>92</v>
      </c>
      <c r="AA527" s="1" t="s">
        <v>9935</v>
      </c>
      <c r="AB527" s="1" t="s">
        <v>91</v>
      </c>
      <c r="AC527" s="1" t="s">
        <v>92</v>
      </c>
      <c r="AD527" s="1">
        <v>7.84</v>
      </c>
      <c r="AE527" s="1" t="s">
        <v>93</v>
      </c>
      <c r="AF527" s="1" t="s">
        <v>9936</v>
      </c>
      <c r="AG527" s="1" t="s">
        <v>160</v>
      </c>
      <c r="AH527" s="1" t="s">
        <v>161</v>
      </c>
      <c r="AI527" s="1" t="s">
        <v>162</v>
      </c>
      <c r="AJ527" s="1">
        <v>86.4</v>
      </c>
      <c r="AK527" s="1"/>
      <c r="AL527" s="1" t="s">
        <v>9937</v>
      </c>
      <c r="AM527" s="1" t="s">
        <v>160</v>
      </c>
      <c r="AN527" s="1" t="s">
        <v>479</v>
      </c>
      <c r="AO527" s="1" t="s">
        <v>166</v>
      </c>
      <c r="AP527" s="1">
        <v>55.38</v>
      </c>
      <c r="AQ527" s="1"/>
      <c r="AR527" s="1" t="s">
        <v>434</v>
      </c>
      <c r="AS527" s="1" t="s">
        <v>9938</v>
      </c>
      <c r="AT527" s="1" t="s">
        <v>457</v>
      </c>
      <c r="AU527" s="1" t="s">
        <v>170</v>
      </c>
      <c r="AV527" s="1">
        <v>80.74</v>
      </c>
      <c r="AW527" s="1"/>
      <c r="AX527" s="1" t="s">
        <v>102</v>
      </c>
      <c r="AY527" s="1" t="s">
        <v>9939</v>
      </c>
      <c r="AZ527" s="1" t="s">
        <v>436</v>
      </c>
      <c r="BA527" s="1" t="s">
        <v>174</v>
      </c>
      <c r="BB527" s="1">
        <v>77</v>
      </c>
      <c r="BC527" s="1">
        <v>8.2</v>
      </c>
      <c r="BD527" s="1"/>
      <c r="BE527" s="1"/>
      <c r="BF527" s="1"/>
      <c r="BG527" s="1"/>
      <c r="BH527" s="1"/>
      <c r="BI527" s="1"/>
      <c r="BJ527" s="1" t="s">
        <v>4493</v>
      </c>
      <c r="BK527" s="1"/>
      <c r="BL527" s="1"/>
      <c r="BM527" s="1" t="s">
        <v>9940</v>
      </c>
      <c r="BN527" s="1">
        <v>19</v>
      </c>
      <c r="BO527" s="1" t="s">
        <v>9941</v>
      </c>
      <c r="BP527" s="1" t="str">
        <f>HYPERLINK("https://nconnect.nicmar.ac.in/storage/profile/ProfilePhoto_P25700484_254718.jpg","Download")</f>
        <v>0</v>
      </c>
      <c r="BQ527" s="3"/>
      <c r="BR527" s="3"/>
    </row>
    <row r="528" spans="1:70">
      <c r="A528" s="1" t="s">
        <v>70</v>
      </c>
      <c r="B528" s="1" t="s">
        <v>1269</v>
      </c>
      <c r="C528" s="1" t="s">
        <v>9942</v>
      </c>
      <c r="D528" s="1" t="s">
        <v>9943</v>
      </c>
      <c r="E528" s="1" t="s">
        <v>1566</v>
      </c>
      <c r="F528" s="1" t="s">
        <v>9944</v>
      </c>
      <c r="G528" s="1" t="s">
        <v>9945</v>
      </c>
      <c r="H528" s="1" t="s">
        <v>9946</v>
      </c>
      <c r="I528" s="1" t="s">
        <v>9947</v>
      </c>
      <c r="J528" s="1">
        <v>9158630126</v>
      </c>
      <c r="K528" s="1" t="s">
        <v>79</v>
      </c>
      <c r="L528" s="1" t="s">
        <v>9948</v>
      </c>
      <c r="M528" s="1" t="s">
        <v>81</v>
      </c>
      <c r="N528" s="1" t="s">
        <v>1618</v>
      </c>
      <c r="O528" s="1"/>
      <c r="P528" s="1" t="s">
        <v>1323</v>
      </c>
      <c r="Q528" s="1" t="s">
        <v>9949</v>
      </c>
      <c r="R528" s="1" t="s">
        <v>1566</v>
      </c>
      <c r="S528" s="1">
        <v>9890907602</v>
      </c>
      <c r="T528" s="1" t="s">
        <v>154</v>
      </c>
      <c r="U528" s="1" t="s">
        <v>9950</v>
      </c>
      <c r="V528" s="1">
        <v>7719900971</v>
      </c>
      <c r="W528" s="1" t="s">
        <v>156</v>
      </c>
      <c r="X528" s="1" t="s">
        <v>9951</v>
      </c>
      <c r="Y528" s="1" t="s">
        <v>5767</v>
      </c>
      <c r="Z528" s="1" t="s">
        <v>92</v>
      </c>
      <c r="AA528" s="1" t="s">
        <v>9951</v>
      </c>
      <c r="AB528" s="1" t="s">
        <v>5767</v>
      </c>
      <c r="AC528" s="1" t="s">
        <v>92</v>
      </c>
      <c r="AD528" s="1">
        <v>7.76</v>
      </c>
      <c r="AE528" s="1" t="s">
        <v>93</v>
      </c>
      <c r="AF528" s="1" t="s">
        <v>9952</v>
      </c>
      <c r="AG528" s="1" t="s">
        <v>9953</v>
      </c>
      <c r="AH528" s="1" t="s">
        <v>165</v>
      </c>
      <c r="AI528" s="1" t="s">
        <v>101</v>
      </c>
      <c r="AJ528" s="1">
        <v>90</v>
      </c>
      <c r="AK528" s="1"/>
      <c r="AL528" s="1" t="s">
        <v>9954</v>
      </c>
      <c r="AM528" s="1" t="s">
        <v>9955</v>
      </c>
      <c r="AN528" s="1" t="s">
        <v>9956</v>
      </c>
      <c r="AO528" s="1" t="s">
        <v>173</v>
      </c>
      <c r="AP528" s="1">
        <v>68.92</v>
      </c>
      <c r="AQ528" s="1"/>
      <c r="AR528" s="1"/>
      <c r="AS528" s="1"/>
      <c r="AT528" s="1"/>
      <c r="AU528" s="1"/>
      <c r="AV528" s="1"/>
      <c r="AW528" s="1"/>
      <c r="AX528" s="1" t="s">
        <v>361</v>
      </c>
      <c r="AY528" s="1" t="s">
        <v>9957</v>
      </c>
      <c r="AZ528" s="1" t="s">
        <v>363</v>
      </c>
      <c r="BA528" s="1" t="s">
        <v>202</v>
      </c>
      <c r="BB528" s="1">
        <v>70.1</v>
      </c>
      <c r="BC528" s="1">
        <v>7.76</v>
      </c>
      <c r="BD528" s="1"/>
      <c r="BE528" s="1"/>
      <c r="BF528" s="1"/>
      <c r="BG528" s="1"/>
      <c r="BH528" s="1"/>
      <c r="BI528" s="1"/>
      <c r="BJ528" s="1" t="s">
        <v>9958</v>
      </c>
      <c r="BK528" s="1" t="s">
        <v>9959</v>
      </c>
      <c r="BL528" s="1" t="s">
        <v>1919</v>
      </c>
      <c r="BM528" s="1" t="s">
        <v>9960</v>
      </c>
      <c r="BN528" s="1">
        <v>15</v>
      </c>
      <c r="BO528" s="1"/>
      <c r="BP528" s="1" t="str">
        <f>HYPERLINK("https://nconnect.nicmar.ac.in/storage/profile/ProfilePhoto_P25700485_129836.jpg","Download")</f>
        <v>0</v>
      </c>
      <c r="BQ528" s="3"/>
      <c r="BR528" s="3"/>
    </row>
    <row r="529" spans="1:70">
      <c r="A529" s="1" t="s">
        <v>70</v>
      </c>
      <c r="B529" s="1" t="s">
        <v>1269</v>
      </c>
      <c r="C529" s="1" t="s">
        <v>9961</v>
      </c>
      <c r="D529" s="1" t="s">
        <v>9962</v>
      </c>
      <c r="E529" s="1" t="s">
        <v>9963</v>
      </c>
      <c r="F529" s="1" t="s">
        <v>9964</v>
      </c>
      <c r="G529" s="1" t="s">
        <v>9965</v>
      </c>
      <c r="H529" s="1" t="s">
        <v>9966</v>
      </c>
      <c r="I529" s="1" t="s">
        <v>9967</v>
      </c>
      <c r="J529" s="1">
        <v>9156789718</v>
      </c>
      <c r="K529" s="1" t="s">
        <v>79</v>
      </c>
      <c r="L529" s="1" t="s">
        <v>9968</v>
      </c>
      <c r="M529" s="1" t="s">
        <v>81</v>
      </c>
      <c r="N529" s="1" t="s">
        <v>1418</v>
      </c>
      <c r="O529" s="1"/>
      <c r="P529" s="1" t="s">
        <v>1323</v>
      </c>
      <c r="Q529" s="1" t="s">
        <v>9969</v>
      </c>
      <c r="R529" s="1" t="s">
        <v>9963</v>
      </c>
      <c r="S529" s="1">
        <v>9422049718</v>
      </c>
      <c r="T529" s="1" t="s">
        <v>9970</v>
      </c>
      <c r="U529" s="1" t="s">
        <v>9971</v>
      </c>
      <c r="V529" s="1">
        <v>9604248677</v>
      </c>
      <c r="W529" s="1" t="s">
        <v>156</v>
      </c>
      <c r="X529" s="1" t="s">
        <v>9972</v>
      </c>
      <c r="Y529" s="1" t="s">
        <v>2786</v>
      </c>
      <c r="Z529" s="1" t="s">
        <v>92</v>
      </c>
      <c r="AA529" s="1" t="s">
        <v>9972</v>
      </c>
      <c r="AB529" s="1" t="s">
        <v>2786</v>
      </c>
      <c r="AC529" s="1" t="s">
        <v>92</v>
      </c>
      <c r="AD529" s="1">
        <v>8.62</v>
      </c>
      <c r="AE529" s="1" t="s">
        <v>93</v>
      </c>
      <c r="AF529" s="1" t="s">
        <v>9973</v>
      </c>
      <c r="AG529" s="1" t="s">
        <v>9974</v>
      </c>
      <c r="AH529" s="1" t="s">
        <v>165</v>
      </c>
      <c r="AI529" s="1" t="s">
        <v>101</v>
      </c>
      <c r="AJ529" s="1">
        <v>92.2</v>
      </c>
      <c r="AK529" s="1"/>
      <c r="AL529" s="1" t="s">
        <v>9975</v>
      </c>
      <c r="AM529" s="1" t="s">
        <v>9974</v>
      </c>
      <c r="AN529" s="1" t="s">
        <v>310</v>
      </c>
      <c r="AO529" s="1" t="s">
        <v>173</v>
      </c>
      <c r="AP529" s="1">
        <v>80.77</v>
      </c>
      <c r="AQ529" s="1"/>
      <c r="AR529" s="1"/>
      <c r="AS529" s="1"/>
      <c r="AT529" s="1"/>
      <c r="AU529" s="1"/>
      <c r="AV529" s="1"/>
      <c r="AW529" s="1"/>
      <c r="AX529" s="1" t="s">
        <v>9976</v>
      </c>
      <c r="AY529" s="1" t="s">
        <v>9977</v>
      </c>
      <c r="AZ529" s="1" t="s">
        <v>173</v>
      </c>
      <c r="BA529" s="1" t="s">
        <v>202</v>
      </c>
      <c r="BB529" s="1">
        <v>67</v>
      </c>
      <c r="BC529" s="1"/>
      <c r="BD529" s="1"/>
      <c r="BE529" s="1"/>
      <c r="BF529" s="1"/>
      <c r="BG529" s="1"/>
      <c r="BH529" s="1"/>
      <c r="BI529" s="1"/>
      <c r="BJ529" s="1" t="s">
        <v>9978</v>
      </c>
      <c r="BK529" s="1"/>
      <c r="BL529" s="1"/>
      <c r="BM529" s="1" t="s">
        <v>9979</v>
      </c>
      <c r="BN529" s="1">
        <v>35</v>
      </c>
      <c r="BO529" s="1" t="s">
        <v>9980</v>
      </c>
      <c r="BP529" s="1" t="str">
        <f>HYPERLINK("https://nconnect.nicmar.ac.in/storage/profile/ProfilePhoto_P25700486_729541.jpg","Download")</f>
        <v>0</v>
      </c>
      <c r="BQ529" s="3"/>
      <c r="BR529" s="3"/>
    </row>
    <row r="530" spans="1:70">
      <c r="A530" s="1" t="s">
        <v>70</v>
      </c>
      <c r="B530" s="1" t="s">
        <v>1269</v>
      </c>
      <c r="C530" s="1" t="s">
        <v>9981</v>
      </c>
      <c r="D530" s="1" t="s">
        <v>9982</v>
      </c>
      <c r="E530" s="1" t="s">
        <v>9983</v>
      </c>
      <c r="F530" s="1" t="s">
        <v>9984</v>
      </c>
      <c r="G530" s="1" t="s">
        <v>9985</v>
      </c>
      <c r="H530" s="1" t="s">
        <v>9986</v>
      </c>
      <c r="I530" s="1" t="s">
        <v>9987</v>
      </c>
      <c r="J530" s="1">
        <v>9511695706</v>
      </c>
      <c r="K530" s="1" t="s">
        <v>79</v>
      </c>
      <c r="L530" s="1" t="s">
        <v>1098</v>
      </c>
      <c r="M530" s="1" t="s">
        <v>81</v>
      </c>
      <c r="N530" s="1" t="s">
        <v>9988</v>
      </c>
      <c r="O530" s="1"/>
      <c r="P530" s="1" t="s">
        <v>1298</v>
      </c>
      <c r="Q530" s="1" t="s">
        <v>9989</v>
      </c>
      <c r="R530" s="1" t="s">
        <v>9983</v>
      </c>
      <c r="S530" s="1">
        <v>9421724330</v>
      </c>
      <c r="T530" s="1" t="s">
        <v>763</v>
      </c>
      <c r="U530" s="1" t="s">
        <v>9990</v>
      </c>
      <c r="V530" s="1">
        <v>7498405538</v>
      </c>
      <c r="W530" s="1" t="s">
        <v>89</v>
      </c>
      <c r="X530" s="1" t="s">
        <v>9991</v>
      </c>
      <c r="Y530" s="1" t="s">
        <v>1424</v>
      </c>
      <c r="Z530" s="1" t="s">
        <v>92</v>
      </c>
      <c r="AA530" s="1" t="s">
        <v>9991</v>
      </c>
      <c r="AB530" s="1" t="s">
        <v>1424</v>
      </c>
      <c r="AC530" s="1" t="s">
        <v>92</v>
      </c>
      <c r="AD530" s="1">
        <v>8.09</v>
      </c>
      <c r="AE530" s="1" t="s">
        <v>93</v>
      </c>
      <c r="AF530" s="1" t="s">
        <v>9992</v>
      </c>
      <c r="AG530" s="1" t="s">
        <v>9993</v>
      </c>
      <c r="AH530" s="1" t="s">
        <v>96</v>
      </c>
      <c r="AI530" s="1" t="s">
        <v>161</v>
      </c>
      <c r="AJ530" s="1">
        <v>82.8</v>
      </c>
      <c r="AK530" s="1"/>
      <c r="AL530" s="1" t="s">
        <v>9994</v>
      </c>
      <c r="AM530" s="1" t="s">
        <v>3154</v>
      </c>
      <c r="AN530" s="1" t="s">
        <v>162</v>
      </c>
      <c r="AO530" s="1" t="s">
        <v>479</v>
      </c>
      <c r="AP530" s="1">
        <v>70.46</v>
      </c>
      <c r="AQ530" s="1"/>
      <c r="AR530" s="1"/>
      <c r="AS530" s="1"/>
      <c r="AT530" s="1"/>
      <c r="AU530" s="1"/>
      <c r="AV530" s="1"/>
      <c r="AW530" s="1"/>
      <c r="AX530" s="1" t="s">
        <v>6917</v>
      </c>
      <c r="AY530" s="1" t="s">
        <v>9995</v>
      </c>
      <c r="AZ530" s="1" t="s">
        <v>383</v>
      </c>
      <c r="BA530" s="1" t="s">
        <v>436</v>
      </c>
      <c r="BB530" s="1">
        <v>89.77</v>
      </c>
      <c r="BC530" s="1">
        <v>9.83</v>
      </c>
      <c r="BD530" s="1"/>
      <c r="BE530" s="1"/>
      <c r="BF530" s="1"/>
      <c r="BG530" s="1"/>
      <c r="BH530" s="1"/>
      <c r="BI530" s="1"/>
      <c r="BJ530" s="1" t="s">
        <v>9996</v>
      </c>
      <c r="BK530" s="1" t="s">
        <v>9997</v>
      </c>
      <c r="BL530" s="1" t="s">
        <v>2910</v>
      </c>
      <c r="BM530" s="1" t="s">
        <v>9998</v>
      </c>
      <c r="BN530" s="1">
        <v>10</v>
      </c>
      <c r="BO530" s="1" t="s">
        <v>9999</v>
      </c>
      <c r="BP530" s="1" t="str">
        <f>HYPERLINK("https://nconnect.nicmar.ac.in/storage/profile/ProfilePhoto_P25700487_319528.jpg","Download")</f>
        <v>0</v>
      </c>
      <c r="BQ530" s="3"/>
      <c r="BR530" s="3"/>
    </row>
    <row r="531" spans="1:70">
      <c r="A531" s="1" t="s">
        <v>70</v>
      </c>
      <c r="B531" s="1" t="s">
        <v>1269</v>
      </c>
      <c r="C531" s="1" t="s">
        <v>10000</v>
      </c>
      <c r="D531" s="1" t="s">
        <v>10001</v>
      </c>
      <c r="E531" s="1" t="s">
        <v>111</v>
      </c>
      <c r="F531" s="1" t="s">
        <v>10002</v>
      </c>
      <c r="G531" s="1" t="s">
        <v>10003</v>
      </c>
      <c r="H531" s="1" t="s">
        <v>10004</v>
      </c>
      <c r="I531" s="1" t="s">
        <v>10005</v>
      </c>
      <c r="J531" s="1">
        <v>8884749505</v>
      </c>
      <c r="K531" s="1" t="s">
        <v>79</v>
      </c>
      <c r="L531" s="1" t="s">
        <v>10006</v>
      </c>
      <c r="M531" s="1" t="s">
        <v>81</v>
      </c>
      <c r="N531" s="1" t="s">
        <v>5170</v>
      </c>
      <c r="O531" s="1"/>
      <c r="P531" s="1" t="s">
        <v>1298</v>
      </c>
      <c r="Q531" s="1" t="s">
        <v>10007</v>
      </c>
      <c r="R531" s="1" t="s">
        <v>10008</v>
      </c>
      <c r="S531" s="1">
        <v>9480295749</v>
      </c>
      <c r="T531" s="1" t="s">
        <v>122</v>
      </c>
      <c r="U531" s="1" t="s">
        <v>10009</v>
      </c>
      <c r="V531" s="1">
        <v>9483118399</v>
      </c>
      <c r="W531" s="1" t="s">
        <v>122</v>
      </c>
      <c r="X531" s="1" t="s">
        <v>10010</v>
      </c>
      <c r="Y531" s="1" t="s">
        <v>3818</v>
      </c>
      <c r="Z531" s="1" t="s">
        <v>1084</v>
      </c>
      <c r="AA531" s="1" t="s">
        <v>10010</v>
      </c>
      <c r="AB531" s="1" t="s">
        <v>3818</v>
      </c>
      <c r="AC531" s="1" t="s">
        <v>1084</v>
      </c>
      <c r="AD531" s="1">
        <v>8.64</v>
      </c>
      <c r="AE531" s="1" t="s">
        <v>93</v>
      </c>
      <c r="AF531" s="1" t="s">
        <v>10011</v>
      </c>
      <c r="AG531" s="1" t="s">
        <v>10012</v>
      </c>
      <c r="AH531" s="1" t="s">
        <v>96</v>
      </c>
      <c r="AI531" s="1" t="s">
        <v>503</v>
      </c>
      <c r="AJ531" s="1">
        <v>89.44</v>
      </c>
      <c r="AK531" s="1"/>
      <c r="AL531" s="1" t="s">
        <v>10013</v>
      </c>
      <c r="AM531" s="1" t="s">
        <v>10014</v>
      </c>
      <c r="AN531" s="1" t="s">
        <v>527</v>
      </c>
      <c r="AO531" s="1" t="s">
        <v>195</v>
      </c>
      <c r="AP531" s="1">
        <v>76.5</v>
      </c>
      <c r="AQ531" s="1"/>
      <c r="AR531" s="1"/>
      <c r="AS531" s="1"/>
      <c r="AT531" s="1"/>
      <c r="AU531" s="1"/>
      <c r="AV531" s="1"/>
      <c r="AW531" s="1"/>
      <c r="AX531" s="1" t="s">
        <v>1088</v>
      </c>
      <c r="AY531" s="1" t="s">
        <v>10015</v>
      </c>
      <c r="AZ531" s="1" t="s">
        <v>6255</v>
      </c>
      <c r="BA531" s="1" t="s">
        <v>436</v>
      </c>
      <c r="BB531" s="1">
        <v>63.4</v>
      </c>
      <c r="BC531" s="1">
        <v>7.09</v>
      </c>
      <c r="BD531" s="1"/>
      <c r="BE531" s="1"/>
      <c r="BF531" s="1"/>
      <c r="BG531" s="1"/>
      <c r="BH531" s="1"/>
      <c r="BI531" s="1"/>
      <c r="BJ531" s="1" t="s">
        <v>10016</v>
      </c>
      <c r="BK531" s="1" t="s">
        <v>10017</v>
      </c>
      <c r="BL531" s="1" t="s">
        <v>619</v>
      </c>
      <c r="BM531" s="1" t="s">
        <v>10018</v>
      </c>
      <c r="BN531" s="1">
        <v>13</v>
      </c>
      <c r="BO531" s="1" t="s">
        <v>10019</v>
      </c>
      <c r="BP531" s="1" t="str">
        <f>HYPERLINK("https://nconnect.nicmar.ac.in/storage/profile/ProfilePhoto_P25700488_586793.jpg","Download")</f>
        <v>0</v>
      </c>
      <c r="BQ531" s="3"/>
      <c r="BR531" s="3"/>
    </row>
    <row r="532" spans="1:70">
      <c r="A532" s="1" t="s">
        <v>70</v>
      </c>
      <c r="B532" s="1" t="s">
        <v>1269</v>
      </c>
      <c r="C532" s="1" t="s">
        <v>10020</v>
      </c>
      <c r="D532" s="1" t="s">
        <v>8471</v>
      </c>
      <c r="E532" s="1" t="s">
        <v>1640</v>
      </c>
      <c r="F532" s="1" t="s">
        <v>10021</v>
      </c>
      <c r="G532" s="1" t="s">
        <v>10022</v>
      </c>
      <c r="H532" s="1" t="s">
        <v>10023</v>
      </c>
      <c r="I532" s="1" t="s">
        <v>10024</v>
      </c>
      <c r="J532" s="1">
        <v>8080830336</v>
      </c>
      <c r="K532" s="1" t="s">
        <v>79</v>
      </c>
      <c r="L532" s="1" t="s">
        <v>10025</v>
      </c>
      <c r="M532" s="1" t="s">
        <v>81</v>
      </c>
      <c r="N532" s="1" t="s">
        <v>1418</v>
      </c>
      <c r="O532" s="1"/>
      <c r="P532" s="1" t="s">
        <v>1766</v>
      </c>
      <c r="Q532" s="1" t="s">
        <v>10026</v>
      </c>
      <c r="R532" s="1" t="s">
        <v>1640</v>
      </c>
      <c r="S532" s="1">
        <v>9511671711</v>
      </c>
      <c r="T532" s="1" t="s">
        <v>763</v>
      </c>
      <c r="U532" s="1" t="s">
        <v>10027</v>
      </c>
      <c r="V532" s="1">
        <v>8999342823</v>
      </c>
      <c r="W532" s="1" t="s">
        <v>496</v>
      </c>
      <c r="X532" s="1" t="s">
        <v>10028</v>
      </c>
      <c r="Y532" s="1" t="s">
        <v>1886</v>
      </c>
      <c r="Z532" s="1" t="s">
        <v>92</v>
      </c>
      <c r="AA532" s="1" t="s">
        <v>10028</v>
      </c>
      <c r="AB532" s="1" t="s">
        <v>1886</v>
      </c>
      <c r="AC532" s="1" t="s">
        <v>92</v>
      </c>
      <c r="AD532" s="1">
        <v>8.18</v>
      </c>
      <c r="AE532" s="1" t="s">
        <v>93</v>
      </c>
      <c r="AF532" s="1" t="s">
        <v>6815</v>
      </c>
      <c r="AG532" s="1" t="s">
        <v>894</v>
      </c>
      <c r="AH532" s="1" t="s">
        <v>101</v>
      </c>
      <c r="AI532" s="1" t="s">
        <v>308</v>
      </c>
      <c r="AJ532" s="1">
        <v>78.8</v>
      </c>
      <c r="AK532" s="1">
        <v>0</v>
      </c>
      <c r="AL532" s="1" t="s">
        <v>10029</v>
      </c>
      <c r="AM532" s="1" t="s">
        <v>160</v>
      </c>
      <c r="AN532" s="1" t="s">
        <v>699</v>
      </c>
      <c r="AO532" s="1" t="s">
        <v>436</v>
      </c>
      <c r="AP532" s="1">
        <v>88.83</v>
      </c>
      <c r="AQ532" s="1">
        <v>0</v>
      </c>
      <c r="AR532" s="1"/>
      <c r="AS532" s="1"/>
      <c r="AT532" s="1"/>
      <c r="AU532" s="1"/>
      <c r="AV532" s="1"/>
      <c r="AW532" s="1"/>
      <c r="AX532" s="1" t="s">
        <v>1891</v>
      </c>
      <c r="AY532" s="1" t="s">
        <v>10030</v>
      </c>
      <c r="AZ532" s="1" t="s">
        <v>897</v>
      </c>
      <c r="BA532" s="1" t="s">
        <v>1714</v>
      </c>
      <c r="BB532" s="1">
        <v>69.7</v>
      </c>
      <c r="BC532" s="1">
        <v>7.72</v>
      </c>
      <c r="BD532" s="1"/>
      <c r="BE532" s="1"/>
      <c r="BF532" s="1"/>
      <c r="BG532" s="1"/>
      <c r="BH532" s="1"/>
      <c r="BI532" s="1"/>
      <c r="BJ532" s="1" t="s">
        <v>10031</v>
      </c>
      <c r="BK532" s="1"/>
      <c r="BL532" s="1"/>
      <c r="BM532" s="1" t="s">
        <v>10032</v>
      </c>
      <c r="BN532" s="1">
        <v>23</v>
      </c>
      <c r="BO532" s="1" t="s">
        <v>10033</v>
      </c>
      <c r="BP532" s="1" t="str">
        <f>HYPERLINK("https://nconnect.nicmar.ac.in/storage/profile/ProfilePhoto_P25700489_381496.jpg","Download")</f>
        <v>0</v>
      </c>
      <c r="BQ532" s="3"/>
      <c r="BR532" s="3"/>
    </row>
    <row r="533" spans="1:70">
      <c r="A533" s="1" t="s">
        <v>70</v>
      </c>
      <c r="B533" s="1" t="s">
        <v>1269</v>
      </c>
      <c r="C533" s="1" t="s">
        <v>10034</v>
      </c>
      <c r="D533" s="1" t="s">
        <v>10035</v>
      </c>
      <c r="E533" s="1" t="s">
        <v>10036</v>
      </c>
      <c r="F533" s="1" t="s">
        <v>10037</v>
      </c>
      <c r="G533" s="1" t="s">
        <v>10038</v>
      </c>
      <c r="H533" s="1" t="s">
        <v>10039</v>
      </c>
      <c r="I533" s="1" t="s">
        <v>10040</v>
      </c>
      <c r="J533" s="1">
        <v>7875865501</v>
      </c>
      <c r="K533" s="1" t="s">
        <v>79</v>
      </c>
      <c r="L533" s="1" t="s">
        <v>10041</v>
      </c>
      <c r="M533" s="1" t="s">
        <v>81</v>
      </c>
      <c r="N533" s="1" t="s">
        <v>1418</v>
      </c>
      <c r="O533" s="1"/>
      <c r="P533" s="1"/>
      <c r="Q533" s="1" t="s">
        <v>10042</v>
      </c>
      <c r="R533" s="1" t="s">
        <v>10043</v>
      </c>
      <c r="S533" s="1">
        <v>9860358887</v>
      </c>
      <c r="T533" s="1" t="s">
        <v>496</v>
      </c>
      <c r="U533" s="1" t="s">
        <v>10044</v>
      </c>
      <c r="V533" s="1">
        <v>7218170260</v>
      </c>
      <c r="W533" s="1" t="s">
        <v>156</v>
      </c>
      <c r="X533" s="1" t="s">
        <v>10045</v>
      </c>
      <c r="Y533" s="1" t="s">
        <v>5819</v>
      </c>
      <c r="Z533" s="1" t="s">
        <v>92</v>
      </c>
      <c r="AA533" s="1" t="s">
        <v>10045</v>
      </c>
      <c r="AB533" s="1" t="s">
        <v>5819</v>
      </c>
      <c r="AC533" s="1" t="s">
        <v>92</v>
      </c>
      <c r="AD533" s="1">
        <v>8.98</v>
      </c>
      <c r="AE533" s="1" t="s">
        <v>93</v>
      </c>
      <c r="AF533" s="1" t="s">
        <v>10046</v>
      </c>
      <c r="AG533" s="1" t="s">
        <v>10047</v>
      </c>
      <c r="AH533" s="1" t="s">
        <v>733</v>
      </c>
      <c r="AI533" s="1" t="s">
        <v>678</v>
      </c>
      <c r="AJ533" s="1">
        <v>87.8</v>
      </c>
      <c r="AK533" s="1">
        <v>9.4</v>
      </c>
      <c r="AL533" s="1" t="s">
        <v>10048</v>
      </c>
      <c r="AM533" s="1" t="s">
        <v>160</v>
      </c>
      <c r="AN533" s="1" t="s">
        <v>169</v>
      </c>
      <c r="AO533" s="1" t="s">
        <v>1065</v>
      </c>
      <c r="AP533" s="1">
        <v>72.77</v>
      </c>
      <c r="AQ533" s="1"/>
      <c r="AR533" s="1"/>
      <c r="AS533" s="1"/>
      <c r="AT533" s="1"/>
      <c r="AU533" s="1"/>
      <c r="AV533" s="1"/>
      <c r="AW533" s="1"/>
      <c r="AX533" s="1" t="s">
        <v>410</v>
      </c>
      <c r="AY533" s="1" t="s">
        <v>10049</v>
      </c>
      <c r="AZ533" s="1" t="s">
        <v>201</v>
      </c>
      <c r="BA533" s="1" t="s">
        <v>229</v>
      </c>
      <c r="BB533" s="1">
        <v>88.9</v>
      </c>
      <c r="BC533" s="1">
        <v>8.89</v>
      </c>
      <c r="BD533" s="1"/>
      <c r="BE533" s="1"/>
      <c r="BF533" s="1"/>
      <c r="BG533" s="1"/>
      <c r="BH533" s="1"/>
      <c r="BI533" s="1"/>
      <c r="BJ533" s="1" t="s">
        <v>10050</v>
      </c>
      <c r="BK533" s="1" t="s">
        <v>10051</v>
      </c>
      <c r="BL533" s="1" t="s">
        <v>4917</v>
      </c>
      <c r="BM533" s="1" t="s">
        <v>10052</v>
      </c>
      <c r="BN533" s="1">
        <v>39</v>
      </c>
      <c r="BO533" s="1" t="s">
        <v>10053</v>
      </c>
      <c r="BP533" s="1" t="str">
        <f>HYPERLINK("https://nconnect.nicmar.ac.in/storage/profile/ProfilePhoto_P25700490_978215.jpg","Download")</f>
        <v>0</v>
      </c>
      <c r="BQ533" s="3"/>
      <c r="BR533" s="3"/>
    </row>
    <row r="534" spans="1:70">
      <c r="A534" s="1" t="s">
        <v>70</v>
      </c>
      <c r="B534" s="1" t="s">
        <v>1269</v>
      </c>
      <c r="C534" s="1" t="s">
        <v>10054</v>
      </c>
      <c r="D534" s="1" t="s">
        <v>3297</v>
      </c>
      <c r="E534" s="1" t="s">
        <v>10055</v>
      </c>
      <c r="F534" s="1" t="s">
        <v>7847</v>
      </c>
      <c r="G534" s="1" t="s">
        <v>10056</v>
      </c>
      <c r="H534" s="1" t="s">
        <v>10057</v>
      </c>
      <c r="I534" s="1" t="s">
        <v>10058</v>
      </c>
      <c r="J534" s="1">
        <v>8623836346</v>
      </c>
      <c r="K534" s="1" t="s">
        <v>79</v>
      </c>
      <c r="L534" s="1" t="s">
        <v>3111</v>
      </c>
      <c r="M534" s="1" t="s">
        <v>81</v>
      </c>
      <c r="N534" s="1" t="s">
        <v>860</v>
      </c>
      <c r="O534" s="1"/>
      <c r="P534" s="1" t="s">
        <v>1323</v>
      </c>
      <c r="Q534" s="1" t="s">
        <v>10059</v>
      </c>
      <c r="R534" s="1" t="s">
        <v>10060</v>
      </c>
      <c r="S534" s="1">
        <v>9850056147</v>
      </c>
      <c r="T534" s="1" t="s">
        <v>10061</v>
      </c>
      <c r="U534" s="1" t="s">
        <v>10062</v>
      </c>
      <c r="V534" s="1">
        <v>7972878952</v>
      </c>
      <c r="W534" s="1" t="s">
        <v>10063</v>
      </c>
      <c r="X534" s="1" t="s">
        <v>10064</v>
      </c>
      <c r="Y534" s="1" t="s">
        <v>191</v>
      </c>
      <c r="Z534" s="1" t="s">
        <v>92</v>
      </c>
      <c r="AA534" s="1" t="s">
        <v>10065</v>
      </c>
      <c r="AB534" s="1" t="s">
        <v>5915</v>
      </c>
      <c r="AC534" s="1" t="s">
        <v>92</v>
      </c>
      <c r="AD534" s="1">
        <v>8.9</v>
      </c>
      <c r="AE534" s="1" t="s">
        <v>93</v>
      </c>
      <c r="AF534" s="1" t="s">
        <v>10066</v>
      </c>
      <c r="AG534" s="1" t="s">
        <v>160</v>
      </c>
      <c r="AH534" s="1" t="s">
        <v>527</v>
      </c>
      <c r="AI534" s="1" t="s">
        <v>479</v>
      </c>
      <c r="AJ534" s="1">
        <v>96.4</v>
      </c>
      <c r="AK534" s="1">
        <v>0</v>
      </c>
      <c r="AL534" s="1"/>
      <c r="AM534" s="1"/>
      <c r="AN534" s="1"/>
      <c r="AO534" s="1"/>
      <c r="AP534" s="1"/>
      <c r="AQ534" s="1"/>
      <c r="AR534" s="1" t="s">
        <v>98</v>
      </c>
      <c r="AS534" s="1" t="s">
        <v>10067</v>
      </c>
      <c r="AT534" s="1" t="s">
        <v>165</v>
      </c>
      <c r="AU534" s="1" t="s">
        <v>170</v>
      </c>
      <c r="AV534" s="1">
        <v>84.68</v>
      </c>
      <c r="AW534" s="1">
        <v>0</v>
      </c>
      <c r="AX534" s="1" t="s">
        <v>10068</v>
      </c>
      <c r="AY534" s="1" t="s">
        <v>10069</v>
      </c>
      <c r="AZ534" s="1" t="s">
        <v>920</v>
      </c>
      <c r="BA534" s="1" t="s">
        <v>229</v>
      </c>
      <c r="BB534" s="1">
        <v>83.9</v>
      </c>
      <c r="BC534" s="1">
        <v>9.14</v>
      </c>
      <c r="BD534" s="1"/>
      <c r="BE534" s="1"/>
      <c r="BF534" s="1"/>
      <c r="BG534" s="1"/>
      <c r="BH534" s="1"/>
      <c r="BI534" s="1"/>
      <c r="BJ534" s="1" t="s">
        <v>10070</v>
      </c>
      <c r="BK534" s="1"/>
      <c r="BL534" s="1"/>
      <c r="BM534" s="1" t="s">
        <v>10071</v>
      </c>
      <c r="BN534" s="1">
        <v>30</v>
      </c>
      <c r="BO534" s="1" t="s">
        <v>10072</v>
      </c>
      <c r="BP534" s="1" t="str">
        <f>HYPERLINK("https://nconnect.nicmar.ac.in/storage/profile/ProfilePhoto_P25700491_473681.jpg","Download")</f>
        <v>0</v>
      </c>
      <c r="BQ534" s="3"/>
      <c r="BR534" s="3"/>
    </row>
    <row r="535" spans="1:70">
      <c r="A535" s="1" t="s">
        <v>70</v>
      </c>
      <c r="B535" s="1" t="s">
        <v>1269</v>
      </c>
      <c r="C535" s="1" t="s">
        <v>10073</v>
      </c>
      <c r="D535" s="1" t="s">
        <v>10074</v>
      </c>
      <c r="E535" s="1" t="s">
        <v>1874</v>
      </c>
      <c r="F535" s="1" t="s">
        <v>10075</v>
      </c>
      <c r="G535" s="1" t="s">
        <v>10076</v>
      </c>
      <c r="H535" s="1" t="s">
        <v>10077</v>
      </c>
      <c r="I535" s="1" t="s">
        <v>10078</v>
      </c>
      <c r="J535" s="1">
        <v>9284329038</v>
      </c>
      <c r="K535" s="1" t="s">
        <v>79</v>
      </c>
      <c r="L535" s="1" t="s">
        <v>10079</v>
      </c>
      <c r="M535" s="1" t="s">
        <v>81</v>
      </c>
      <c r="N535" s="1" t="s">
        <v>1418</v>
      </c>
      <c r="O535" s="1"/>
      <c r="P535" s="1" t="s">
        <v>1278</v>
      </c>
      <c r="Q535" s="1" t="s">
        <v>10080</v>
      </c>
      <c r="R535" s="1" t="s">
        <v>1874</v>
      </c>
      <c r="S535" s="1">
        <v>9823243636</v>
      </c>
      <c r="T535" s="1" t="s">
        <v>10081</v>
      </c>
      <c r="U535" s="1" t="s">
        <v>10082</v>
      </c>
      <c r="V535" s="1">
        <v>9823244536</v>
      </c>
      <c r="W535" s="1" t="s">
        <v>273</v>
      </c>
      <c r="X535" s="1" t="s">
        <v>10083</v>
      </c>
      <c r="Y535" s="1" t="s">
        <v>5064</v>
      </c>
      <c r="Z535" s="1" t="s">
        <v>92</v>
      </c>
      <c r="AA535" s="1" t="s">
        <v>10083</v>
      </c>
      <c r="AB535" s="1" t="s">
        <v>5064</v>
      </c>
      <c r="AC535" s="1" t="s">
        <v>92</v>
      </c>
      <c r="AD535" s="1">
        <v>8.66</v>
      </c>
      <c r="AE535" s="1" t="s">
        <v>93</v>
      </c>
      <c r="AF535" s="1" t="s">
        <v>10084</v>
      </c>
      <c r="AG535" s="1" t="s">
        <v>307</v>
      </c>
      <c r="AH535" s="1" t="s">
        <v>3912</v>
      </c>
      <c r="AI535" s="1" t="s">
        <v>409</v>
      </c>
      <c r="AJ535" s="1">
        <v>84.8</v>
      </c>
      <c r="AK535" s="1">
        <v>0</v>
      </c>
      <c r="AL535" s="1" t="s">
        <v>10085</v>
      </c>
      <c r="AM535" s="1" t="s">
        <v>5856</v>
      </c>
      <c r="AN535" s="1" t="s">
        <v>201</v>
      </c>
      <c r="AO535" s="1" t="s">
        <v>436</v>
      </c>
      <c r="AP535" s="1">
        <v>87.17</v>
      </c>
      <c r="AQ535" s="1">
        <v>0</v>
      </c>
      <c r="AR535" s="1"/>
      <c r="AS535" s="1"/>
      <c r="AT535" s="1"/>
      <c r="AU535" s="1"/>
      <c r="AV535" s="1"/>
      <c r="AW535" s="1"/>
      <c r="AX535" s="1" t="s">
        <v>1024</v>
      </c>
      <c r="AY535" s="1" t="s">
        <v>10086</v>
      </c>
      <c r="AZ535" s="1" t="s">
        <v>897</v>
      </c>
      <c r="BA535" s="1" t="s">
        <v>1361</v>
      </c>
      <c r="BB535" s="1">
        <v>74.45</v>
      </c>
      <c r="BC535" s="1">
        <v>8.44</v>
      </c>
      <c r="BD535" s="1"/>
      <c r="BE535" s="1"/>
      <c r="BF535" s="1"/>
      <c r="BG535" s="1"/>
      <c r="BH535" s="1"/>
      <c r="BI535" s="1"/>
      <c r="BJ535" s="1" t="s">
        <v>10087</v>
      </c>
      <c r="BK535" s="1"/>
      <c r="BL535" s="1"/>
      <c r="BM535" s="1" t="s">
        <v>10088</v>
      </c>
      <c r="BN535" s="1">
        <v>4</v>
      </c>
      <c r="BO535" s="1" t="s">
        <v>10089</v>
      </c>
      <c r="BP535" s="1" t="str">
        <f>HYPERLINK("https://nconnect.nicmar.ac.in/storage/profile/ProfilePhoto_P25700492_715349.jpg","Download")</f>
        <v>0</v>
      </c>
      <c r="BQ535" s="3"/>
      <c r="BR535" s="3"/>
    </row>
    <row r="536" spans="1:70">
      <c r="A536" s="1" t="s">
        <v>70</v>
      </c>
      <c r="B536" s="1" t="s">
        <v>1269</v>
      </c>
      <c r="C536" s="1" t="s">
        <v>10090</v>
      </c>
      <c r="D536" s="1" t="s">
        <v>4328</v>
      </c>
      <c r="E536" s="1"/>
      <c r="F536" s="1" t="s">
        <v>10036</v>
      </c>
      <c r="G536" s="1" t="s">
        <v>10091</v>
      </c>
      <c r="H536" s="1" t="s">
        <v>10092</v>
      </c>
      <c r="I536" s="1" t="s">
        <v>10093</v>
      </c>
      <c r="J536" s="1">
        <v>9496757593</v>
      </c>
      <c r="K536" s="1" t="s">
        <v>79</v>
      </c>
      <c r="L536" s="1" t="s">
        <v>10094</v>
      </c>
      <c r="M536" s="1" t="s">
        <v>81</v>
      </c>
      <c r="N536" s="1" t="s">
        <v>10095</v>
      </c>
      <c r="O536" s="1"/>
      <c r="P536" s="1" t="s">
        <v>2505</v>
      </c>
      <c r="Q536" s="1" t="s">
        <v>10096</v>
      </c>
      <c r="R536" s="1" t="s">
        <v>10097</v>
      </c>
      <c r="S536" s="1">
        <v>9496731968</v>
      </c>
      <c r="T536" s="1" t="s">
        <v>10098</v>
      </c>
      <c r="U536" s="1" t="s">
        <v>10099</v>
      </c>
      <c r="V536" s="1">
        <v>9656731968</v>
      </c>
      <c r="W536" s="1" t="s">
        <v>156</v>
      </c>
      <c r="X536" s="1" t="s">
        <v>10100</v>
      </c>
      <c r="Y536" s="1" t="s">
        <v>3323</v>
      </c>
      <c r="Z536" s="1" t="s">
        <v>125</v>
      </c>
      <c r="AA536" s="1" t="s">
        <v>10100</v>
      </c>
      <c r="AB536" s="1" t="s">
        <v>3323</v>
      </c>
      <c r="AC536" s="1" t="s">
        <v>125</v>
      </c>
      <c r="AD536" s="1">
        <v>8.74</v>
      </c>
      <c r="AE536" s="1" t="s">
        <v>93</v>
      </c>
      <c r="AF536" s="1" t="s">
        <v>10101</v>
      </c>
      <c r="AG536" s="1" t="s">
        <v>10102</v>
      </c>
      <c r="AH536" s="1" t="s">
        <v>131</v>
      </c>
      <c r="AI536" s="1" t="s">
        <v>527</v>
      </c>
      <c r="AJ536" s="1">
        <v>95</v>
      </c>
      <c r="AK536" s="1">
        <v>10</v>
      </c>
      <c r="AL536" s="1" t="s">
        <v>10101</v>
      </c>
      <c r="AM536" s="1" t="s">
        <v>10102</v>
      </c>
      <c r="AN536" s="1" t="s">
        <v>479</v>
      </c>
      <c r="AO536" s="1" t="s">
        <v>166</v>
      </c>
      <c r="AP536" s="1">
        <v>79.8</v>
      </c>
      <c r="AQ536" s="1">
        <v>8.4</v>
      </c>
      <c r="AR536" s="1"/>
      <c r="AS536" s="1"/>
      <c r="AT536" s="1"/>
      <c r="AU536" s="1"/>
      <c r="AV536" s="1"/>
      <c r="AW536" s="1"/>
      <c r="AX536" s="1" t="s">
        <v>10103</v>
      </c>
      <c r="AY536" s="1" t="s">
        <v>10103</v>
      </c>
      <c r="AZ536" s="1" t="s">
        <v>169</v>
      </c>
      <c r="BA536" s="1" t="s">
        <v>1003</v>
      </c>
      <c r="BB536" s="1">
        <v>75.8</v>
      </c>
      <c r="BC536" s="1">
        <v>7.58</v>
      </c>
      <c r="BD536" s="1"/>
      <c r="BE536" s="1"/>
      <c r="BF536" s="1"/>
      <c r="BG536" s="1"/>
      <c r="BH536" s="1"/>
      <c r="BI536" s="1"/>
      <c r="BJ536" s="1" t="s">
        <v>10104</v>
      </c>
      <c r="BK536" s="1" t="s">
        <v>10105</v>
      </c>
      <c r="BL536" s="1" t="s">
        <v>9488</v>
      </c>
      <c r="BM536" s="1" t="s">
        <v>10106</v>
      </c>
      <c r="BN536" s="1">
        <v>12</v>
      </c>
      <c r="BO536" s="1" t="s">
        <v>10107</v>
      </c>
      <c r="BP536" s="1" t="str">
        <f>HYPERLINK("https://nconnect.nicmar.ac.in/storage/profile/ProfilePhoto_P25700493_683249.jpg","Download")</f>
        <v>0</v>
      </c>
      <c r="BQ536" s="3"/>
      <c r="BR536" s="3"/>
    </row>
    <row r="537" spans="1:70">
      <c r="A537" s="1" t="s">
        <v>70</v>
      </c>
      <c r="B537" s="1" t="s">
        <v>1269</v>
      </c>
      <c r="C537" s="1" t="s">
        <v>10108</v>
      </c>
      <c r="D537" s="1" t="s">
        <v>10109</v>
      </c>
      <c r="E537" s="1"/>
      <c r="F537" s="1" t="s">
        <v>4684</v>
      </c>
      <c r="G537" s="1" t="s">
        <v>10110</v>
      </c>
      <c r="H537" s="1" t="s">
        <v>10111</v>
      </c>
      <c r="I537" s="1" t="s">
        <v>10112</v>
      </c>
      <c r="J537" s="1">
        <v>9496041855</v>
      </c>
      <c r="K537" s="1" t="s">
        <v>79</v>
      </c>
      <c r="L537" s="1" t="s">
        <v>10113</v>
      </c>
      <c r="M537" s="1" t="s">
        <v>81</v>
      </c>
      <c r="N537" s="1" t="s">
        <v>10114</v>
      </c>
      <c r="O537" s="1"/>
      <c r="P537" s="1" t="s">
        <v>1278</v>
      </c>
      <c r="Q537" s="1" t="s">
        <v>10115</v>
      </c>
      <c r="R537" s="1" t="s">
        <v>10116</v>
      </c>
      <c r="S537" s="1">
        <v>9446015855</v>
      </c>
      <c r="T537" s="1" t="s">
        <v>120</v>
      </c>
      <c r="U537" s="1" t="s">
        <v>10117</v>
      </c>
      <c r="V537" s="1">
        <v>8547679555</v>
      </c>
      <c r="W537" s="1" t="s">
        <v>120</v>
      </c>
      <c r="X537" s="1" t="s">
        <v>10118</v>
      </c>
      <c r="Y537" s="1" t="s">
        <v>2139</v>
      </c>
      <c r="Z537" s="1" t="s">
        <v>125</v>
      </c>
      <c r="AA537" s="1" t="s">
        <v>10118</v>
      </c>
      <c r="AB537" s="1" t="s">
        <v>2139</v>
      </c>
      <c r="AC537" s="1" t="s">
        <v>125</v>
      </c>
      <c r="AD537" s="1">
        <v>8.74</v>
      </c>
      <c r="AE537" s="1" t="s">
        <v>93</v>
      </c>
      <c r="AF537" s="1" t="s">
        <v>10119</v>
      </c>
      <c r="AG537" s="1" t="s">
        <v>10120</v>
      </c>
      <c r="AH537" s="1" t="s">
        <v>998</v>
      </c>
      <c r="AI537" s="1" t="s">
        <v>96</v>
      </c>
      <c r="AJ537" s="1">
        <v>89.3</v>
      </c>
      <c r="AK537" s="1">
        <v>9.4</v>
      </c>
      <c r="AL537" s="1" t="s">
        <v>10119</v>
      </c>
      <c r="AM537" s="1" t="s">
        <v>10120</v>
      </c>
      <c r="AN537" s="1" t="s">
        <v>161</v>
      </c>
      <c r="AO537" s="1" t="s">
        <v>162</v>
      </c>
      <c r="AP537" s="1">
        <v>81</v>
      </c>
      <c r="AQ537" s="1"/>
      <c r="AR537" s="1"/>
      <c r="AS537" s="1"/>
      <c r="AT537" s="1"/>
      <c r="AU537" s="1"/>
      <c r="AV537" s="1"/>
      <c r="AW537" s="1"/>
      <c r="AX537" s="1" t="s">
        <v>132</v>
      </c>
      <c r="AY537" s="1" t="s">
        <v>10121</v>
      </c>
      <c r="AZ537" s="1" t="s">
        <v>134</v>
      </c>
      <c r="BA537" s="1" t="s">
        <v>2461</v>
      </c>
      <c r="BB537" s="1">
        <v>64.15</v>
      </c>
      <c r="BC537" s="1">
        <v>6.79</v>
      </c>
      <c r="BD537" s="1"/>
      <c r="BE537" s="1"/>
      <c r="BF537" s="1"/>
      <c r="BG537" s="1"/>
      <c r="BH537" s="1"/>
      <c r="BI537" s="1"/>
      <c r="BJ537" s="1" t="s">
        <v>10122</v>
      </c>
      <c r="BK537" s="1"/>
      <c r="BL537" s="1"/>
      <c r="BM537" s="1" t="s">
        <v>10123</v>
      </c>
      <c r="BN537" s="1">
        <v>18</v>
      </c>
      <c r="BO537" s="1" t="s">
        <v>10124</v>
      </c>
      <c r="BP537" s="1" t="str">
        <f>HYPERLINK("https://nconnect.nicmar.ac.in/storage/profile/ProfilePhoto_P25700494_935762.jpg","Download")</f>
        <v>0</v>
      </c>
      <c r="BQ537" s="3"/>
      <c r="BR537" s="3"/>
    </row>
    <row r="538" spans="1:70">
      <c r="A538" s="1" t="s">
        <v>70</v>
      </c>
      <c r="B538" s="1" t="s">
        <v>1269</v>
      </c>
      <c r="C538" s="1" t="s">
        <v>10125</v>
      </c>
      <c r="D538" s="1" t="s">
        <v>2149</v>
      </c>
      <c r="E538" s="1" t="s">
        <v>2287</v>
      </c>
      <c r="F538" s="1" t="s">
        <v>10126</v>
      </c>
      <c r="G538" s="1" t="s">
        <v>10127</v>
      </c>
      <c r="H538" s="1" t="s">
        <v>10128</v>
      </c>
      <c r="I538" s="1" t="s">
        <v>10129</v>
      </c>
      <c r="J538" s="1">
        <v>9637115783</v>
      </c>
      <c r="K538" s="1" t="s">
        <v>79</v>
      </c>
      <c r="L538" s="1" t="s">
        <v>10130</v>
      </c>
      <c r="M538" s="1" t="s">
        <v>81</v>
      </c>
      <c r="N538" s="1" t="s">
        <v>2293</v>
      </c>
      <c r="O538" s="1"/>
      <c r="P538" s="1" t="s">
        <v>1278</v>
      </c>
      <c r="Q538" s="1" t="s">
        <v>10131</v>
      </c>
      <c r="R538" s="1" t="s">
        <v>10132</v>
      </c>
      <c r="S538" s="1">
        <v>8888766765</v>
      </c>
      <c r="T538" s="1" t="s">
        <v>976</v>
      </c>
      <c r="U538" s="1" t="s">
        <v>10133</v>
      </c>
      <c r="V538" s="1">
        <v>9860406011</v>
      </c>
      <c r="W538" s="1" t="s">
        <v>156</v>
      </c>
      <c r="X538" s="1" t="s">
        <v>10134</v>
      </c>
      <c r="Y538" s="1" t="s">
        <v>191</v>
      </c>
      <c r="Z538" s="1" t="s">
        <v>92</v>
      </c>
      <c r="AA538" s="1" t="s">
        <v>10134</v>
      </c>
      <c r="AB538" s="1" t="s">
        <v>191</v>
      </c>
      <c r="AC538" s="1" t="s">
        <v>92</v>
      </c>
      <c r="AD538" s="1">
        <v>7.46</v>
      </c>
      <c r="AE538" s="1" t="s">
        <v>93</v>
      </c>
      <c r="AF538" s="1" t="s">
        <v>10135</v>
      </c>
      <c r="AG538" s="1" t="s">
        <v>10136</v>
      </c>
      <c r="AH538" s="1" t="s">
        <v>3586</v>
      </c>
      <c r="AI538" s="1" t="s">
        <v>165</v>
      </c>
      <c r="AJ538" s="1">
        <v>80.2</v>
      </c>
      <c r="AK538" s="1">
        <v>8.6</v>
      </c>
      <c r="AL538" s="1"/>
      <c r="AM538" s="1"/>
      <c r="AN538" s="1"/>
      <c r="AO538" s="1"/>
      <c r="AP538" s="1"/>
      <c r="AQ538" s="1"/>
      <c r="AR538" s="1" t="s">
        <v>98</v>
      </c>
      <c r="AS538" s="1" t="s">
        <v>10137</v>
      </c>
      <c r="AT538" s="1" t="s">
        <v>6255</v>
      </c>
      <c r="AU538" s="1" t="s">
        <v>699</v>
      </c>
      <c r="AV538" s="1">
        <v>71.79</v>
      </c>
      <c r="AW538" s="1"/>
      <c r="AX538" s="1" t="s">
        <v>10138</v>
      </c>
      <c r="AY538" s="1" t="s">
        <v>10139</v>
      </c>
      <c r="AZ538" s="1" t="s">
        <v>920</v>
      </c>
      <c r="BA538" s="1" t="s">
        <v>10140</v>
      </c>
      <c r="BB538" s="1">
        <v>72.09</v>
      </c>
      <c r="BC538" s="1">
        <v>8.1</v>
      </c>
      <c r="BD538" s="1"/>
      <c r="BE538" s="1"/>
      <c r="BF538" s="1"/>
      <c r="BG538" s="1"/>
      <c r="BH538" s="1"/>
      <c r="BI538" s="1"/>
      <c r="BJ538" s="1" t="s">
        <v>4102</v>
      </c>
      <c r="BK538" s="1" t="s">
        <v>10141</v>
      </c>
      <c r="BL538" s="1" t="s">
        <v>484</v>
      </c>
      <c r="BM538" s="1"/>
      <c r="BN538" s="1"/>
      <c r="BO538" s="1"/>
      <c r="BP538" s="1" t="str">
        <f>HYPERLINK("https://nconnect.nicmar.ac.in/storage/profile/ProfilePhoto_P25700495_845126.jpg","Download")</f>
        <v>0</v>
      </c>
      <c r="BQ538" s="3"/>
      <c r="BR538" s="3"/>
    </row>
    <row r="539" spans="1:70">
      <c r="A539" s="1" t="s">
        <v>70</v>
      </c>
      <c r="B539" s="1" t="s">
        <v>1269</v>
      </c>
      <c r="C539" s="1" t="s">
        <v>10142</v>
      </c>
      <c r="D539" s="1" t="s">
        <v>10143</v>
      </c>
      <c r="E539" s="1" t="s">
        <v>7215</v>
      </c>
      <c r="F539" s="1" t="s">
        <v>10144</v>
      </c>
      <c r="G539" s="1" t="s">
        <v>10145</v>
      </c>
      <c r="H539" s="1" t="s">
        <v>10146</v>
      </c>
      <c r="I539" s="1" t="s">
        <v>10147</v>
      </c>
      <c r="J539" s="1">
        <v>7558471099</v>
      </c>
      <c r="K539" s="1" t="s">
        <v>79</v>
      </c>
      <c r="L539" s="1" t="s">
        <v>10148</v>
      </c>
      <c r="M539" s="1" t="s">
        <v>81</v>
      </c>
      <c r="N539" s="1" t="s">
        <v>10149</v>
      </c>
      <c r="O539" s="1"/>
      <c r="P539" s="1"/>
      <c r="Q539" s="1" t="s">
        <v>10150</v>
      </c>
      <c r="R539" s="1" t="s">
        <v>7215</v>
      </c>
      <c r="S539" s="1">
        <v>9421418121</v>
      </c>
      <c r="T539" s="1" t="s">
        <v>842</v>
      </c>
      <c r="U539" s="1" t="s">
        <v>10151</v>
      </c>
      <c r="V539" s="1">
        <v>9405107811</v>
      </c>
      <c r="W539" s="1" t="s">
        <v>89</v>
      </c>
      <c r="X539" s="1" t="s">
        <v>10152</v>
      </c>
      <c r="Y539" s="1" t="s">
        <v>191</v>
      </c>
      <c r="Z539" s="1" t="s">
        <v>92</v>
      </c>
      <c r="AA539" s="1" t="s">
        <v>10153</v>
      </c>
      <c r="AB539" s="1" t="s">
        <v>91</v>
      </c>
      <c r="AC539" s="1" t="s">
        <v>92</v>
      </c>
      <c r="AD539" s="1">
        <v>8.49</v>
      </c>
      <c r="AE539" s="1" t="s">
        <v>93</v>
      </c>
      <c r="AF539" s="1" t="s">
        <v>10154</v>
      </c>
      <c r="AG539" s="1" t="s">
        <v>10155</v>
      </c>
      <c r="AH539" s="1" t="s">
        <v>97</v>
      </c>
      <c r="AI539" s="1" t="s">
        <v>456</v>
      </c>
      <c r="AJ539" s="1">
        <v>88.2</v>
      </c>
      <c r="AK539" s="1"/>
      <c r="AL539" s="1" t="s">
        <v>10156</v>
      </c>
      <c r="AM539" s="1" t="s">
        <v>10155</v>
      </c>
      <c r="AN539" s="1" t="s">
        <v>457</v>
      </c>
      <c r="AO539" s="1" t="s">
        <v>198</v>
      </c>
      <c r="AP539" s="1">
        <v>60</v>
      </c>
      <c r="AQ539" s="1"/>
      <c r="AR539" s="1"/>
      <c r="AS539" s="1"/>
      <c r="AT539" s="1"/>
      <c r="AU539" s="1"/>
      <c r="AV539" s="1"/>
      <c r="AW539" s="1"/>
      <c r="AX539" s="1" t="s">
        <v>10157</v>
      </c>
      <c r="AY539" s="1" t="s">
        <v>10158</v>
      </c>
      <c r="AZ539" s="1" t="s">
        <v>201</v>
      </c>
      <c r="BA539" s="1" t="s">
        <v>682</v>
      </c>
      <c r="BB539" s="1">
        <v>72.3</v>
      </c>
      <c r="BC539" s="1">
        <v>7.98</v>
      </c>
      <c r="BD539" s="1"/>
      <c r="BE539" s="1"/>
      <c r="BF539" s="1"/>
      <c r="BG539" s="1"/>
      <c r="BH539" s="1"/>
      <c r="BI539" s="1"/>
      <c r="BJ539" s="1" t="s">
        <v>1715</v>
      </c>
      <c r="BK539" s="1" t="s">
        <v>10159</v>
      </c>
      <c r="BL539" s="1" t="s">
        <v>1629</v>
      </c>
      <c r="BM539" s="1"/>
      <c r="BN539" s="1"/>
      <c r="BO539" s="1" t="s">
        <v>10160</v>
      </c>
      <c r="BP539" s="1" t="str">
        <f>HYPERLINK("https://nconnect.nicmar.ac.in/storage/profile/ProfilePhoto_P25700496_421673.jpg","Download")</f>
        <v>0</v>
      </c>
      <c r="BQ539" s="3"/>
      <c r="BR539" s="3"/>
    </row>
    <row r="540" spans="1:70">
      <c r="A540" s="1" t="s">
        <v>70</v>
      </c>
      <c r="B540" s="1" t="s">
        <v>1269</v>
      </c>
      <c r="C540" s="1" t="s">
        <v>10161</v>
      </c>
      <c r="D540" s="1" t="s">
        <v>343</v>
      </c>
      <c r="E540" s="1"/>
      <c r="F540" s="1" t="s">
        <v>10162</v>
      </c>
      <c r="G540" s="1" t="s">
        <v>10163</v>
      </c>
      <c r="H540" s="1" t="s">
        <v>10164</v>
      </c>
      <c r="I540" s="1" t="s">
        <v>10165</v>
      </c>
      <c r="J540" s="1">
        <v>6303601977</v>
      </c>
      <c r="K540" s="1" t="s">
        <v>79</v>
      </c>
      <c r="L540" s="1" t="s">
        <v>10166</v>
      </c>
      <c r="M540" s="1" t="s">
        <v>81</v>
      </c>
      <c r="N540" s="1" t="s">
        <v>8985</v>
      </c>
      <c r="O540" s="1"/>
      <c r="P540" s="1"/>
      <c r="Q540" s="1" t="s">
        <v>10167</v>
      </c>
      <c r="R540" s="1" t="s">
        <v>10168</v>
      </c>
      <c r="S540" s="1">
        <v>9440414965</v>
      </c>
      <c r="T540" s="1" t="s">
        <v>910</v>
      </c>
      <c r="U540" s="1" t="s">
        <v>10169</v>
      </c>
      <c r="V540" s="1">
        <v>9182069742</v>
      </c>
      <c r="W540" s="1" t="s">
        <v>651</v>
      </c>
      <c r="X540" s="1" t="s">
        <v>10170</v>
      </c>
      <c r="Y540" s="1" t="s">
        <v>1150</v>
      </c>
      <c r="Z540" s="1" t="s">
        <v>276</v>
      </c>
      <c r="AA540" s="1" t="s">
        <v>10170</v>
      </c>
      <c r="AB540" s="1" t="s">
        <v>1150</v>
      </c>
      <c r="AC540" s="1" t="s">
        <v>276</v>
      </c>
      <c r="AD540" s="1">
        <v>8.26</v>
      </c>
      <c r="AE540" s="1" t="s">
        <v>93</v>
      </c>
      <c r="AF540" s="1" t="s">
        <v>10171</v>
      </c>
      <c r="AG540" s="1" t="s">
        <v>10172</v>
      </c>
      <c r="AH540" s="1" t="s">
        <v>166</v>
      </c>
      <c r="AI540" s="1" t="s">
        <v>308</v>
      </c>
      <c r="AJ540" s="1">
        <v>68.4</v>
      </c>
      <c r="AK540" s="1"/>
      <c r="AL540" s="1" t="s">
        <v>10173</v>
      </c>
      <c r="AM540" s="1" t="s">
        <v>10174</v>
      </c>
      <c r="AN540" s="1" t="s">
        <v>433</v>
      </c>
      <c r="AO540" s="1" t="s">
        <v>173</v>
      </c>
      <c r="AP540" s="1">
        <v>88.9</v>
      </c>
      <c r="AQ540" s="1"/>
      <c r="AR540" s="1"/>
      <c r="AS540" s="1"/>
      <c r="AT540" s="1"/>
      <c r="AU540" s="1"/>
      <c r="AV540" s="1"/>
      <c r="AW540" s="1"/>
      <c r="AX540" s="1" t="s">
        <v>10175</v>
      </c>
      <c r="AY540" s="1" t="s">
        <v>10176</v>
      </c>
      <c r="AZ540" s="1" t="s">
        <v>1051</v>
      </c>
      <c r="BA540" s="1" t="s">
        <v>1714</v>
      </c>
      <c r="BB540" s="1">
        <v>63</v>
      </c>
      <c r="BC540" s="1">
        <v>7.05</v>
      </c>
      <c r="BD540" s="1"/>
      <c r="BE540" s="1"/>
      <c r="BF540" s="1"/>
      <c r="BG540" s="1"/>
      <c r="BH540" s="1"/>
      <c r="BI540" s="1"/>
      <c r="BJ540" s="1" t="s">
        <v>6733</v>
      </c>
      <c r="BK540" s="1"/>
      <c r="BL540" s="1"/>
      <c r="BM540" s="1" t="s">
        <v>10177</v>
      </c>
      <c r="BN540" s="1">
        <v>28</v>
      </c>
      <c r="BO540" s="1" t="s">
        <v>10178</v>
      </c>
      <c r="BP540" s="1" t="str">
        <f>HYPERLINK("https://nconnect.nicmar.ac.in/storage/profile/ProfilePhoto_P25700497_461735.jpg","Download")</f>
        <v>0</v>
      </c>
      <c r="BQ540" s="3"/>
      <c r="BR540" s="3"/>
    </row>
    <row r="541" spans="1:70">
      <c r="A541" s="1" t="s">
        <v>70</v>
      </c>
      <c r="B541" s="1" t="s">
        <v>1269</v>
      </c>
      <c r="C541" s="1" t="s">
        <v>10179</v>
      </c>
      <c r="D541" s="1" t="s">
        <v>4143</v>
      </c>
      <c r="E541" s="1"/>
      <c r="F541" s="1" t="s">
        <v>10180</v>
      </c>
      <c r="G541" s="1" t="s">
        <v>10181</v>
      </c>
      <c r="H541" s="1" t="s">
        <v>10182</v>
      </c>
      <c r="I541" s="1" t="s">
        <v>10183</v>
      </c>
      <c r="J541" s="1">
        <v>7008400781</v>
      </c>
      <c r="K541" s="1" t="s">
        <v>79</v>
      </c>
      <c r="L541" s="1" t="s">
        <v>10184</v>
      </c>
      <c r="M541" s="1" t="s">
        <v>81</v>
      </c>
      <c r="N541" s="1" t="s">
        <v>1724</v>
      </c>
      <c r="O541" s="1"/>
      <c r="P541" s="1" t="s">
        <v>1298</v>
      </c>
      <c r="Q541" s="1" t="s">
        <v>10185</v>
      </c>
      <c r="R541" s="1" t="s">
        <v>10186</v>
      </c>
      <c r="S541" s="1">
        <v>9668601082</v>
      </c>
      <c r="T541" s="1" t="s">
        <v>10187</v>
      </c>
      <c r="U541" s="1" t="s">
        <v>10188</v>
      </c>
      <c r="V541" s="1">
        <v>9777995200</v>
      </c>
      <c r="W541" s="1" t="s">
        <v>156</v>
      </c>
      <c r="X541" s="1" t="s">
        <v>10189</v>
      </c>
      <c r="Y541" s="1" t="s">
        <v>10190</v>
      </c>
      <c r="Z541" s="1" t="s">
        <v>1731</v>
      </c>
      <c r="AA541" s="1" t="s">
        <v>10189</v>
      </c>
      <c r="AB541" s="1" t="s">
        <v>10190</v>
      </c>
      <c r="AC541" s="1" t="s">
        <v>1731</v>
      </c>
      <c r="AD541" s="1">
        <v>7.82</v>
      </c>
      <c r="AE541" s="1" t="s">
        <v>93</v>
      </c>
      <c r="AF541" s="1" t="s">
        <v>10191</v>
      </c>
      <c r="AG541" s="1" t="s">
        <v>10192</v>
      </c>
      <c r="AH541" s="1" t="s">
        <v>279</v>
      </c>
      <c r="AI541" s="1" t="s">
        <v>195</v>
      </c>
      <c r="AJ541" s="1">
        <v>95</v>
      </c>
      <c r="AK541" s="1">
        <v>10</v>
      </c>
      <c r="AL541" s="1" t="s">
        <v>10191</v>
      </c>
      <c r="AM541" s="1" t="s">
        <v>10192</v>
      </c>
      <c r="AN541" s="1" t="s">
        <v>166</v>
      </c>
      <c r="AO541" s="1" t="s">
        <v>1065</v>
      </c>
      <c r="AP541" s="1">
        <v>61.2</v>
      </c>
      <c r="AQ541" s="1"/>
      <c r="AR541" s="1"/>
      <c r="AS541" s="1"/>
      <c r="AT541" s="1"/>
      <c r="AU541" s="1"/>
      <c r="AV541" s="1"/>
      <c r="AW541" s="1"/>
      <c r="AX541" s="1" t="s">
        <v>10193</v>
      </c>
      <c r="AY541" s="1" t="s">
        <v>10194</v>
      </c>
      <c r="AZ541" s="1" t="s">
        <v>436</v>
      </c>
      <c r="BA541" s="1" t="s">
        <v>1361</v>
      </c>
      <c r="BB541" s="1">
        <v>66.9</v>
      </c>
      <c r="BC541" s="1">
        <v>7.19</v>
      </c>
      <c r="BD541" s="1"/>
      <c r="BE541" s="1"/>
      <c r="BF541" s="1"/>
      <c r="BG541" s="1"/>
      <c r="BH541" s="1"/>
      <c r="BI541" s="1"/>
      <c r="BJ541" s="1" t="s">
        <v>10195</v>
      </c>
      <c r="BK541" s="1"/>
      <c r="BL541" s="1"/>
      <c r="BM541" s="1" t="s">
        <v>10196</v>
      </c>
      <c r="BN541" s="1">
        <v>17</v>
      </c>
      <c r="BO541" s="1" t="s">
        <v>10197</v>
      </c>
      <c r="BP541" s="1" t="str">
        <f>HYPERLINK("https://nconnect.nicmar.ac.in/storage/profile/ProfilePhoto_P25700498_498652.jpg","Download")</f>
        <v>0</v>
      </c>
      <c r="BQ541" s="3"/>
      <c r="BR541" s="3"/>
    </row>
    <row r="542" spans="1:70">
      <c r="A542" s="1" t="s">
        <v>70</v>
      </c>
      <c r="B542" s="1" t="s">
        <v>1269</v>
      </c>
      <c r="C542" s="1" t="s">
        <v>10198</v>
      </c>
      <c r="D542" s="1" t="s">
        <v>10199</v>
      </c>
      <c r="E542" s="1" t="s">
        <v>596</v>
      </c>
      <c r="F542" s="1" t="s">
        <v>10200</v>
      </c>
      <c r="G542" s="1" t="s">
        <v>10201</v>
      </c>
      <c r="H542" s="1" t="s">
        <v>10202</v>
      </c>
      <c r="I542" s="1" t="s">
        <v>10203</v>
      </c>
      <c r="J542" s="1">
        <v>9699447311</v>
      </c>
      <c r="K542" s="1" t="s">
        <v>79</v>
      </c>
      <c r="L542" s="1" t="s">
        <v>10204</v>
      </c>
      <c r="M542" s="1" t="s">
        <v>150</v>
      </c>
      <c r="N542" s="1" t="s">
        <v>7194</v>
      </c>
      <c r="O542" s="1"/>
      <c r="P542" s="1" t="s">
        <v>1278</v>
      </c>
      <c r="Q542" s="1" t="s">
        <v>10205</v>
      </c>
      <c r="R542" s="1" t="s">
        <v>10206</v>
      </c>
      <c r="S542" s="1">
        <v>9321555715</v>
      </c>
      <c r="T542" s="1" t="s">
        <v>10207</v>
      </c>
      <c r="U542" s="1" t="s">
        <v>10208</v>
      </c>
      <c r="V542" s="1">
        <v>8446346783</v>
      </c>
      <c r="W542" s="1" t="s">
        <v>156</v>
      </c>
      <c r="X542" s="1" t="s">
        <v>10209</v>
      </c>
      <c r="Y542" s="1" t="s">
        <v>5064</v>
      </c>
      <c r="Z542" s="1" t="s">
        <v>92</v>
      </c>
      <c r="AA542" s="1" t="s">
        <v>10209</v>
      </c>
      <c r="AB542" s="1" t="s">
        <v>5064</v>
      </c>
      <c r="AC542" s="1" t="s">
        <v>92</v>
      </c>
      <c r="AD542" s="1">
        <v>7.84</v>
      </c>
      <c r="AE542" s="1" t="s">
        <v>93</v>
      </c>
      <c r="AF542" s="1" t="s">
        <v>10210</v>
      </c>
      <c r="AG542" s="1" t="s">
        <v>10211</v>
      </c>
      <c r="AH542" s="1" t="s">
        <v>128</v>
      </c>
      <c r="AI542" s="1" t="s">
        <v>998</v>
      </c>
      <c r="AJ542" s="1">
        <v>74.91</v>
      </c>
      <c r="AK542" s="1"/>
      <c r="AL542" s="1" t="s">
        <v>10212</v>
      </c>
      <c r="AM542" s="1" t="s">
        <v>10211</v>
      </c>
      <c r="AN542" s="1" t="s">
        <v>96</v>
      </c>
      <c r="AO542" s="1" t="s">
        <v>161</v>
      </c>
      <c r="AP542" s="1">
        <v>53.23</v>
      </c>
      <c r="AQ542" s="1"/>
      <c r="AR542" s="1" t="s">
        <v>98</v>
      </c>
      <c r="AS542" s="1" t="s">
        <v>10211</v>
      </c>
      <c r="AT542" s="1" t="s">
        <v>100</v>
      </c>
      <c r="AU542" s="1" t="s">
        <v>165</v>
      </c>
      <c r="AV542" s="1">
        <v>75</v>
      </c>
      <c r="AW542" s="1"/>
      <c r="AX542" s="1" t="s">
        <v>1024</v>
      </c>
      <c r="AY542" s="1" t="s">
        <v>10211</v>
      </c>
      <c r="AZ542" s="1" t="s">
        <v>225</v>
      </c>
      <c r="BA542" s="1" t="s">
        <v>170</v>
      </c>
      <c r="BB542" s="1">
        <v>67.43</v>
      </c>
      <c r="BC542" s="1">
        <v>7.49</v>
      </c>
      <c r="BD542" s="1"/>
      <c r="BE542" s="1"/>
      <c r="BF542" s="1"/>
      <c r="BG542" s="1"/>
      <c r="BH542" s="1"/>
      <c r="BI542" s="1"/>
      <c r="BJ542" s="1" t="s">
        <v>364</v>
      </c>
      <c r="BK542" s="1" t="s">
        <v>10213</v>
      </c>
      <c r="BL542" s="1" t="s">
        <v>10214</v>
      </c>
      <c r="BM542" s="1" t="s">
        <v>10215</v>
      </c>
      <c r="BN542" s="1">
        <v>9</v>
      </c>
      <c r="BO542" s="1" t="s">
        <v>10216</v>
      </c>
      <c r="BP542" s="1" t="str">
        <f>HYPERLINK("https://nconnect.nicmar.ac.in/storage/profile/ProfilePhoto_P25700499_582613.jpg","Download")</f>
        <v>0</v>
      </c>
      <c r="BQ542" s="3"/>
      <c r="BR542" s="3"/>
    </row>
    <row r="543" spans="1:70">
      <c r="A543" s="1" t="s">
        <v>70</v>
      </c>
      <c r="B543" s="1" t="s">
        <v>1269</v>
      </c>
      <c r="C543" s="1" t="s">
        <v>10217</v>
      </c>
      <c r="D543" s="1" t="s">
        <v>10218</v>
      </c>
      <c r="E543" s="1"/>
      <c r="F543" s="1" t="s">
        <v>10219</v>
      </c>
      <c r="G543" s="1" t="s">
        <v>10220</v>
      </c>
      <c r="H543" s="1" t="s">
        <v>10221</v>
      </c>
      <c r="I543" s="1" t="s">
        <v>10222</v>
      </c>
      <c r="J543" s="1">
        <v>8019699355</v>
      </c>
      <c r="K543" s="1" t="s">
        <v>79</v>
      </c>
      <c r="L543" s="1" t="s">
        <v>10223</v>
      </c>
      <c r="M543" s="1" t="s">
        <v>81</v>
      </c>
      <c r="N543" s="1" t="s">
        <v>8985</v>
      </c>
      <c r="O543" s="1"/>
      <c r="P543" s="1" t="s">
        <v>1298</v>
      </c>
      <c r="Q543" s="1" t="s">
        <v>10224</v>
      </c>
      <c r="R543" s="1" t="s">
        <v>10225</v>
      </c>
      <c r="S543" s="1">
        <v>8008640029</v>
      </c>
      <c r="T543" s="1" t="s">
        <v>154</v>
      </c>
      <c r="U543" s="1" t="s">
        <v>10226</v>
      </c>
      <c r="V543" s="1">
        <v>9494754174</v>
      </c>
      <c r="W543" s="1" t="s">
        <v>273</v>
      </c>
      <c r="X543" s="1" t="s">
        <v>10227</v>
      </c>
      <c r="Y543" s="1" t="s">
        <v>4251</v>
      </c>
      <c r="Z543" s="1" t="s">
        <v>276</v>
      </c>
      <c r="AA543" s="1" t="s">
        <v>10227</v>
      </c>
      <c r="AB543" s="1" t="s">
        <v>4251</v>
      </c>
      <c r="AC543" s="1" t="s">
        <v>276</v>
      </c>
      <c r="AD543" s="1">
        <v>8.74</v>
      </c>
      <c r="AE543" s="1" t="s">
        <v>93</v>
      </c>
      <c r="AF543" s="1" t="s">
        <v>10228</v>
      </c>
      <c r="AG543" s="1" t="s">
        <v>3118</v>
      </c>
      <c r="AH543" s="1" t="s">
        <v>165</v>
      </c>
      <c r="AI543" s="1" t="s">
        <v>101</v>
      </c>
      <c r="AJ543" s="1">
        <v>98</v>
      </c>
      <c r="AK543" s="1">
        <v>9.8</v>
      </c>
      <c r="AL543" s="1" t="s">
        <v>10229</v>
      </c>
      <c r="AM543" s="1" t="s">
        <v>1154</v>
      </c>
      <c r="AN543" s="1" t="s">
        <v>101</v>
      </c>
      <c r="AO543" s="1" t="s">
        <v>699</v>
      </c>
      <c r="AP543" s="1">
        <v>96.2</v>
      </c>
      <c r="AQ543" s="1">
        <v>9.88</v>
      </c>
      <c r="AR543" s="1"/>
      <c r="AS543" s="1"/>
      <c r="AT543" s="1"/>
      <c r="AU543" s="1"/>
      <c r="AV543" s="1"/>
      <c r="AW543" s="1"/>
      <c r="AX543" s="1" t="s">
        <v>10230</v>
      </c>
      <c r="AY543" s="1" t="s">
        <v>10231</v>
      </c>
      <c r="AZ543" s="1" t="s">
        <v>363</v>
      </c>
      <c r="BA543" s="1" t="s">
        <v>413</v>
      </c>
      <c r="BB543" s="1">
        <v>73.3</v>
      </c>
      <c r="BC543" s="1">
        <v>7.83</v>
      </c>
      <c r="BD543" s="1"/>
      <c r="BE543" s="1"/>
      <c r="BF543" s="1"/>
      <c r="BG543" s="1"/>
      <c r="BH543" s="1"/>
      <c r="BI543" s="1"/>
      <c r="BJ543" s="1" t="s">
        <v>10232</v>
      </c>
      <c r="BK543" s="1" t="s">
        <v>10233</v>
      </c>
      <c r="BL543" s="1" t="s">
        <v>1919</v>
      </c>
      <c r="BM543" s="1" t="s">
        <v>10234</v>
      </c>
      <c r="BN543" s="1">
        <v>12</v>
      </c>
      <c r="BO543" s="1" t="s">
        <v>10235</v>
      </c>
      <c r="BP543" s="1" t="str">
        <f>HYPERLINK("https://nconnect.nicmar.ac.in/storage/profile/ProfilePhoto_P25700500_496237.jpg","Download")</f>
        <v>0</v>
      </c>
      <c r="BQ543" s="3"/>
      <c r="BR543" s="3"/>
    </row>
    <row r="544" spans="1:70">
      <c r="A544" s="1" t="s">
        <v>70</v>
      </c>
      <c r="B544" s="1" t="s">
        <v>1269</v>
      </c>
      <c r="C544" s="1" t="s">
        <v>10236</v>
      </c>
      <c r="D544" s="1" t="s">
        <v>10237</v>
      </c>
      <c r="E544" s="1" t="s">
        <v>10238</v>
      </c>
      <c r="F544" s="1" t="s">
        <v>10239</v>
      </c>
      <c r="G544" s="1" t="s">
        <v>10240</v>
      </c>
      <c r="H544" s="1" t="s">
        <v>10241</v>
      </c>
      <c r="I544" s="1" t="s">
        <v>10242</v>
      </c>
      <c r="J544" s="1">
        <v>8790404862</v>
      </c>
      <c r="K544" s="1" t="s">
        <v>79</v>
      </c>
      <c r="L544" s="1" t="s">
        <v>9105</v>
      </c>
      <c r="M544" s="1" t="s">
        <v>81</v>
      </c>
      <c r="N544" s="1" t="s">
        <v>10243</v>
      </c>
      <c r="O544" s="1"/>
      <c r="P544" s="1" t="s">
        <v>1323</v>
      </c>
      <c r="Q544" s="1" t="s">
        <v>10244</v>
      </c>
      <c r="R544" s="1" t="s">
        <v>10245</v>
      </c>
      <c r="S544" s="1">
        <v>8341194093</v>
      </c>
      <c r="T544" s="1" t="s">
        <v>10246</v>
      </c>
      <c r="U544" s="1" t="s">
        <v>10247</v>
      </c>
      <c r="V544" s="1">
        <v>9704636806</v>
      </c>
      <c r="W544" s="1" t="s">
        <v>10248</v>
      </c>
      <c r="X544" s="1" t="s">
        <v>10249</v>
      </c>
      <c r="Y544" s="1" t="s">
        <v>608</v>
      </c>
      <c r="Z544" s="1" t="s">
        <v>609</v>
      </c>
      <c r="AA544" s="1" t="s">
        <v>10249</v>
      </c>
      <c r="AB544" s="1" t="s">
        <v>608</v>
      </c>
      <c r="AC544" s="1" t="s">
        <v>609</v>
      </c>
      <c r="AD544" s="1">
        <v>7.31</v>
      </c>
      <c r="AE544" s="1" t="s">
        <v>93</v>
      </c>
      <c r="AF544" s="1" t="s">
        <v>10250</v>
      </c>
      <c r="AG544" s="1" t="s">
        <v>611</v>
      </c>
      <c r="AH544" s="1" t="s">
        <v>165</v>
      </c>
      <c r="AI544" s="1" t="s">
        <v>281</v>
      </c>
      <c r="AJ544" s="1">
        <v>82</v>
      </c>
      <c r="AK544" s="1">
        <v>8.2</v>
      </c>
      <c r="AL544" s="1" t="s">
        <v>612</v>
      </c>
      <c r="AM544" s="1" t="s">
        <v>613</v>
      </c>
      <c r="AN544" s="1" t="s">
        <v>101</v>
      </c>
      <c r="AO544" s="1" t="s">
        <v>941</v>
      </c>
      <c r="AP544" s="1">
        <v>65.9</v>
      </c>
      <c r="AQ544" s="1">
        <v>0</v>
      </c>
      <c r="AR544" s="1"/>
      <c r="AS544" s="1"/>
      <c r="AT544" s="1"/>
      <c r="AU544" s="1"/>
      <c r="AV544" s="1"/>
      <c r="AW544" s="1"/>
      <c r="AX544" s="1" t="s">
        <v>10251</v>
      </c>
      <c r="AY544" s="1" t="s">
        <v>10252</v>
      </c>
      <c r="AZ544" s="1" t="s">
        <v>699</v>
      </c>
      <c r="BA544" s="1" t="s">
        <v>9301</v>
      </c>
      <c r="BB544" s="1">
        <v>57.77</v>
      </c>
      <c r="BC544" s="1">
        <v>6.3</v>
      </c>
      <c r="BD544" s="1"/>
      <c r="BE544" s="1"/>
      <c r="BF544" s="1"/>
      <c r="BG544" s="1"/>
      <c r="BH544" s="1"/>
      <c r="BI544" s="1"/>
      <c r="BJ544" s="1" t="s">
        <v>10253</v>
      </c>
      <c r="BK544" s="1"/>
      <c r="BL544" s="1"/>
      <c r="BM544" s="1" t="s">
        <v>10254</v>
      </c>
      <c r="BN544" s="1">
        <v>17</v>
      </c>
      <c r="BO544" s="1" t="s">
        <v>10255</v>
      </c>
      <c r="BP544" s="1" t="str">
        <f>HYPERLINK("https://nconnect.nicmar.ac.in/storage/profile/ProfilePhoto_P25700501_931728.jpg","Download")</f>
        <v>0</v>
      </c>
      <c r="BQ544" s="3"/>
      <c r="BR544" s="3"/>
    </row>
    <row r="545" spans="1:70">
      <c r="A545" s="1" t="s">
        <v>70</v>
      </c>
      <c r="B545" s="1" t="s">
        <v>1269</v>
      </c>
      <c r="C545" s="1" t="s">
        <v>10256</v>
      </c>
      <c r="D545" s="1" t="s">
        <v>10257</v>
      </c>
      <c r="E545" s="1" t="s">
        <v>10258</v>
      </c>
      <c r="F545" s="1" t="s">
        <v>10259</v>
      </c>
      <c r="G545" s="1" t="s">
        <v>10260</v>
      </c>
      <c r="H545" s="1" t="s">
        <v>10261</v>
      </c>
      <c r="I545" s="1" t="s">
        <v>10262</v>
      </c>
      <c r="J545" s="1">
        <v>6363192809</v>
      </c>
      <c r="K545" s="1" t="s">
        <v>79</v>
      </c>
      <c r="L545" s="1" t="s">
        <v>10263</v>
      </c>
      <c r="M545" s="1" t="s">
        <v>81</v>
      </c>
      <c r="N545" s="1" t="s">
        <v>1950</v>
      </c>
      <c r="O545" s="1"/>
      <c r="P545" s="1" t="s">
        <v>1323</v>
      </c>
      <c r="Q545" s="1" t="s">
        <v>10264</v>
      </c>
      <c r="R545" s="1" t="s">
        <v>10265</v>
      </c>
      <c r="S545" s="1">
        <v>7795257731</v>
      </c>
      <c r="T545" s="1" t="s">
        <v>496</v>
      </c>
      <c r="U545" s="1" t="s">
        <v>10266</v>
      </c>
      <c r="V545" s="1">
        <v>8971620131</v>
      </c>
      <c r="W545" s="1" t="s">
        <v>273</v>
      </c>
      <c r="X545" s="1" t="s">
        <v>10267</v>
      </c>
      <c r="Y545" s="1" t="s">
        <v>4755</v>
      </c>
      <c r="Z545" s="1" t="s">
        <v>1084</v>
      </c>
      <c r="AA545" s="1" t="s">
        <v>10267</v>
      </c>
      <c r="AB545" s="1" t="s">
        <v>4755</v>
      </c>
      <c r="AC545" s="1" t="s">
        <v>1084</v>
      </c>
      <c r="AD545" s="1">
        <v>7.14</v>
      </c>
      <c r="AE545" s="1" t="s">
        <v>93</v>
      </c>
      <c r="AF545" s="1" t="s">
        <v>10268</v>
      </c>
      <c r="AG545" s="1" t="s">
        <v>10269</v>
      </c>
      <c r="AH545" s="1" t="s">
        <v>162</v>
      </c>
      <c r="AI545" s="1" t="s">
        <v>479</v>
      </c>
      <c r="AJ545" s="1">
        <v>79.68</v>
      </c>
      <c r="AK545" s="1"/>
      <c r="AL545" s="1" t="s">
        <v>10270</v>
      </c>
      <c r="AM545" s="1" t="s">
        <v>10269</v>
      </c>
      <c r="AN545" s="1" t="s">
        <v>225</v>
      </c>
      <c r="AO545" s="1" t="s">
        <v>1065</v>
      </c>
      <c r="AP545" s="1">
        <v>74.66</v>
      </c>
      <c r="AQ545" s="1"/>
      <c r="AR545" s="1"/>
      <c r="AS545" s="1"/>
      <c r="AT545" s="1"/>
      <c r="AU545" s="1"/>
      <c r="AV545" s="1"/>
      <c r="AW545" s="1"/>
      <c r="AX545" s="1" t="s">
        <v>10271</v>
      </c>
      <c r="AY545" s="1" t="s">
        <v>10272</v>
      </c>
      <c r="AZ545" s="1" t="s">
        <v>104</v>
      </c>
      <c r="BA545" s="1" t="s">
        <v>413</v>
      </c>
      <c r="BB545" s="1">
        <v>66.8</v>
      </c>
      <c r="BC545" s="1">
        <v>7.43</v>
      </c>
      <c r="BD545" s="1"/>
      <c r="BE545" s="1"/>
      <c r="BF545" s="1"/>
      <c r="BG545" s="1"/>
      <c r="BH545" s="1"/>
      <c r="BI545" s="1"/>
      <c r="BJ545" s="1" t="s">
        <v>10273</v>
      </c>
      <c r="BK545" s="1" t="s">
        <v>10274</v>
      </c>
      <c r="BL545" s="1" t="s">
        <v>1475</v>
      </c>
      <c r="BM545" s="1" t="s">
        <v>10275</v>
      </c>
      <c r="BN545" s="1">
        <v>32</v>
      </c>
      <c r="BO545" s="1"/>
      <c r="BP545" s="1" t="str">
        <f>HYPERLINK("https://nconnect.nicmar.ac.in/storage/profile/ProfilePhoto_P25700502_714592.jpg","Download")</f>
        <v>0</v>
      </c>
      <c r="BQ545" s="3"/>
      <c r="BR545" s="3"/>
    </row>
    <row r="546" spans="1:70">
      <c r="A546" s="1" t="s">
        <v>70</v>
      </c>
      <c r="B546" s="1" t="s">
        <v>1269</v>
      </c>
      <c r="C546" s="1" t="s">
        <v>10276</v>
      </c>
      <c r="D546" s="1" t="s">
        <v>10277</v>
      </c>
      <c r="E546" s="1"/>
      <c r="F546" s="1" t="s">
        <v>5545</v>
      </c>
      <c r="G546" s="1" t="s">
        <v>10278</v>
      </c>
      <c r="H546" s="1" t="s">
        <v>10279</v>
      </c>
      <c r="I546" s="1" t="s">
        <v>10280</v>
      </c>
      <c r="J546" s="1">
        <v>9791895523</v>
      </c>
      <c r="K546" s="1" t="s">
        <v>79</v>
      </c>
      <c r="L546" s="1" t="s">
        <v>10281</v>
      </c>
      <c r="M546" s="1" t="s">
        <v>81</v>
      </c>
      <c r="N546" s="1" t="s">
        <v>3132</v>
      </c>
      <c r="O546" s="1"/>
      <c r="P546" s="1" t="s">
        <v>1278</v>
      </c>
      <c r="Q546" s="1" t="s">
        <v>10282</v>
      </c>
      <c r="R546" s="1" t="s">
        <v>10283</v>
      </c>
      <c r="S546" s="1">
        <v>9865525525</v>
      </c>
      <c r="T546" s="1" t="s">
        <v>10284</v>
      </c>
      <c r="U546" s="1" t="s">
        <v>10285</v>
      </c>
      <c r="V546" s="1">
        <v>9597675525</v>
      </c>
      <c r="W546" s="1" t="s">
        <v>10286</v>
      </c>
      <c r="X546" s="1" t="s">
        <v>10287</v>
      </c>
      <c r="Y546" s="1" t="s">
        <v>10288</v>
      </c>
      <c r="Z546" s="1" t="s">
        <v>1377</v>
      </c>
      <c r="AA546" s="1" t="s">
        <v>10287</v>
      </c>
      <c r="AB546" s="1" t="s">
        <v>10288</v>
      </c>
      <c r="AC546" s="1" t="s">
        <v>1377</v>
      </c>
      <c r="AD546" s="1">
        <v>8.95</v>
      </c>
      <c r="AE546" s="1" t="s">
        <v>93</v>
      </c>
      <c r="AF546" s="1" t="s">
        <v>10289</v>
      </c>
      <c r="AG546" s="1" t="s">
        <v>9269</v>
      </c>
      <c r="AH546" s="1" t="s">
        <v>195</v>
      </c>
      <c r="AI546" s="1" t="s">
        <v>281</v>
      </c>
      <c r="AJ546" s="1">
        <v>92</v>
      </c>
      <c r="AK546" s="1"/>
      <c r="AL546" s="1" t="s">
        <v>10290</v>
      </c>
      <c r="AM546" s="1" t="s">
        <v>9269</v>
      </c>
      <c r="AN546" s="1" t="s">
        <v>281</v>
      </c>
      <c r="AO546" s="1" t="s">
        <v>941</v>
      </c>
      <c r="AP546" s="1">
        <v>86.33</v>
      </c>
      <c r="AQ546" s="1"/>
      <c r="AR546" s="1"/>
      <c r="AS546" s="1"/>
      <c r="AT546" s="1"/>
      <c r="AU546" s="1"/>
      <c r="AV546" s="1"/>
      <c r="AW546" s="1"/>
      <c r="AX546" s="1" t="s">
        <v>1381</v>
      </c>
      <c r="AY546" s="1" t="s">
        <v>10291</v>
      </c>
      <c r="AZ546" s="1" t="s">
        <v>170</v>
      </c>
      <c r="BA546" s="1" t="s">
        <v>1408</v>
      </c>
      <c r="BB546" s="1">
        <v>78.9</v>
      </c>
      <c r="BC546" s="1"/>
      <c r="BD546" s="1"/>
      <c r="BE546" s="1"/>
      <c r="BF546" s="1"/>
      <c r="BG546" s="1"/>
      <c r="BH546" s="1"/>
      <c r="BI546" s="1"/>
      <c r="BJ546" s="1" t="s">
        <v>10292</v>
      </c>
      <c r="BK546" s="1"/>
      <c r="BL546" s="1"/>
      <c r="BM546" s="1" t="s">
        <v>10293</v>
      </c>
      <c r="BN546" s="1">
        <v>19</v>
      </c>
      <c r="BO546" s="1" t="s">
        <v>10294</v>
      </c>
      <c r="BP546" s="1" t="str">
        <f>HYPERLINK("https://nconnect.nicmar.ac.in/storage/profile/ProfilePhoto_P25700503_618932.jpg","Download")</f>
        <v>0</v>
      </c>
      <c r="BQ546" s="3"/>
      <c r="BR546" s="3"/>
    </row>
    <row r="547" spans="1:70">
      <c r="A547" s="1" t="s">
        <v>70</v>
      </c>
      <c r="B547" s="1" t="s">
        <v>1269</v>
      </c>
      <c r="C547" s="1" t="s">
        <v>10295</v>
      </c>
      <c r="D547" s="1" t="s">
        <v>1944</v>
      </c>
      <c r="E547" s="1" t="s">
        <v>5452</v>
      </c>
      <c r="F547" s="1" t="s">
        <v>10296</v>
      </c>
      <c r="G547" s="1" t="s">
        <v>10297</v>
      </c>
      <c r="H547" s="1" t="s">
        <v>10298</v>
      </c>
      <c r="I547" s="1" t="s">
        <v>10299</v>
      </c>
      <c r="J547" s="1">
        <v>8412819597</v>
      </c>
      <c r="K547" s="1" t="s">
        <v>79</v>
      </c>
      <c r="L547" s="1" t="s">
        <v>10300</v>
      </c>
      <c r="M547" s="1" t="s">
        <v>81</v>
      </c>
      <c r="N547" s="1" t="s">
        <v>2966</v>
      </c>
      <c r="O547" s="1"/>
      <c r="P547" s="1" t="s">
        <v>1298</v>
      </c>
      <c r="Q547" s="1" t="s">
        <v>10301</v>
      </c>
      <c r="R547" s="1" t="s">
        <v>10302</v>
      </c>
      <c r="S547" s="1">
        <v>8087902210</v>
      </c>
      <c r="T547" s="1" t="s">
        <v>6829</v>
      </c>
      <c r="U547" s="1" t="s">
        <v>10303</v>
      </c>
      <c r="V547" s="1">
        <v>8788501617</v>
      </c>
      <c r="W547" s="1" t="s">
        <v>9568</v>
      </c>
      <c r="X547" s="1" t="s">
        <v>10304</v>
      </c>
      <c r="Y547" s="1" t="s">
        <v>191</v>
      </c>
      <c r="Z547" s="1" t="s">
        <v>92</v>
      </c>
      <c r="AA547" s="1" t="s">
        <v>10305</v>
      </c>
      <c r="AB547" s="1" t="s">
        <v>10306</v>
      </c>
      <c r="AC547" s="1" t="s">
        <v>92</v>
      </c>
      <c r="AD547" s="1">
        <v>8.34</v>
      </c>
      <c r="AE547" s="1" t="s">
        <v>93</v>
      </c>
      <c r="AF547" s="1" t="s">
        <v>10307</v>
      </c>
      <c r="AG547" s="1" t="s">
        <v>10308</v>
      </c>
      <c r="AH547" s="1" t="s">
        <v>161</v>
      </c>
      <c r="AI547" s="1" t="s">
        <v>162</v>
      </c>
      <c r="AJ547" s="1">
        <v>80</v>
      </c>
      <c r="AK547" s="1"/>
      <c r="AL547" s="1" t="s">
        <v>10309</v>
      </c>
      <c r="AM547" s="1" t="s">
        <v>10310</v>
      </c>
      <c r="AN547" s="1" t="s">
        <v>383</v>
      </c>
      <c r="AO547" s="1" t="s">
        <v>101</v>
      </c>
      <c r="AP547" s="1">
        <v>81.23</v>
      </c>
      <c r="AQ547" s="1"/>
      <c r="AR547" s="1"/>
      <c r="AS547" s="1"/>
      <c r="AT547" s="1"/>
      <c r="AU547" s="1"/>
      <c r="AV547" s="1"/>
      <c r="AW547" s="1"/>
      <c r="AX547" s="1" t="s">
        <v>1024</v>
      </c>
      <c r="AY547" s="1" t="s">
        <v>10311</v>
      </c>
      <c r="AZ547" s="1" t="s">
        <v>169</v>
      </c>
      <c r="BA547" s="1" t="s">
        <v>229</v>
      </c>
      <c r="BB547" s="1">
        <v>63.94</v>
      </c>
      <c r="BC547" s="1">
        <v>7.02</v>
      </c>
      <c r="BD547" s="1"/>
      <c r="BE547" s="1"/>
      <c r="BF547" s="1"/>
      <c r="BG547" s="1"/>
      <c r="BH547" s="1"/>
      <c r="BI547" s="1"/>
      <c r="BJ547" s="1" t="s">
        <v>10312</v>
      </c>
      <c r="BK547" s="1" t="s">
        <v>10313</v>
      </c>
      <c r="BL547" s="1" t="s">
        <v>2186</v>
      </c>
      <c r="BM547" s="1" t="s">
        <v>10314</v>
      </c>
      <c r="BN547" s="1">
        <v>30</v>
      </c>
      <c r="BO547" s="1"/>
      <c r="BP547" s="1" t="str">
        <f>HYPERLINK("https://nconnect.nicmar.ac.in/storage/profile/ProfilePhoto_P25700504_842731.jpg","Download")</f>
        <v>0</v>
      </c>
      <c r="BQ547" s="3"/>
      <c r="BR547" s="3"/>
    </row>
    <row r="548" spans="1:70">
      <c r="A548" s="1" t="s">
        <v>70</v>
      </c>
      <c r="B548" s="1" t="s">
        <v>1269</v>
      </c>
      <c r="C548" s="1" t="s">
        <v>10315</v>
      </c>
      <c r="D548" s="1" t="s">
        <v>10316</v>
      </c>
      <c r="E548" s="1" t="s">
        <v>1981</v>
      </c>
      <c r="F548" s="1" t="s">
        <v>10317</v>
      </c>
      <c r="G548" s="1" t="s">
        <v>10318</v>
      </c>
      <c r="H548" s="1" t="s">
        <v>10319</v>
      </c>
      <c r="I548" s="1" t="s">
        <v>10320</v>
      </c>
      <c r="J548" s="1">
        <v>9403022763</v>
      </c>
      <c r="K548" s="1" t="s">
        <v>79</v>
      </c>
      <c r="L548" s="1" t="s">
        <v>10321</v>
      </c>
      <c r="M548" s="1" t="s">
        <v>81</v>
      </c>
      <c r="N548" s="1" t="s">
        <v>1418</v>
      </c>
      <c r="O548" s="1"/>
      <c r="P548" s="1" t="s">
        <v>1323</v>
      </c>
      <c r="Q548" s="1" t="s">
        <v>10322</v>
      </c>
      <c r="R548" s="1" t="s">
        <v>10323</v>
      </c>
      <c r="S548" s="1">
        <v>9403022763</v>
      </c>
      <c r="T548" s="1" t="s">
        <v>10324</v>
      </c>
      <c r="U548" s="1" t="s">
        <v>10325</v>
      </c>
      <c r="V548" s="1">
        <v>9834483234</v>
      </c>
      <c r="W548" s="1" t="s">
        <v>156</v>
      </c>
      <c r="X548" s="1" t="s">
        <v>10326</v>
      </c>
      <c r="Y548" s="1" t="s">
        <v>191</v>
      </c>
      <c r="Z548" s="1" t="s">
        <v>92</v>
      </c>
      <c r="AA548" s="1" t="s">
        <v>10326</v>
      </c>
      <c r="AB548" s="1" t="s">
        <v>191</v>
      </c>
      <c r="AC548" s="1" t="s">
        <v>92</v>
      </c>
      <c r="AD548" s="1">
        <v>8.36</v>
      </c>
      <c r="AE548" s="1" t="s">
        <v>93</v>
      </c>
      <c r="AF548" s="1" t="s">
        <v>10327</v>
      </c>
      <c r="AG548" s="1" t="s">
        <v>10328</v>
      </c>
      <c r="AH548" s="1" t="s">
        <v>2418</v>
      </c>
      <c r="AI548" s="1" t="s">
        <v>281</v>
      </c>
      <c r="AJ548" s="1">
        <v>91.83</v>
      </c>
      <c r="AK548" s="1"/>
      <c r="AL548" s="1" t="s">
        <v>10329</v>
      </c>
      <c r="AM548" s="1" t="s">
        <v>10330</v>
      </c>
      <c r="AN548" s="1" t="s">
        <v>101</v>
      </c>
      <c r="AO548" s="1" t="s">
        <v>681</v>
      </c>
      <c r="AP548" s="1">
        <v>82.15</v>
      </c>
      <c r="AQ548" s="1"/>
      <c r="AR548" s="1"/>
      <c r="AS548" s="1"/>
      <c r="AT548" s="1"/>
      <c r="AU548" s="1"/>
      <c r="AV548" s="1"/>
      <c r="AW548" s="1"/>
      <c r="AX548" s="1" t="s">
        <v>10331</v>
      </c>
      <c r="AY548" s="1" t="s">
        <v>10332</v>
      </c>
      <c r="AZ548" s="1" t="s">
        <v>363</v>
      </c>
      <c r="BA548" s="1" t="s">
        <v>2103</v>
      </c>
      <c r="BB548" s="1">
        <v>72.5</v>
      </c>
      <c r="BC548" s="1">
        <v>8</v>
      </c>
      <c r="BD548" s="1"/>
      <c r="BE548" s="1"/>
      <c r="BF548" s="1"/>
      <c r="BG548" s="1"/>
      <c r="BH548" s="1"/>
      <c r="BI548" s="1"/>
      <c r="BJ548" s="1" t="s">
        <v>364</v>
      </c>
      <c r="BK548" s="1"/>
      <c r="BL548" s="1"/>
      <c r="BM548" s="1" t="s">
        <v>10333</v>
      </c>
      <c r="BN548" s="1">
        <v>40</v>
      </c>
      <c r="BO548" s="1" t="s">
        <v>1715</v>
      </c>
      <c r="BP548" s="1" t="str">
        <f>HYPERLINK("https://nconnect.nicmar.ac.in/storage/profile/ProfilePhoto_P25700505_843196.jpg","Download")</f>
        <v>0</v>
      </c>
      <c r="BQ548" s="3"/>
      <c r="BR548" s="3"/>
    </row>
    <row r="549" spans="1:70">
      <c r="A549" s="1" t="s">
        <v>70</v>
      </c>
      <c r="B549" s="1" t="s">
        <v>1269</v>
      </c>
      <c r="C549" s="1" t="s">
        <v>10334</v>
      </c>
      <c r="D549" s="1" t="s">
        <v>10335</v>
      </c>
      <c r="E549" s="1"/>
      <c r="F549" s="1" t="s">
        <v>2150</v>
      </c>
      <c r="G549" s="1" t="s">
        <v>10336</v>
      </c>
      <c r="H549" s="1" t="s">
        <v>10337</v>
      </c>
      <c r="I549" s="1" t="s">
        <v>10338</v>
      </c>
      <c r="J549" s="1">
        <v>8578865315</v>
      </c>
      <c r="K549" s="1" t="s">
        <v>79</v>
      </c>
      <c r="L549" s="1" t="s">
        <v>10339</v>
      </c>
      <c r="M549" s="1" t="s">
        <v>81</v>
      </c>
      <c r="N549" s="1" t="s">
        <v>241</v>
      </c>
      <c r="O549" s="1"/>
      <c r="P549" s="1" t="s">
        <v>1278</v>
      </c>
      <c r="Q549" s="1" t="s">
        <v>10340</v>
      </c>
      <c r="R549" s="1" t="s">
        <v>10341</v>
      </c>
      <c r="S549" s="1">
        <v>9835925814</v>
      </c>
      <c r="T549" s="1" t="s">
        <v>122</v>
      </c>
      <c r="U549" s="1" t="s">
        <v>10342</v>
      </c>
      <c r="V549" s="1">
        <v>9798313891</v>
      </c>
      <c r="W549" s="1" t="s">
        <v>122</v>
      </c>
      <c r="X549" s="1" t="s">
        <v>10343</v>
      </c>
      <c r="Y549" s="1" t="s">
        <v>191</v>
      </c>
      <c r="Z549" s="1" t="s">
        <v>92</v>
      </c>
      <c r="AA549" s="1" t="s">
        <v>10344</v>
      </c>
      <c r="AB549" s="1" t="s">
        <v>10345</v>
      </c>
      <c r="AC549" s="1" t="s">
        <v>3765</v>
      </c>
      <c r="AD549" s="1">
        <v>8.26</v>
      </c>
      <c r="AE549" s="1" t="s">
        <v>93</v>
      </c>
      <c r="AF549" s="1" t="s">
        <v>10346</v>
      </c>
      <c r="AG549" s="1" t="s">
        <v>939</v>
      </c>
      <c r="AH549" s="1" t="s">
        <v>131</v>
      </c>
      <c r="AI549" s="1" t="s">
        <v>527</v>
      </c>
      <c r="AJ549" s="1">
        <v>64.6</v>
      </c>
      <c r="AK549" s="1">
        <v>6.8</v>
      </c>
      <c r="AL549" s="1" t="s">
        <v>10347</v>
      </c>
      <c r="AM549" s="1" t="s">
        <v>10348</v>
      </c>
      <c r="AN549" s="1" t="s">
        <v>165</v>
      </c>
      <c r="AO549" s="1" t="s">
        <v>433</v>
      </c>
      <c r="AP549" s="1">
        <v>64.8</v>
      </c>
      <c r="AQ549" s="1"/>
      <c r="AR549" s="1"/>
      <c r="AS549" s="1"/>
      <c r="AT549" s="1"/>
      <c r="AU549" s="1"/>
      <c r="AV549" s="1"/>
      <c r="AW549" s="1"/>
      <c r="AX549" s="1" t="s">
        <v>10349</v>
      </c>
      <c r="AY549" s="1" t="s">
        <v>10350</v>
      </c>
      <c r="AZ549" s="1" t="s">
        <v>433</v>
      </c>
      <c r="BA549" s="1" t="s">
        <v>229</v>
      </c>
      <c r="BB549" s="1">
        <v>73.7</v>
      </c>
      <c r="BC549" s="1">
        <v>7.87</v>
      </c>
      <c r="BD549" s="1"/>
      <c r="BE549" s="1"/>
      <c r="BF549" s="1"/>
      <c r="BG549" s="1"/>
      <c r="BH549" s="1"/>
      <c r="BI549" s="1"/>
      <c r="BJ549" s="1" t="s">
        <v>1383</v>
      </c>
      <c r="BK549" s="1" t="s">
        <v>10351</v>
      </c>
      <c r="BL549" s="1" t="s">
        <v>4917</v>
      </c>
      <c r="BM549" s="1" t="s">
        <v>10352</v>
      </c>
      <c r="BN549" s="1">
        <v>4</v>
      </c>
      <c r="BO549" s="1"/>
      <c r="BP549" s="1" t="str">
        <f>HYPERLINK("https://nconnect.nicmar.ac.in/storage/profile/ProfilePhoto_P25700506_716935.jpg","Download")</f>
        <v>0</v>
      </c>
      <c r="BQ549" s="3"/>
      <c r="BR549" s="3"/>
    </row>
    <row r="550" spans="1:70">
      <c r="A550" s="1" t="s">
        <v>70</v>
      </c>
      <c r="B550" s="1" t="s">
        <v>1269</v>
      </c>
      <c r="C550" s="1" t="s">
        <v>10353</v>
      </c>
      <c r="D550" s="1" t="s">
        <v>10354</v>
      </c>
      <c r="E550" s="1" t="s">
        <v>3052</v>
      </c>
      <c r="F550" s="1" t="s">
        <v>903</v>
      </c>
      <c r="G550" s="1" t="s">
        <v>10355</v>
      </c>
      <c r="H550" s="1" t="s">
        <v>10356</v>
      </c>
      <c r="I550" s="1" t="s">
        <v>10357</v>
      </c>
      <c r="J550" s="1">
        <v>8007264118</v>
      </c>
      <c r="K550" s="1" t="s">
        <v>79</v>
      </c>
      <c r="L550" s="1" t="s">
        <v>10358</v>
      </c>
      <c r="M550" s="1" t="s">
        <v>81</v>
      </c>
      <c r="N550" s="1" t="s">
        <v>2008</v>
      </c>
      <c r="O550" s="1"/>
      <c r="P550" s="1" t="s">
        <v>1298</v>
      </c>
      <c r="Q550" s="1" t="s">
        <v>10359</v>
      </c>
      <c r="R550" s="1" t="s">
        <v>10360</v>
      </c>
      <c r="S550" s="1">
        <v>9867232754</v>
      </c>
      <c r="T550" s="1" t="s">
        <v>976</v>
      </c>
      <c r="U550" s="1" t="s">
        <v>10361</v>
      </c>
      <c r="V550" s="1">
        <v>8805149778</v>
      </c>
      <c r="W550" s="1" t="s">
        <v>273</v>
      </c>
      <c r="X550" s="1" t="s">
        <v>10362</v>
      </c>
      <c r="Y550" s="1" t="s">
        <v>766</v>
      </c>
      <c r="Z550" s="1" t="s">
        <v>92</v>
      </c>
      <c r="AA550" s="1" t="s">
        <v>10362</v>
      </c>
      <c r="AB550" s="1" t="s">
        <v>766</v>
      </c>
      <c r="AC550" s="1" t="s">
        <v>92</v>
      </c>
      <c r="AD550" s="1">
        <v>7.79</v>
      </c>
      <c r="AE550" s="1" t="s">
        <v>93</v>
      </c>
      <c r="AF550" s="1" t="s">
        <v>10363</v>
      </c>
      <c r="AG550" s="1" t="s">
        <v>160</v>
      </c>
      <c r="AH550" s="1" t="s">
        <v>96</v>
      </c>
      <c r="AI550" s="1" t="s">
        <v>161</v>
      </c>
      <c r="AJ550" s="1">
        <v>78.6</v>
      </c>
      <c r="AK550" s="1"/>
      <c r="AL550" s="1"/>
      <c r="AM550" s="1"/>
      <c r="AN550" s="1"/>
      <c r="AO550" s="1"/>
      <c r="AP550" s="1"/>
      <c r="AQ550" s="1"/>
      <c r="AR550" s="1" t="s">
        <v>434</v>
      </c>
      <c r="AS550" s="1" t="s">
        <v>10364</v>
      </c>
      <c r="AT550" s="1" t="s">
        <v>161</v>
      </c>
      <c r="AU550" s="1" t="s">
        <v>101</v>
      </c>
      <c r="AV550" s="1">
        <v>72.67</v>
      </c>
      <c r="AW550" s="1"/>
      <c r="AX550" s="1" t="s">
        <v>1024</v>
      </c>
      <c r="AY550" s="1" t="s">
        <v>10365</v>
      </c>
      <c r="AZ550" s="1" t="s">
        <v>169</v>
      </c>
      <c r="BA550" s="1" t="s">
        <v>506</v>
      </c>
      <c r="BB550" s="1">
        <v>64.16</v>
      </c>
      <c r="BC550" s="1"/>
      <c r="BD550" s="1"/>
      <c r="BE550" s="1"/>
      <c r="BF550" s="1"/>
      <c r="BG550" s="1"/>
      <c r="BH550" s="1"/>
      <c r="BI550" s="1"/>
      <c r="BJ550" s="1" t="s">
        <v>10366</v>
      </c>
      <c r="BK550" s="1"/>
      <c r="BL550" s="1"/>
      <c r="BM550" s="1"/>
      <c r="BN550" s="1"/>
      <c r="BO550" s="1"/>
      <c r="BP550" s="1" t="str">
        <f>HYPERLINK("https://nconnect.nicmar.ac.in/storage/profile/ProfilePhoto_P25700507_128367.jpg","Download")</f>
        <v>0</v>
      </c>
      <c r="BQ550" s="3"/>
      <c r="BR550" s="3"/>
    </row>
    <row r="551" spans="1:70">
      <c r="A551" s="1" t="s">
        <v>70</v>
      </c>
      <c r="B551" s="1" t="s">
        <v>1269</v>
      </c>
      <c r="C551" s="1" t="s">
        <v>10367</v>
      </c>
      <c r="D551" s="1" t="s">
        <v>10368</v>
      </c>
      <c r="E551" s="1" t="s">
        <v>3180</v>
      </c>
      <c r="F551" s="1" t="s">
        <v>10369</v>
      </c>
      <c r="G551" s="1" t="s">
        <v>10370</v>
      </c>
      <c r="H551" s="1" t="s">
        <v>10371</v>
      </c>
      <c r="I551" s="1" t="s">
        <v>10372</v>
      </c>
      <c r="J551" s="1">
        <v>8686631717</v>
      </c>
      <c r="K551" s="1" t="s">
        <v>79</v>
      </c>
      <c r="L551" s="1" t="s">
        <v>10373</v>
      </c>
      <c r="M551" s="1" t="s">
        <v>81</v>
      </c>
      <c r="N551" s="1" t="s">
        <v>1418</v>
      </c>
      <c r="O551" s="1"/>
      <c r="P551" s="1" t="s">
        <v>2505</v>
      </c>
      <c r="Q551" s="1" t="s">
        <v>10374</v>
      </c>
      <c r="R551" s="1" t="s">
        <v>10375</v>
      </c>
      <c r="S551" s="1">
        <v>8329418137</v>
      </c>
      <c r="T551" s="1" t="s">
        <v>120</v>
      </c>
      <c r="U551" s="1" t="s">
        <v>10376</v>
      </c>
      <c r="V551" s="1">
        <v>9767840788</v>
      </c>
      <c r="W551" s="1" t="s">
        <v>156</v>
      </c>
      <c r="X551" s="1" t="s">
        <v>10377</v>
      </c>
      <c r="Y551" s="1" t="s">
        <v>191</v>
      </c>
      <c r="Z551" s="1" t="s">
        <v>92</v>
      </c>
      <c r="AA551" s="1" t="s">
        <v>10377</v>
      </c>
      <c r="AB551" s="1" t="s">
        <v>191</v>
      </c>
      <c r="AC551" s="1" t="s">
        <v>92</v>
      </c>
      <c r="AD551" s="1">
        <v>8.07</v>
      </c>
      <c r="AE551" s="1" t="s">
        <v>93</v>
      </c>
      <c r="AF551" s="1" t="s">
        <v>10378</v>
      </c>
      <c r="AG551" s="1" t="s">
        <v>160</v>
      </c>
      <c r="AH551" s="1" t="s">
        <v>161</v>
      </c>
      <c r="AI551" s="1" t="s">
        <v>162</v>
      </c>
      <c r="AJ551" s="1">
        <v>84.8</v>
      </c>
      <c r="AK551" s="1"/>
      <c r="AL551" s="1"/>
      <c r="AM551" s="1"/>
      <c r="AN551" s="1"/>
      <c r="AO551" s="1"/>
      <c r="AP551" s="1"/>
      <c r="AQ551" s="1"/>
      <c r="AR551" s="1" t="s">
        <v>98</v>
      </c>
      <c r="AS551" s="1" t="s">
        <v>10379</v>
      </c>
      <c r="AT551" s="1" t="s">
        <v>134</v>
      </c>
      <c r="AU551" s="1" t="s">
        <v>433</v>
      </c>
      <c r="AV551" s="1">
        <v>83.45</v>
      </c>
      <c r="AW551" s="1"/>
      <c r="AX551" s="1" t="s">
        <v>361</v>
      </c>
      <c r="AY551" s="1" t="s">
        <v>10380</v>
      </c>
      <c r="AZ551" s="1" t="s">
        <v>201</v>
      </c>
      <c r="BA551" s="1" t="s">
        <v>105</v>
      </c>
      <c r="BB551" s="1">
        <v>80.6</v>
      </c>
      <c r="BC551" s="1">
        <v>8.8</v>
      </c>
      <c r="BD551" s="1"/>
      <c r="BE551" s="1"/>
      <c r="BF551" s="1"/>
      <c r="BG551" s="1"/>
      <c r="BH551" s="1"/>
      <c r="BI551" s="1"/>
      <c r="BJ551" s="1" t="s">
        <v>364</v>
      </c>
      <c r="BK551" s="1" t="s">
        <v>10381</v>
      </c>
      <c r="BL551" s="1" t="s">
        <v>4917</v>
      </c>
      <c r="BM551" s="1"/>
      <c r="BN551" s="1"/>
      <c r="BO551" s="1"/>
      <c r="BP551" s="1" t="str">
        <f>HYPERLINK("https://nconnect.nicmar.ac.in/storage/profile/ProfilePhoto_P25700508_846395.jpg","Download")</f>
        <v>0</v>
      </c>
      <c r="BQ551" s="3"/>
      <c r="BR551" s="3"/>
    </row>
    <row r="552" spans="1:70">
      <c r="A552" s="1" t="s">
        <v>70</v>
      </c>
      <c r="B552" s="1" t="s">
        <v>1269</v>
      </c>
      <c r="C552" s="1" t="s">
        <v>10382</v>
      </c>
      <c r="D552" s="1" t="s">
        <v>7286</v>
      </c>
      <c r="E552" s="1" t="s">
        <v>2287</v>
      </c>
      <c r="F552" s="1" t="s">
        <v>10383</v>
      </c>
      <c r="G552" s="1" t="s">
        <v>10384</v>
      </c>
      <c r="H552" s="1" t="s">
        <v>10385</v>
      </c>
      <c r="I552" s="1" t="s">
        <v>10386</v>
      </c>
      <c r="J552" s="1">
        <v>8668742356</v>
      </c>
      <c r="K552" s="1" t="s">
        <v>79</v>
      </c>
      <c r="L552" s="1" t="s">
        <v>10387</v>
      </c>
      <c r="M552" s="1" t="s">
        <v>81</v>
      </c>
      <c r="N552" s="1" t="s">
        <v>1418</v>
      </c>
      <c r="O552" s="1"/>
      <c r="P552" s="1" t="s">
        <v>1298</v>
      </c>
      <c r="Q552" s="1" t="s">
        <v>10388</v>
      </c>
      <c r="R552" s="1" t="s">
        <v>2287</v>
      </c>
      <c r="S552" s="1">
        <v>9922282544</v>
      </c>
      <c r="T552" s="1" t="s">
        <v>10389</v>
      </c>
      <c r="U552" s="1" t="s">
        <v>10390</v>
      </c>
      <c r="V552" s="1">
        <v>9922282544</v>
      </c>
      <c r="W552" s="1" t="s">
        <v>156</v>
      </c>
      <c r="X552" s="1" t="s">
        <v>10391</v>
      </c>
      <c r="Y552" s="1" t="s">
        <v>191</v>
      </c>
      <c r="Z552" s="1" t="s">
        <v>92</v>
      </c>
      <c r="AA552" s="1" t="s">
        <v>10392</v>
      </c>
      <c r="AB552" s="1" t="s">
        <v>219</v>
      </c>
      <c r="AC552" s="1" t="s">
        <v>92</v>
      </c>
      <c r="AD552" s="1">
        <v>8.54</v>
      </c>
      <c r="AE552" s="1" t="s">
        <v>93</v>
      </c>
      <c r="AF552" s="1" t="s">
        <v>10393</v>
      </c>
      <c r="AG552" s="1" t="s">
        <v>939</v>
      </c>
      <c r="AH552" s="1" t="s">
        <v>130</v>
      </c>
      <c r="AI552" s="1" t="s">
        <v>161</v>
      </c>
      <c r="AJ552" s="1">
        <v>68.4</v>
      </c>
      <c r="AK552" s="1">
        <v>7.2</v>
      </c>
      <c r="AL552" s="1"/>
      <c r="AM552" s="1"/>
      <c r="AN552" s="1"/>
      <c r="AO552" s="1"/>
      <c r="AP552" s="1"/>
      <c r="AQ552" s="1"/>
      <c r="AR552" s="1" t="s">
        <v>98</v>
      </c>
      <c r="AS552" s="1" t="s">
        <v>10394</v>
      </c>
      <c r="AT552" s="1" t="s">
        <v>100</v>
      </c>
      <c r="AU552" s="1" t="s">
        <v>101</v>
      </c>
      <c r="AV552" s="1">
        <v>72.24</v>
      </c>
      <c r="AW552" s="1"/>
      <c r="AX552" s="1" t="s">
        <v>335</v>
      </c>
      <c r="AY552" s="1" t="s">
        <v>10395</v>
      </c>
      <c r="AZ552" s="1" t="s">
        <v>681</v>
      </c>
      <c r="BA552" s="1" t="s">
        <v>436</v>
      </c>
      <c r="BB552" s="1">
        <v>89.92</v>
      </c>
      <c r="BC552" s="1">
        <v>9.72</v>
      </c>
      <c r="BD552" s="1"/>
      <c r="BE552" s="1"/>
      <c r="BF552" s="1"/>
      <c r="BG552" s="1"/>
      <c r="BH552" s="1"/>
      <c r="BI552" s="1"/>
      <c r="BJ552" s="1" t="s">
        <v>10396</v>
      </c>
      <c r="BK552" s="1" t="s">
        <v>10397</v>
      </c>
      <c r="BL552" s="1" t="s">
        <v>619</v>
      </c>
      <c r="BM552" s="1" t="s">
        <v>10398</v>
      </c>
      <c r="BN552" s="1">
        <v>7</v>
      </c>
      <c r="BO552" s="1"/>
      <c r="BP552" s="1" t="str">
        <f>HYPERLINK("https://nconnect.nicmar.ac.in/storage/profile/ProfilePhoto_P25700510_528964.jpg","Download")</f>
        <v>0</v>
      </c>
      <c r="BQ552" s="3"/>
      <c r="BR552" s="3"/>
    </row>
    <row r="553" spans="1:70">
      <c r="A553" s="1" t="s">
        <v>70</v>
      </c>
      <c r="B553" s="1" t="s">
        <v>1269</v>
      </c>
      <c r="C553" s="1" t="s">
        <v>10399</v>
      </c>
      <c r="D553" s="1" t="s">
        <v>10400</v>
      </c>
      <c r="E553" s="1" t="s">
        <v>1139</v>
      </c>
      <c r="F553" s="1" t="s">
        <v>2674</v>
      </c>
      <c r="G553" s="1" t="s">
        <v>10401</v>
      </c>
      <c r="H553" s="1" t="s">
        <v>10402</v>
      </c>
      <c r="I553" s="1" t="s">
        <v>10403</v>
      </c>
      <c r="J553" s="1">
        <v>7038723267</v>
      </c>
      <c r="K553" s="1" t="s">
        <v>79</v>
      </c>
      <c r="L553" s="1" t="s">
        <v>10404</v>
      </c>
      <c r="M553" s="1" t="s">
        <v>81</v>
      </c>
      <c r="N553" s="1" t="s">
        <v>1618</v>
      </c>
      <c r="O553" s="1"/>
      <c r="P553" s="1" t="s">
        <v>1298</v>
      </c>
      <c r="Q553" s="1" t="s">
        <v>10405</v>
      </c>
      <c r="R553" s="1" t="s">
        <v>10406</v>
      </c>
      <c r="S553" s="1">
        <v>9881233297</v>
      </c>
      <c r="T553" s="1" t="s">
        <v>3190</v>
      </c>
      <c r="U553" s="1" t="s">
        <v>6718</v>
      </c>
      <c r="V553" s="1">
        <v>7721811600</v>
      </c>
      <c r="W553" s="1" t="s">
        <v>273</v>
      </c>
      <c r="X553" s="1" t="s">
        <v>10407</v>
      </c>
      <c r="Y553" s="1" t="s">
        <v>5915</v>
      </c>
      <c r="Z553" s="1" t="s">
        <v>92</v>
      </c>
      <c r="AA553" s="1" t="s">
        <v>10407</v>
      </c>
      <c r="AB553" s="1" t="s">
        <v>5915</v>
      </c>
      <c r="AC553" s="1" t="s">
        <v>92</v>
      </c>
      <c r="AD553" s="1">
        <v>8.23</v>
      </c>
      <c r="AE553" s="1" t="s">
        <v>93</v>
      </c>
      <c r="AF553" s="1" t="s">
        <v>10408</v>
      </c>
      <c r="AG553" s="1" t="s">
        <v>307</v>
      </c>
      <c r="AH553" s="1" t="s">
        <v>678</v>
      </c>
      <c r="AI553" s="1" t="s">
        <v>166</v>
      </c>
      <c r="AJ553" s="1">
        <v>63</v>
      </c>
      <c r="AK553" s="1"/>
      <c r="AL553" s="1"/>
      <c r="AM553" s="1"/>
      <c r="AN553" s="1"/>
      <c r="AO553" s="1"/>
      <c r="AP553" s="1"/>
      <c r="AQ553" s="1"/>
      <c r="AR553" s="1" t="s">
        <v>434</v>
      </c>
      <c r="AS553" s="1" t="s">
        <v>10409</v>
      </c>
      <c r="AT553" s="1" t="s">
        <v>636</v>
      </c>
      <c r="AU553" s="1" t="s">
        <v>436</v>
      </c>
      <c r="AV553" s="1">
        <v>80.74</v>
      </c>
      <c r="AW553" s="1"/>
      <c r="AX553" s="1" t="s">
        <v>361</v>
      </c>
      <c r="AY553" s="1" t="s">
        <v>10410</v>
      </c>
      <c r="AZ553" s="1" t="s">
        <v>1407</v>
      </c>
      <c r="BA553" s="1" t="s">
        <v>202</v>
      </c>
      <c r="BB553" s="1">
        <v>67.68</v>
      </c>
      <c r="BC553" s="1">
        <v>7.32</v>
      </c>
      <c r="BD553" s="1"/>
      <c r="BE553" s="1"/>
      <c r="BF553" s="1"/>
      <c r="BG553" s="1"/>
      <c r="BH553" s="1"/>
      <c r="BI553" s="1"/>
      <c r="BJ553" s="1" t="s">
        <v>10411</v>
      </c>
      <c r="BK553" s="1"/>
      <c r="BL553" s="1"/>
      <c r="BM553" s="1" t="s">
        <v>10412</v>
      </c>
      <c r="BN553" s="1">
        <v>39</v>
      </c>
      <c r="BO553" s="1"/>
      <c r="BP553" s="1" t="str">
        <f>HYPERLINK("https://nconnect.nicmar.ac.in/storage/profile/ProfilePhoto_P25700511_196873.jpg","Download")</f>
        <v>0</v>
      </c>
      <c r="BQ553" s="3"/>
      <c r="BR553" s="3"/>
    </row>
    <row r="554" spans="1:70">
      <c r="A554" s="1" t="s">
        <v>70</v>
      </c>
      <c r="B554" s="1" t="s">
        <v>1269</v>
      </c>
      <c r="C554" s="1" t="s">
        <v>10413</v>
      </c>
      <c r="D554" s="1" t="s">
        <v>1271</v>
      </c>
      <c r="E554" s="1" t="s">
        <v>8524</v>
      </c>
      <c r="F554" s="1" t="s">
        <v>10414</v>
      </c>
      <c r="G554" s="1" t="s">
        <v>10415</v>
      </c>
      <c r="H554" s="1" t="s">
        <v>10416</v>
      </c>
      <c r="I554" s="1" t="s">
        <v>10417</v>
      </c>
      <c r="J554" s="1">
        <v>9902316104</v>
      </c>
      <c r="K554" s="1" t="s">
        <v>79</v>
      </c>
      <c r="L554" s="1" t="s">
        <v>5567</v>
      </c>
      <c r="M554" s="1" t="s">
        <v>81</v>
      </c>
      <c r="N554" s="1" t="s">
        <v>4750</v>
      </c>
      <c r="O554" s="1"/>
      <c r="P554" s="1" t="s">
        <v>1323</v>
      </c>
      <c r="Q554" s="1" t="s">
        <v>10418</v>
      </c>
      <c r="R554" s="1" t="s">
        <v>10419</v>
      </c>
      <c r="S554" s="1">
        <v>9035358740</v>
      </c>
      <c r="T554" s="1" t="s">
        <v>10420</v>
      </c>
      <c r="U554" s="1" t="s">
        <v>10421</v>
      </c>
      <c r="V554" s="1">
        <v>9740798983</v>
      </c>
      <c r="W554" s="1" t="s">
        <v>273</v>
      </c>
      <c r="X554" s="1" t="s">
        <v>10422</v>
      </c>
      <c r="Y554" s="1" t="s">
        <v>10423</v>
      </c>
      <c r="Z554" s="1" t="s">
        <v>1084</v>
      </c>
      <c r="AA554" s="1" t="s">
        <v>10422</v>
      </c>
      <c r="AB554" s="1" t="s">
        <v>10423</v>
      </c>
      <c r="AC554" s="1" t="s">
        <v>1084</v>
      </c>
      <c r="AD554" s="1">
        <v>8.29</v>
      </c>
      <c r="AE554" s="1" t="s">
        <v>93</v>
      </c>
      <c r="AF554" s="1" t="s">
        <v>10424</v>
      </c>
      <c r="AG554" s="1" t="s">
        <v>1515</v>
      </c>
      <c r="AH554" s="1" t="s">
        <v>7997</v>
      </c>
      <c r="AI554" s="1" t="s">
        <v>1307</v>
      </c>
      <c r="AJ554" s="1">
        <v>86.56</v>
      </c>
      <c r="AK554" s="1"/>
      <c r="AL554" s="1" t="s">
        <v>10425</v>
      </c>
      <c r="AM554" s="1" t="s">
        <v>2056</v>
      </c>
      <c r="AN554" s="1" t="s">
        <v>308</v>
      </c>
      <c r="AO554" s="1" t="s">
        <v>941</v>
      </c>
      <c r="AP554" s="1">
        <v>85</v>
      </c>
      <c r="AQ554" s="1"/>
      <c r="AR554" s="1"/>
      <c r="AS554" s="1"/>
      <c r="AT554" s="1"/>
      <c r="AU554" s="1"/>
      <c r="AV554" s="1"/>
      <c r="AW554" s="1"/>
      <c r="AX554" s="1" t="s">
        <v>8783</v>
      </c>
      <c r="AY554" s="1" t="s">
        <v>8413</v>
      </c>
      <c r="AZ554" s="1" t="s">
        <v>228</v>
      </c>
      <c r="BA554" s="1" t="s">
        <v>1584</v>
      </c>
      <c r="BB554" s="1">
        <v>66.1</v>
      </c>
      <c r="BC554" s="1">
        <v>7.36</v>
      </c>
      <c r="BD554" s="1"/>
      <c r="BE554" s="1"/>
      <c r="BF554" s="1"/>
      <c r="BG554" s="1"/>
      <c r="BH554" s="1"/>
      <c r="BI554" s="1"/>
      <c r="BJ554" s="1" t="s">
        <v>10426</v>
      </c>
      <c r="BK554" s="1"/>
      <c r="BL554" s="1"/>
      <c r="BM554" s="1" t="s">
        <v>10427</v>
      </c>
      <c r="BN554" s="1">
        <v>26</v>
      </c>
      <c r="BO554" s="1" t="s">
        <v>10428</v>
      </c>
      <c r="BP554" s="1" t="str">
        <f>HYPERLINK("https://nconnect.nicmar.ac.in/storage/profile/ProfilePhoto_P25700512_136547.jpg","Download")</f>
        <v>0</v>
      </c>
      <c r="BQ554" s="3"/>
      <c r="BR554" s="3"/>
    </row>
    <row r="555" spans="1:70">
      <c r="A555" s="1" t="s">
        <v>70</v>
      </c>
      <c r="B555" s="1" t="s">
        <v>1269</v>
      </c>
      <c r="C555" s="1" t="s">
        <v>10429</v>
      </c>
      <c r="D555" s="1" t="s">
        <v>8418</v>
      </c>
      <c r="E555" s="1"/>
      <c r="F555" s="1" t="s">
        <v>2190</v>
      </c>
      <c r="G555" s="1" t="s">
        <v>10430</v>
      </c>
      <c r="H555" s="1" t="s">
        <v>10431</v>
      </c>
      <c r="I555" s="1" t="s">
        <v>10432</v>
      </c>
      <c r="J555" s="1">
        <v>9844434731</v>
      </c>
      <c r="K555" s="1" t="s">
        <v>79</v>
      </c>
      <c r="L555" s="1" t="s">
        <v>10433</v>
      </c>
      <c r="M555" s="1" t="s">
        <v>81</v>
      </c>
      <c r="N555" s="1" t="s">
        <v>10434</v>
      </c>
      <c r="O555" s="1"/>
      <c r="P555" s="1" t="s">
        <v>1323</v>
      </c>
      <c r="Q555" s="1" t="s">
        <v>10435</v>
      </c>
      <c r="R555" s="1" t="s">
        <v>10436</v>
      </c>
      <c r="S555" s="1">
        <v>7090443380</v>
      </c>
      <c r="T555" s="1" t="s">
        <v>1398</v>
      </c>
      <c r="U555" s="1" t="s">
        <v>10437</v>
      </c>
      <c r="V555" s="1">
        <v>9108558880</v>
      </c>
      <c r="W555" s="1" t="s">
        <v>156</v>
      </c>
      <c r="X555" s="1" t="s">
        <v>10438</v>
      </c>
      <c r="Y555" s="1" t="s">
        <v>1083</v>
      </c>
      <c r="Z555" s="1" t="s">
        <v>1084</v>
      </c>
      <c r="AA555" s="1" t="s">
        <v>10439</v>
      </c>
      <c r="AB555" s="1" t="s">
        <v>10440</v>
      </c>
      <c r="AC555" s="1" t="s">
        <v>1084</v>
      </c>
      <c r="AD555" s="1">
        <v>8.21</v>
      </c>
      <c r="AE555" s="1" t="s">
        <v>93</v>
      </c>
      <c r="AF555" s="1" t="s">
        <v>10441</v>
      </c>
      <c r="AG555" s="1" t="s">
        <v>2745</v>
      </c>
      <c r="AH555" s="1" t="s">
        <v>165</v>
      </c>
      <c r="AI555" s="1" t="s">
        <v>1307</v>
      </c>
      <c r="AJ555" s="1">
        <v>83.04</v>
      </c>
      <c r="AK555" s="1"/>
      <c r="AL555" s="1" t="s">
        <v>10442</v>
      </c>
      <c r="AM555" s="1" t="s">
        <v>2056</v>
      </c>
      <c r="AN555" s="1" t="s">
        <v>433</v>
      </c>
      <c r="AO555" s="1" t="s">
        <v>941</v>
      </c>
      <c r="AP555" s="1">
        <v>70.16</v>
      </c>
      <c r="AQ555" s="1"/>
      <c r="AR555" s="1"/>
      <c r="AS555" s="1"/>
      <c r="AT555" s="1"/>
      <c r="AU555" s="1"/>
      <c r="AV555" s="1"/>
      <c r="AW555" s="1"/>
      <c r="AX555" s="1" t="s">
        <v>1519</v>
      </c>
      <c r="AY555" s="1" t="s">
        <v>10443</v>
      </c>
      <c r="AZ555" s="1" t="s">
        <v>228</v>
      </c>
      <c r="BA555" s="1" t="s">
        <v>413</v>
      </c>
      <c r="BB555" s="1">
        <v>66.7</v>
      </c>
      <c r="BC555" s="1">
        <v>7.42</v>
      </c>
      <c r="BD555" s="1"/>
      <c r="BE555" s="1"/>
      <c r="BF555" s="1"/>
      <c r="BG555" s="1"/>
      <c r="BH555" s="1"/>
      <c r="BI555" s="1"/>
      <c r="BJ555" s="1" t="s">
        <v>10444</v>
      </c>
      <c r="BK555" s="1"/>
      <c r="BL555" s="1"/>
      <c r="BM555" s="1" t="s">
        <v>10445</v>
      </c>
      <c r="BN555" s="1">
        <v>26</v>
      </c>
      <c r="BO555" s="1" t="s">
        <v>10446</v>
      </c>
      <c r="BP555" s="1" t="str">
        <f>HYPERLINK("https://nconnect.nicmar.ac.in/storage/profile/ProfilePhoto_P25700513_941562.jpg","Download")</f>
        <v>0</v>
      </c>
      <c r="BQ555" s="3"/>
      <c r="BR555" s="3"/>
    </row>
    <row r="556" spans="1:70">
      <c r="A556" s="1" t="s">
        <v>70</v>
      </c>
      <c r="B556" s="1" t="s">
        <v>1269</v>
      </c>
      <c r="C556" s="1" t="s">
        <v>10447</v>
      </c>
      <c r="D556" s="1" t="s">
        <v>8330</v>
      </c>
      <c r="E556" s="1"/>
      <c r="F556" s="1" t="s">
        <v>1226</v>
      </c>
      <c r="G556" s="1" t="s">
        <v>10448</v>
      </c>
      <c r="H556" s="1" t="s">
        <v>10449</v>
      </c>
      <c r="I556" s="1" t="s">
        <v>10450</v>
      </c>
      <c r="J556" s="1">
        <v>8219340773</v>
      </c>
      <c r="K556" s="1" t="s">
        <v>79</v>
      </c>
      <c r="L556" s="1" t="s">
        <v>10451</v>
      </c>
      <c r="M556" s="1" t="s">
        <v>81</v>
      </c>
      <c r="N556" s="1" t="s">
        <v>241</v>
      </c>
      <c r="O556" s="1"/>
      <c r="P556" s="1" t="s">
        <v>1298</v>
      </c>
      <c r="Q556" s="1" t="s">
        <v>10452</v>
      </c>
      <c r="R556" s="1" t="s">
        <v>10453</v>
      </c>
      <c r="S556" s="1">
        <v>8219544128</v>
      </c>
      <c r="T556" s="1" t="s">
        <v>10454</v>
      </c>
      <c r="U556" s="1" t="s">
        <v>10455</v>
      </c>
      <c r="V556" s="1">
        <v>9418016871</v>
      </c>
      <c r="W556" s="1" t="s">
        <v>1351</v>
      </c>
      <c r="X556" s="1" t="s">
        <v>10456</v>
      </c>
      <c r="Y556" s="1" t="s">
        <v>4676</v>
      </c>
      <c r="Z556" s="1" t="s">
        <v>3419</v>
      </c>
      <c r="AA556" s="1" t="s">
        <v>10456</v>
      </c>
      <c r="AB556" s="1" t="s">
        <v>4676</v>
      </c>
      <c r="AC556" s="1" t="s">
        <v>3419</v>
      </c>
      <c r="AD556" s="1">
        <v>8.34</v>
      </c>
      <c r="AE556" s="1" t="s">
        <v>93</v>
      </c>
      <c r="AF556" s="1" t="s">
        <v>10457</v>
      </c>
      <c r="AG556" s="1" t="s">
        <v>10458</v>
      </c>
      <c r="AH556" s="1" t="s">
        <v>479</v>
      </c>
      <c r="AI556" s="1" t="s">
        <v>166</v>
      </c>
      <c r="AJ556" s="1">
        <v>65.6</v>
      </c>
      <c r="AK556" s="1"/>
      <c r="AL556" s="1" t="s">
        <v>10459</v>
      </c>
      <c r="AM556" s="1" t="s">
        <v>10460</v>
      </c>
      <c r="AN556" s="1" t="s">
        <v>433</v>
      </c>
      <c r="AO556" s="1" t="s">
        <v>699</v>
      </c>
      <c r="AP556" s="1">
        <v>67</v>
      </c>
      <c r="AQ556" s="1"/>
      <c r="AR556" s="1"/>
      <c r="AS556" s="1"/>
      <c r="AT556" s="1"/>
      <c r="AU556" s="1"/>
      <c r="AV556" s="1"/>
      <c r="AW556" s="1"/>
      <c r="AX556" s="1" t="s">
        <v>10461</v>
      </c>
      <c r="AY556" s="1" t="s">
        <v>10462</v>
      </c>
      <c r="AZ556" s="1" t="s">
        <v>170</v>
      </c>
      <c r="BA556" s="1" t="s">
        <v>1938</v>
      </c>
      <c r="BB556" s="1">
        <v>74.29</v>
      </c>
      <c r="BC556" s="1">
        <v>7.82</v>
      </c>
      <c r="BD556" s="1"/>
      <c r="BE556" s="1"/>
      <c r="BF556" s="1"/>
      <c r="BG556" s="1"/>
      <c r="BH556" s="1"/>
      <c r="BI556" s="1"/>
      <c r="BJ556" s="1" t="s">
        <v>10463</v>
      </c>
      <c r="BK556" s="1"/>
      <c r="BL556" s="1"/>
      <c r="BM556" s="1" t="s">
        <v>10464</v>
      </c>
      <c r="BN556" s="1">
        <v>39</v>
      </c>
      <c r="BO556" s="1" t="s">
        <v>10465</v>
      </c>
      <c r="BP556" s="1" t="str">
        <f>HYPERLINK("https://nconnect.nicmar.ac.in/storage/profile/ProfilePhoto_P25700514_542397.jpg","Download")</f>
        <v>0</v>
      </c>
      <c r="BQ556" s="3"/>
      <c r="BR556" s="3"/>
    </row>
    <row r="557" spans="1:70">
      <c r="A557" s="1" t="s">
        <v>70</v>
      </c>
      <c r="B557" s="1" t="s">
        <v>1269</v>
      </c>
      <c r="C557" s="1" t="s">
        <v>10466</v>
      </c>
      <c r="D557" s="1" t="s">
        <v>5905</v>
      </c>
      <c r="E557" s="1" t="s">
        <v>3052</v>
      </c>
      <c r="F557" s="1" t="s">
        <v>10467</v>
      </c>
      <c r="G557" s="1" t="s">
        <v>10468</v>
      </c>
      <c r="H557" s="1" t="s">
        <v>10469</v>
      </c>
      <c r="I557" s="1" t="s">
        <v>10470</v>
      </c>
      <c r="J557" s="1">
        <v>9922596396</v>
      </c>
      <c r="K557" s="1" t="s">
        <v>79</v>
      </c>
      <c r="L557" s="1" t="s">
        <v>349</v>
      </c>
      <c r="M557" s="1" t="s">
        <v>81</v>
      </c>
      <c r="N557" s="1" t="s">
        <v>1618</v>
      </c>
      <c r="O557" s="1"/>
      <c r="P557" s="1" t="s">
        <v>1298</v>
      </c>
      <c r="Q557" s="1" t="s">
        <v>10471</v>
      </c>
      <c r="R557" s="1" t="s">
        <v>3052</v>
      </c>
      <c r="S557" s="1">
        <v>9822596346</v>
      </c>
      <c r="T557" s="1" t="s">
        <v>154</v>
      </c>
      <c r="U557" s="1" t="s">
        <v>10472</v>
      </c>
      <c r="V557" s="1">
        <v>9404403646</v>
      </c>
      <c r="W557" s="1" t="s">
        <v>156</v>
      </c>
      <c r="X557" s="1" t="s">
        <v>10473</v>
      </c>
      <c r="Y557" s="1" t="s">
        <v>5915</v>
      </c>
      <c r="Z557" s="1" t="s">
        <v>92</v>
      </c>
      <c r="AA557" s="1" t="s">
        <v>10473</v>
      </c>
      <c r="AB557" s="1" t="s">
        <v>5915</v>
      </c>
      <c r="AC557" s="1" t="s">
        <v>92</v>
      </c>
      <c r="AD557" s="1">
        <v>8.66</v>
      </c>
      <c r="AE557" s="1" t="s">
        <v>93</v>
      </c>
      <c r="AF557" s="1" t="s">
        <v>10474</v>
      </c>
      <c r="AG557" s="1" t="s">
        <v>3549</v>
      </c>
      <c r="AH557" s="1" t="s">
        <v>165</v>
      </c>
      <c r="AI557" s="1" t="s">
        <v>281</v>
      </c>
      <c r="AJ557" s="1">
        <v>87.2</v>
      </c>
      <c r="AK557" s="1">
        <v>0</v>
      </c>
      <c r="AL557" s="1" t="s">
        <v>10475</v>
      </c>
      <c r="AM557" s="1" t="s">
        <v>3549</v>
      </c>
      <c r="AN557" s="1" t="s">
        <v>433</v>
      </c>
      <c r="AO557" s="1" t="s">
        <v>941</v>
      </c>
      <c r="AP557" s="1">
        <v>63.54</v>
      </c>
      <c r="AQ557" s="1">
        <v>0</v>
      </c>
      <c r="AR557" s="1"/>
      <c r="AS557" s="1"/>
      <c r="AT557" s="1"/>
      <c r="AU557" s="1"/>
      <c r="AV557" s="1"/>
      <c r="AW557" s="1"/>
      <c r="AX557" s="1" t="s">
        <v>361</v>
      </c>
      <c r="AY557" s="1" t="s">
        <v>10476</v>
      </c>
      <c r="AZ557" s="1" t="s">
        <v>363</v>
      </c>
      <c r="BA557" s="1" t="s">
        <v>202</v>
      </c>
      <c r="BB557" s="1">
        <v>66</v>
      </c>
      <c r="BC557" s="1">
        <v>7.35</v>
      </c>
      <c r="BD557" s="1"/>
      <c r="BE557" s="1"/>
      <c r="BF557" s="1"/>
      <c r="BG557" s="1"/>
      <c r="BH557" s="1"/>
      <c r="BI557" s="1"/>
      <c r="BJ557" s="1" t="s">
        <v>364</v>
      </c>
      <c r="BK557" s="1"/>
      <c r="BL557" s="1"/>
      <c r="BM557" s="1" t="s">
        <v>10477</v>
      </c>
      <c r="BN557" s="1">
        <v>11</v>
      </c>
      <c r="BO557" s="1"/>
      <c r="BP557" s="1" t="str">
        <f>HYPERLINK("https://nconnect.nicmar.ac.in/storage/profile/ProfilePhoto_P25700515_823165.jpg","Download")</f>
        <v>0</v>
      </c>
      <c r="BQ557" s="3"/>
      <c r="BR557" s="3"/>
    </row>
    <row r="558" spans="1:70">
      <c r="A558" s="1" t="s">
        <v>70</v>
      </c>
      <c r="B558" s="1" t="s">
        <v>1269</v>
      </c>
      <c r="C558" s="1" t="s">
        <v>10478</v>
      </c>
      <c r="D558" s="1" t="s">
        <v>533</v>
      </c>
      <c r="E558" s="1" t="s">
        <v>756</v>
      </c>
      <c r="F558" s="1" t="s">
        <v>10479</v>
      </c>
      <c r="G558" s="1" t="s">
        <v>10480</v>
      </c>
      <c r="H558" s="1" t="s">
        <v>10481</v>
      </c>
      <c r="I558" s="1" t="s">
        <v>10482</v>
      </c>
      <c r="J558" s="1">
        <v>9307621134</v>
      </c>
      <c r="K558" s="1" t="s">
        <v>79</v>
      </c>
      <c r="L558" s="1" t="s">
        <v>10483</v>
      </c>
      <c r="M558" s="1" t="s">
        <v>81</v>
      </c>
      <c r="N558" s="1" t="s">
        <v>1418</v>
      </c>
      <c r="O558" s="1"/>
      <c r="P558" s="1" t="s">
        <v>1278</v>
      </c>
      <c r="Q558" s="1" t="s">
        <v>10484</v>
      </c>
      <c r="R558" s="1" t="s">
        <v>756</v>
      </c>
      <c r="S558" s="1">
        <v>9096785329</v>
      </c>
      <c r="T558" s="1" t="s">
        <v>120</v>
      </c>
      <c r="U558" s="1" t="s">
        <v>10485</v>
      </c>
      <c r="V558" s="1">
        <v>8788918431</v>
      </c>
      <c r="W558" s="1" t="s">
        <v>156</v>
      </c>
      <c r="X558" s="1" t="s">
        <v>10486</v>
      </c>
      <c r="Y558" s="1" t="s">
        <v>191</v>
      </c>
      <c r="Z558" s="1" t="s">
        <v>92</v>
      </c>
      <c r="AA558" s="1" t="s">
        <v>10487</v>
      </c>
      <c r="AB558" s="1" t="s">
        <v>4322</v>
      </c>
      <c r="AC558" s="1" t="s">
        <v>92</v>
      </c>
      <c r="AD558" s="1">
        <v>8.96</v>
      </c>
      <c r="AE558" s="1" t="s">
        <v>93</v>
      </c>
      <c r="AF558" s="1" t="s">
        <v>10488</v>
      </c>
      <c r="AG558" s="1" t="s">
        <v>160</v>
      </c>
      <c r="AH558" s="1" t="s">
        <v>161</v>
      </c>
      <c r="AI558" s="1" t="s">
        <v>162</v>
      </c>
      <c r="AJ558" s="1">
        <v>89.2</v>
      </c>
      <c r="AK558" s="1"/>
      <c r="AL558" s="1"/>
      <c r="AM558" s="1"/>
      <c r="AN558" s="1"/>
      <c r="AO558" s="1"/>
      <c r="AP558" s="1"/>
      <c r="AQ558" s="1"/>
      <c r="AR558" s="1" t="s">
        <v>98</v>
      </c>
      <c r="AS558" s="1" t="s">
        <v>10489</v>
      </c>
      <c r="AT558" s="1" t="s">
        <v>733</v>
      </c>
      <c r="AU558" s="1" t="s">
        <v>433</v>
      </c>
      <c r="AV558" s="1">
        <v>82.36</v>
      </c>
      <c r="AW558" s="1"/>
      <c r="AX558" s="1" t="s">
        <v>361</v>
      </c>
      <c r="AY558" s="1" t="s">
        <v>10490</v>
      </c>
      <c r="AZ558" s="1" t="s">
        <v>201</v>
      </c>
      <c r="BA558" s="1" t="s">
        <v>105</v>
      </c>
      <c r="BB558" s="1">
        <v>83.3</v>
      </c>
      <c r="BC558" s="1">
        <v>9.36</v>
      </c>
      <c r="BD558" s="1"/>
      <c r="BE558" s="1"/>
      <c r="BF558" s="1"/>
      <c r="BG558" s="1"/>
      <c r="BH558" s="1"/>
      <c r="BI558" s="1"/>
      <c r="BJ558" s="1" t="s">
        <v>10491</v>
      </c>
      <c r="BK558" s="1" t="s">
        <v>10492</v>
      </c>
      <c r="BL558" s="1" t="s">
        <v>1523</v>
      </c>
      <c r="BM558" s="1" t="s">
        <v>10493</v>
      </c>
      <c r="BN558" s="1">
        <v>8</v>
      </c>
      <c r="BO558" s="1"/>
      <c r="BP558" s="1" t="str">
        <f>HYPERLINK("https://nconnect.nicmar.ac.in/storage/profile/ProfilePhoto_P25700516_637824.jpg","Download")</f>
        <v>0</v>
      </c>
      <c r="BQ558" s="3"/>
      <c r="BR558" s="3"/>
    </row>
    <row r="559" spans="1:70">
      <c r="A559" s="1" t="s">
        <v>70</v>
      </c>
      <c r="B559" s="1" t="s">
        <v>1269</v>
      </c>
      <c r="C559" s="1" t="s">
        <v>10494</v>
      </c>
      <c r="D559" s="1" t="s">
        <v>3297</v>
      </c>
      <c r="E559" s="1" t="s">
        <v>10495</v>
      </c>
      <c r="F559" s="1" t="s">
        <v>10496</v>
      </c>
      <c r="G559" s="1" t="s">
        <v>10497</v>
      </c>
      <c r="H559" s="1" t="s">
        <v>10498</v>
      </c>
      <c r="I559" s="1" t="s">
        <v>10499</v>
      </c>
      <c r="J559" s="1">
        <v>9076063062</v>
      </c>
      <c r="K559" s="1" t="s">
        <v>79</v>
      </c>
      <c r="L559" s="1" t="s">
        <v>2432</v>
      </c>
      <c r="M559" s="1" t="s">
        <v>81</v>
      </c>
      <c r="N559" s="1" t="s">
        <v>10500</v>
      </c>
      <c r="O559" s="1"/>
      <c r="P559" s="1" t="s">
        <v>1323</v>
      </c>
      <c r="Q559" s="1" t="s">
        <v>10501</v>
      </c>
      <c r="R559" s="1" t="s">
        <v>10502</v>
      </c>
      <c r="S559" s="1">
        <v>9324239435</v>
      </c>
      <c r="T559" s="1" t="s">
        <v>10503</v>
      </c>
      <c r="U559" s="1" t="s">
        <v>10504</v>
      </c>
      <c r="V559" s="1">
        <v>9322753316</v>
      </c>
      <c r="W559" s="1" t="s">
        <v>156</v>
      </c>
      <c r="X559" s="1" t="s">
        <v>10505</v>
      </c>
      <c r="Y559" s="1" t="s">
        <v>766</v>
      </c>
      <c r="Z559" s="1" t="s">
        <v>92</v>
      </c>
      <c r="AA559" s="1" t="s">
        <v>10505</v>
      </c>
      <c r="AB559" s="1" t="s">
        <v>766</v>
      </c>
      <c r="AC559" s="1" t="s">
        <v>92</v>
      </c>
      <c r="AD559" s="1">
        <v>8.23</v>
      </c>
      <c r="AE559" s="1" t="s">
        <v>93</v>
      </c>
      <c r="AF559" s="1" t="s">
        <v>10506</v>
      </c>
      <c r="AG559" s="1" t="s">
        <v>476</v>
      </c>
      <c r="AH559" s="1" t="s">
        <v>162</v>
      </c>
      <c r="AI559" s="1" t="s">
        <v>195</v>
      </c>
      <c r="AJ559" s="1">
        <v>76.8</v>
      </c>
      <c r="AK559" s="1"/>
      <c r="AL559" s="1" t="s">
        <v>10507</v>
      </c>
      <c r="AM559" s="1" t="s">
        <v>476</v>
      </c>
      <c r="AN559" s="1" t="s">
        <v>383</v>
      </c>
      <c r="AO559" s="1" t="s">
        <v>198</v>
      </c>
      <c r="AP559" s="1">
        <v>66.31</v>
      </c>
      <c r="AQ559" s="1"/>
      <c r="AR559" s="1"/>
      <c r="AS559" s="1"/>
      <c r="AT559" s="1"/>
      <c r="AU559" s="1"/>
      <c r="AV559" s="1"/>
      <c r="AW559" s="1"/>
      <c r="AX559" s="1" t="s">
        <v>253</v>
      </c>
      <c r="AY559" s="1" t="s">
        <v>10508</v>
      </c>
      <c r="AZ559" s="1" t="s">
        <v>201</v>
      </c>
      <c r="BA559" s="1" t="s">
        <v>549</v>
      </c>
      <c r="BB559" s="1">
        <v>68.56</v>
      </c>
      <c r="BC559" s="1">
        <v>7.76</v>
      </c>
      <c r="BD559" s="1"/>
      <c r="BE559" s="1"/>
      <c r="BF559" s="1"/>
      <c r="BG559" s="1"/>
      <c r="BH559" s="1"/>
      <c r="BI559" s="1"/>
      <c r="BJ559" s="1" t="s">
        <v>10509</v>
      </c>
      <c r="BK559" s="1" t="s">
        <v>10510</v>
      </c>
      <c r="BL559" s="1" t="s">
        <v>1385</v>
      </c>
      <c r="BM559" s="1" t="s">
        <v>10511</v>
      </c>
      <c r="BN559" s="1">
        <v>10</v>
      </c>
      <c r="BO559" s="1" t="s">
        <v>10512</v>
      </c>
      <c r="BP559" s="1" t="str">
        <f>HYPERLINK("https://nconnect.nicmar.ac.in/storage/profile/ProfilePhoto_P25700518_691543.jpg","Download")</f>
        <v>0</v>
      </c>
      <c r="BQ559" s="3"/>
      <c r="BR559" s="3"/>
    </row>
    <row r="560" spans="1:70">
      <c r="A560" s="1" t="s">
        <v>70</v>
      </c>
      <c r="B560" s="1" t="s">
        <v>1269</v>
      </c>
      <c r="C560" s="1" t="s">
        <v>10513</v>
      </c>
      <c r="D560" s="1" t="s">
        <v>793</v>
      </c>
      <c r="E560" s="1" t="s">
        <v>10514</v>
      </c>
      <c r="F560" s="1" t="s">
        <v>10515</v>
      </c>
      <c r="G560" s="1" t="s">
        <v>10516</v>
      </c>
      <c r="H560" s="1" t="s">
        <v>10517</v>
      </c>
      <c r="I560" s="1" t="s">
        <v>10518</v>
      </c>
      <c r="J560" s="1">
        <v>9021176308</v>
      </c>
      <c r="K560" s="1" t="s">
        <v>79</v>
      </c>
      <c r="L560" s="1" t="s">
        <v>2112</v>
      </c>
      <c r="M560" s="1" t="s">
        <v>81</v>
      </c>
      <c r="N560" s="1" t="s">
        <v>10519</v>
      </c>
      <c r="O560" s="1"/>
      <c r="P560" s="1" t="s">
        <v>1323</v>
      </c>
      <c r="Q560" s="1" t="s">
        <v>10520</v>
      </c>
      <c r="R560" s="1" t="s">
        <v>10514</v>
      </c>
      <c r="S560" s="1">
        <v>8788024171</v>
      </c>
      <c r="T560" s="1" t="s">
        <v>9059</v>
      </c>
      <c r="U560" s="1" t="s">
        <v>10521</v>
      </c>
      <c r="V560" s="1">
        <v>8482965232</v>
      </c>
      <c r="W560" s="1" t="s">
        <v>89</v>
      </c>
      <c r="X560" s="1" t="s">
        <v>10522</v>
      </c>
      <c r="Y560" s="1" t="s">
        <v>191</v>
      </c>
      <c r="Z560" s="1" t="s">
        <v>92</v>
      </c>
      <c r="AA560" s="1" t="s">
        <v>10523</v>
      </c>
      <c r="AB560" s="1" t="s">
        <v>158</v>
      </c>
      <c r="AC560" s="1" t="s">
        <v>92</v>
      </c>
      <c r="AD560" s="1">
        <v>7.25</v>
      </c>
      <c r="AE560" s="1" t="s">
        <v>93</v>
      </c>
      <c r="AF560" s="1" t="s">
        <v>10524</v>
      </c>
      <c r="AG560" s="1" t="s">
        <v>10525</v>
      </c>
      <c r="AH560" s="1" t="s">
        <v>161</v>
      </c>
      <c r="AI560" s="1" t="s">
        <v>162</v>
      </c>
      <c r="AJ560" s="1">
        <v>70.4</v>
      </c>
      <c r="AK560" s="1"/>
      <c r="AL560" s="1"/>
      <c r="AM560" s="1"/>
      <c r="AN560" s="1"/>
      <c r="AO560" s="1"/>
      <c r="AP560" s="1"/>
      <c r="AQ560" s="1"/>
      <c r="AR560" s="1" t="s">
        <v>98</v>
      </c>
      <c r="AS560" s="1" t="s">
        <v>10526</v>
      </c>
      <c r="AT560" s="1" t="s">
        <v>162</v>
      </c>
      <c r="AU560" s="1" t="s">
        <v>433</v>
      </c>
      <c r="AV560" s="1">
        <v>70.61</v>
      </c>
      <c r="AW560" s="1"/>
      <c r="AX560" s="1" t="s">
        <v>5304</v>
      </c>
      <c r="AY560" s="1" t="s">
        <v>10527</v>
      </c>
      <c r="AZ560" s="1" t="s">
        <v>310</v>
      </c>
      <c r="BA560" s="1" t="s">
        <v>105</v>
      </c>
      <c r="BB560" s="1">
        <v>72.86</v>
      </c>
      <c r="BC560" s="1">
        <v>8.71</v>
      </c>
      <c r="BD560" s="1"/>
      <c r="BE560" s="1"/>
      <c r="BF560" s="1"/>
      <c r="BG560" s="1"/>
      <c r="BH560" s="1"/>
      <c r="BI560" s="1"/>
      <c r="BJ560" s="1" t="s">
        <v>10528</v>
      </c>
      <c r="BK560" s="1" t="s">
        <v>10529</v>
      </c>
      <c r="BL560" s="1" t="s">
        <v>2186</v>
      </c>
      <c r="BM560" s="1" t="s">
        <v>10530</v>
      </c>
      <c r="BN560" s="1">
        <v>33</v>
      </c>
      <c r="BO560" s="1" t="s">
        <v>10531</v>
      </c>
      <c r="BP560" s="1" t="str">
        <f>HYPERLINK("https://nconnect.nicmar.ac.in/storage/profile/ProfilePhoto_P25700519_691532.jpg","Download")</f>
        <v>0</v>
      </c>
      <c r="BQ560" s="3"/>
      <c r="BR560" s="3"/>
    </row>
    <row r="561" spans="1:70">
      <c r="A561" s="1" t="s">
        <v>70</v>
      </c>
      <c r="B561" s="1" t="s">
        <v>1269</v>
      </c>
      <c r="C561" s="1" t="s">
        <v>10532</v>
      </c>
      <c r="D561" s="1" t="s">
        <v>2024</v>
      </c>
      <c r="E561" s="1" t="s">
        <v>2250</v>
      </c>
      <c r="F561" s="1" t="s">
        <v>596</v>
      </c>
      <c r="G561" s="1" t="s">
        <v>10533</v>
      </c>
      <c r="H561" s="1" t="s">
        <v>10534</v>
      </c>
      <c r="I561" s="1" t="s">
        <v>10535</v>
      </c>
      <c r="J561" s="1">
        <v>7799077947</v>
      </c>
      <c r="K561" s="1" t="s">
        <v>79</v>
      </c>
      <c r="L561" s="1" t="s">
        <v>3091</v>
      </c>
      <c r="M561" s="1" t="s">
        <v>81</v>
      </c>
      <c r="N561" s="1" t="s">
        <v>10536</v>
      </c>
      <c r="O561" s="1"/>
      <c r="P561" s="1" t="s">
        <v>1278</v>
      </c>
      <c r="Q561" s="1" t="s">
        <v>10537</v>
      </c>
      <c r="R561" s="1" t="s">
        <v>10538</v>
      </c>
      <c r="S561" s="1">
        <v>9848182964</v>
      </c>
      <c r="T561" s="1" t="s">
        <v>10539</v>
      </c>
      <c r="U561" s="1" t="s">
        <v>10540</v>
      </c>
      <c r="V561" s="1">
        <v>8341872855</v>
      </c>
      <c r="W561" s="1" t="s">
        <v>156</v>
      </c>
      <c r="X561" s="1" t="s">
        <v>10541</v>
      </c>
      <c r="Y561" s="1" t="s">
        <v>4818</v>
      </c>
      <c r="Z561" s="1" t="s">
        <v>609</v>
      </c>
      <c r="AA561" s="1" t="s">
        <v>10541</v>
      </c>
      <c r="AB561" s="1" t="s">
        <v>4818</v>
      </c>
      <c r="AC561" s="1" t="s">
        <v>609</v>
      </c>
      <c r="AD561" s="1">
        <v>7.79</v>
      </c>
      <c r="AE561" s="1" t="s">
        <v>93</v>
      </c>
      <c r="AF561" s="1" t="s">
        <v>10542</v>
      </c>
      <c r="AG561" s="1" t="s">
        <v>1064</v>
      </c>
      <c r="AH561" s="1" t="s">
        <v>162</v>
      </c>
      <c r="AI561" s="1" t="s">
        <v>195</v>
      </c>
      <c r="AJ561" s="1">
        <v>88.35</v>
      </c>
      <c r="AK561" s="1">
        <v>9.3</v>
      </c>
      <c r="AL561" s="1" t="s">
        <v>10543</v>
      </c>
      <c r="AM561" s="1" t="s">
        <v>10544</v>
      </c>
      <c r="AN561" s="1" t="s">
        <v>165</v>
      </c>
      <c r="AO561" s="1" t="s">
        <v>409</v>
      </c>
      <c r="AP561" s="1">
        <v>92.6</v>
      </c>
      <c r="AQ561" s="1">
        <v>9.26</v>
      </c>
      <c r="AR561" s="1"/>
      <c r="AS561" s="1"/>
      <c r="AT561" s="1"/>
      <c r="AU561" s="1"/>
      <c r="AV561" s="1"/>
      <c r="AW561" s="1"/>
      <c r="AX561" s="1" t="s">
        <v>10545</v>
      </c>
      <c r="AY561" s="1" t="s">
        <v>10546</v>
      </c>
      <c r="AZ561" s="1" t="s">
        <v>310</v>
      </c>
      <c r="BA561" s="1" t="s">
        <v>1090</v>
      </c>
      <c r="BB561" s="1">
        <v>62.7</v>
      </c>
      <c r="BC561" s="1">
        <v>6.77</v>
      </c>
      <c r="BD561" s="1"/>
      <c r="BE561" s="1"/>
      <c r="BF561" s="1"/>
      <c r="BG561" s="1"/>
      <c r="BH561" s="1"/>
      <c r="BI561" s="1"/>
      <c r="BJ561" s="1" t="s">
        <v>364</v>
      </c>
      <c r="BK561" s="1" t="s">
        <v>10547</v>
      </c>
      <c r="BL561" s="1" t="s">
        <v>484</v>
      </c>
      <c r="BM561" s="1" t="s">
        <v>10548</v>
      </c>
      <c r="BN561" s="1">
        <v>34</v>
      </c>
      <c r="BO561" s="1" t="s">
        <v>10549</v>
      </c>
      <c r="BP561" s="1" t="str">
        <f>HYPERLINK("https://nconnect.nicmar.ac.in/storage/profile/ProfilePhoto_P25700520_925738.jpg","Download")</f>
        <v>0</v>
      </c>
      <c r="BQ561" s="3"/>
      <c r="BR561" s="3"/>
    </row>
    <row r="562" spans="1:70">
      <c r="A562" s="1" t="s">
        <v>70</v>
      </c>
      <c r="B562" s="1" t="s">
        <v>1269</v>
      </c>
      <c r="C562" s="1" t="s">
        <v>10550</v>
      </c>
      <c r="D562" s="1" t="s">
        <v>10551</v>
      </c>
      <c r="E562" s="1" t="s">
        <v>10552</v>
      </c>
      <c r="F562" s="1" t="s">
        <v>10553</v>
      </c>
      <c r="G562" s="1" t="s">
        <v>10554</v>
      </c>
      <c r="H562" s="1" t="s">
        <v>10555</v>
      </c>
      <c r="I562" s="1" t="s">
        <v>10556</v>
      </c>
      <c r="J562" s="1">
        <v>9767879369</v>
      </c>
      <c r="K562" s="1" t="s">
        <v>79</v>
      </c>
      <c r="L562" s="1" t="s">
        <v>10557</v>
      </c>
      <c r="M562" s="1" t="s">
        <v>81</v>
      </c>
      <c r="N562" s="1" t="s">
        <v>6099</v>
      </c>
      <c r="O562" s="1"/>
      <c r="P562" s="1" t="s">
        <v>1278</v>
      </c>
      <c r="Q562" s="1" t="s">
        <v>10558</v>
      </c>
      <c r="R562" s="1" t="s">
        <v>10559</v>
      </c>
      <c r="S562" s="1">
        <v>9422360231</v>
      </c>
      <c r="T562" s="1" t="s">
        <v>10560</v>
      </c>
      <c r="U562" s="1" t="s">
        <v>10561</v>
      </c>
      <c r="V562" s="1">
        <v>9421931938</v>
      </c>
      <c r="W562" s="1" t="s">
        <v>156</v>
      </c>
      <c r="X562" s="1" t="s">
        <v>10562</v>
      </c>
      <c r="Y562" s="1" t="s">
        <v>8355</v>
      </c>
      <c r="Z562" s="1" t="s">
        <v>92</v>
      </c>
      <c r="AA562" s="1" t="s">
        <v>10562</v>
      </c>
      <c r="AB562" s="1" t="s">
        <v>8355</v>
      </c>
      <c r="AC562" s="1" t="s">
        <v>92</v>
      </c>
      <c r="AD562" s="1">
        <v>7.51</v>
      </c>
      <c r="AE562" s="1" t="s">
        <v>93</v>
      </c>
      <c r="AF562" s="1" t="s">
        <v>10563</v>
      </c>
      <c r="AG562" s="1" t="s">
        <v>10564</v>
      </c>
      <c r="AH562" s="1" t="s">
        <v>131</v>
      </c>
      <c r="AI562" s="1" t="s">
        <v>527</v>
      </c>
      <c r="AJ562" s="1">
        <v>71.2</v>
      </c>
      <c r="AK562" s="1">
        <v>7.8</v>
      </c>
      <c r="AL562" s="1" t="s">
        <v>10565</v>
      </c>
      <c r="AM562" s="1" t="s">
        <v>10566</v>
      </c>
      <c r="AN562" s="1" t="s">
        <v>733</v>
      </c>
      <c r="AO562" s="1" t="s">
        <v>101</v>
      </c>
      <c r="AP562" s="1">
        <v>60.31</v>
      </c>
      <c r="AQ562" s="1"/>
      <c r="AR562" s="1"/>
      <c r="AS562" s="1"/>
      <c r="AT562" s="1"/>
      <c r="AU562" s="1"/>
      <c r="AV562" s="1"/>
      <c r="AW562" s="1"/>
      <c r="AX562" s="1" t="s">
        <v>361</v>
      </c>
      <c r="AY562" s="1" t="s">
        <v>10567</v>
      </c>
      <c r="AZ562" s="1" t="s">
        <v>636</v>
      </c>
      <c r="BA562" s="1" t="s">
        <v>174</v>
      </c>
      <c r="BB562" s="1">
        <v>64.1</v>
      </c>
      <c r="BC562" s="1">
        <v>7.16</v>
      </c>
      <c r="BD562" s="1"/>
      <c r="BE562" s="1"/>
      <c r="BF562" s="1"/>
      <c r="BG562" s="1"/>
      <c r="BH562" s="1"/>
      <c r="BI562" s="1"/>
      <c r="BJ562" s="1" t="s">
        <v>4102</v>
      </c>
      <c r="BK562" s="1" t="s">
        <v>10568</v>
      </c>
      <c r="BL562" s="1" t="s">
        <v>484</v>
      </c>
      <c r="BM562" s="1"/>
      <c r="BN562" s="1"/>
      <c r="BO562" s="1"/>
      <c r="BP562" s="1" t="str">
        <f>HYPERLINK("https://nconnect.nicmar.ac.in/storage/profile/ProfilePhoto_P25700521_734961.jpg","Download")</f>
        <v>0</v>
      </c>
      <c r="BQ562" s="3"/>
      <c r="BR562" s="3"/>
    </row>
    <row r="563" spans="1:70">
      <c r="A563" s="1" t="s">
        <v>70</v>
      </c>
      <c r="B563" s="1" t="s">
        <v>1269</v>
      </c>
      <c r="C563" s="1" t="s">
        <v>10569</v>
      </c>
      <c r="D563" s="1" t="s">
        <v>10570</v>
      </c>
      <c r="E563" s="1"/>
      <c r="F563" s="1" t="s">
        <v>10571</v>
      </c>
      <c r="G563" s="1" t="s">
        <v>10572</v>
      </c>
      <c r="H563" s="1" t="s">
        <v>10573</v>
      </c>
      <c r="I563" s="1" t="s">
        <v>10574</v>
      </c>
      <c r="J563" s="1">
        <v>7001957741</v>
      </c>
      <c r="K563" s="1" t="s">
        <v>79</v>
      </c>
      <c r="L563" s="1" t="s">
        <v>10575</v>
      </c>
      <c r="M563" s="1" t="s">
        <v>81</v>
      </c>
      <c r="N563" s="1" t="s">
        <v>4395</v>
      </c>
      <c r="O563" s="1"/>
      <c r="P563" s="1" t="s">
        <v>1323</v>
      </c>
      <c r="Q563" s="1" t="s">
        <v>10576</v>
      </c>
      <c r="R563" s="1" t="s">
        <v>10577</v>
      </c>
      <c r="S563" s="1">
        <v>9475017404</v>
      </c>
      <c r="T563" s="1" t="s">
        <v>10578</v>
      </c>
      <c r="U563" s="1" t="s">
        <v>10579</v>
      </c>
      <c r="V563" s="1">
        <v>9474400329</v>
      </c>
      <c r="W563" s="1" t="s">
        <v>273</v>
      </c>
      <c r="X563" s="1" t="s">
        <v>10580</v>
      </c>
      <c r="Y563" s="1" t="s">
        <v>2072</v>
      </c>
      <c r="Z563" s="1" t="s">
        <v>783</v>
      </c>
      <c r="AA563" s="1" t="s">
        <v>10580</v>
      </c>
      <c r="AB563" s="1" t="s">
        <v>2072</v>
      </c>
      <c r="AC563" s="1" t="s">
        <v>783</v>
      </c>
      <c r="AD563" s="1">
        <v>7.48</v>
      </c>
      <c r="AE563" s="1" t="s">
        <v>93</v>
      </c>
      <c r="AF563" s="1" t="s">
        <v>10581</v>
      </c>
      <c r="AG563" s="1" t="s">
        <v>785</v>
      </c>
      <c r="AH563" s="1" t="s">
        <v>477</v>
      </c>
      <c r="AI563" s="1" t="s">
        <v>131</v>
      </c>
      <c r="AJ563" s="1">
        <v>84.71</v>
      </c>
      <c r="AK563" s="1"/>
      <c r="AL563" s="1" t="s">
        <v>10582</v>
      </c>
      <c r="AM563" s="1" t="s">
        <v>4081</v>
      </c>
      <c r="AN563" s="1" t="s">
        <v>527</v>
      </c>
      <c r="AO563" s="1" t="s">
        <v>479</v>
      </c>
      <c r="AP563" s="1">
        <v>70.6</v>
      </c>
      <c r="AQ563" s="1"/>
      <c r="AR563" s="1"/>
      <c r="AS563" s="1"/>
      <c r="AT563" s="1"/>
      <c r="AU563" s="1"/>
      <c r="AV563" s="1"/>
      <c r="AW563" s="1"/>
      <c r="AX563" s="1" t="s">
        <v>10583</v>
      </c>
      <c r="AY563" s="1" t="s">
        <v>10584</v>
      </c>
      <c r="AZ563" s="1" t="s">
        <v>383</v>
      </c>
      <c r="BA563" s="1" t="s">
        <v>506</v>
      </c>
      <c r="BB563" s="1">
        <v>69.8</v>
      </c>
      <c r="BC563" s="1"/>
      <c r="BD563" s="1"/>
      <c r="BE563" s="1"/>
      <c r="BF563" s="1"/>
      <c r="BG563" s="1"/>
      <c r="BH563" s="1"/>
      <c r="BI563" s="1"/>
      <c r="BJ563" s="1" t="s">
        <v>1383</v>
      </c>
      <c r="BK563" s="1" t="s">
        <v>10585</v>
      </c>
      <c r="BL563" s="1" t="s">
        <v>8664</v>
      </c>
      <c r="BM563" s="1" t="s">
        <v>10586</v>
      </c>
      <c r="BN563" s="1">
        <v>9</v>
      </c>
      <c r="BO563" s="1" t="s">
        <v>10587</v>
      </c>
      <c r="BP563" s="1" t="str">
        <f>HYPERLINK("https://nconnect.nicmar.ac.in/storage/profile/ProfilePhoto_P25700522_658429.jpg","Download")</f>
        <v>0</v>
      </c>
      <c r="BQ563" s="3"/>
      <c r="BR563" s="3"/>
    </row>
    <row r="564" spans="1:70">
      <c r="A564" s="1" t="s">
        <v>70</v>
      </c>
      <c r="B564" s="1" t="s">
        <v>1269</v>
      </c>
      <c r="C564" s="1" t="s">
        <v>10588</v>
      </c>
      <c r="D564" s="1" t="s">
        <v>10589</v>
      </c>
      <c r="E564" s="1"/>
      <c r="F564" s="1" t="s">
        <v>10590</v>
      </c>
      <c r="G564" s="1" t="s">
        <v>10591</v>
      </c>
      <c r="H564" s="1" t="s">
        <v>10592</v>
      </c>
      <c r="I564" s="1" t="s">
        <v>10593</v>
      </c>
      <c r="J564" s="1">
        <v>9495201735</v>
      </c>
      <c r="K564" s="1" t="s">
        <v>79</v>
      </c>
      <c r="L564" s="1" t="s">
        <v>2028</v>
      </c>
      <c r="M564" s="1" t="s">
        <v>81</v>
      </c>
      <c r="N564" s="1" t="s">
        <v>10594</v>
      </c>
      <c r="O564" s="1"/>
      <c r="P564" s="1" t="s">
        <v>1278</v>
      </c>
      <c r="Q564" s="1" t="s">
        <v>10595</v>
      </c>
      <c r="R564" s="1" t="s">
        <v>10596</v>
      </c>
      <c r="S564" s="1">
        <v>9447053735</v>
      </c>
      <c r="T564" s="1" t="s">
        <v>120</v>
      </c>
      <c r="U564" s="1" t="s">
        <v>10597</v>
      </c>
      <c r="V564" s="1">
        <v>9497091530</v>
      </c>
      <c r="W564" s="1" t="s">
        <v>122</v>
      </c>
      <c r="X564" s="1" t="s">
        <v>10598</v>
      </c>
      <c r="Y564" s="1" t="s">
        <v>3323</v>
      </c>
      <c r="Z564" s="1" t="s">
        <v>125</v>
      </c>
      <c r="AA564" s="1" t="s">
        <v>10598</v>
      </c>
      <c r="AB564" s="1" t="s">
        <v>3323</v>
      </c>
      <c r="AC564" s="1" t="s">
        <v>125</v>
      </c>
      <c r="AD564" s="1">
        <v>8.69</v>
      </c>
      <c r="AE564" s="1" t="s">
        <v>93</v>
      </c>
      <c r="AF564" s="1" t="s">
        <v>10599</v>
      </c>
      <c r="AG564" s="1" t="s">
        <v>10600</v>
      </c>
      <c r="AH564" s="1" t="s">
        <v>101</v>
      </c>
      <c r="AI564" s="1" t="s">
        <v>308</v>
      </c>
      <c r="AJ564" s="1">
        <v>82.6</v>
      </c>
      <c r="AK564" s="1"/>
      <c r="AL564" s="1" t="s">
        <v>10601</v>
      </c>
      <c r="AM564" s="1" t="s">
        <v>10602</v>
      </c>
      <c r="AN564" s="1" t="s">
        <v>699</v>
      </c>
      <c r="AO564" s="1" t="s">
        <v>506</v>
      </c>
      <c r="AP564" s="1">
        <v>96.9</v>
      </c>
      <c r="AQ564" s="1"/>
      <c r="AR564" s="1"/>
      <c r="AS564" s="1"/>
      <c r="AT564" s="1"/>
      <c r="AU564" s="1"/>
      <c r="AV564" s="1"/>
      <c r="AW564" s="1"/>
      <c r="AX564" s="1" t="s">
        <v>1405</v>
      </c>
      <c r="AY564" s="1" t="s">
        <v>10603</v>
      </c>
      <c r="AZ564" s="1" t="s">
        <v>1407</v>
      </c>
      <c r="BA564" s="1" t="s">
        <v>1361</v>
      </c>
      <c r="BB564" s="1">
        <v>72.17</v>
      </c>
      <c r="BC564" s="1">
        <v>7.36</v>
      </c>
      <c r="BD564" s="1"/>
      <c r="BE564" s="1"/>
      <c r="BF564" s="1"/>
      <c r="BG564" s="1"/>
      <c r="BH564" s="1"/>
      <c r="BI564" s="1"/>
      <c r="BJ564" s="1" t="s">
        <v>10604</v>
      </c>
      <c r="BK564" s="1"/>
      <c r="BL564" s="1"/>
      <c r="BM564" s="1" t="s">
        <v>10605</v>
      </c>
      <c r="BN564" s="1"/>
      <c r="BO564" s="1" t="s">
        <v>10606</v>
      </c>
      <c r="BP564" s="1" t="str">
        <f>HYPERLINK("https://nconnect.nicmar.ac.in/storage/profile/ProfilePhoto_P25700524_859374.jpg","Download")</f>
        <v>0</v>
      </c>
      <c r="BQ564" s="3"/>
      <c r="BR564" s="3"/>
    </row>
    <row r="565" spans="1:70">
      <c r="A565" s="1" t="s">
        <v>70</v>
      </c>
      <c r="B565" s="1" t="s">
        <v>1269</v>
      </c>
      <c r="C565" s="1" t="s">
        <v>10607</v>
      </c>
      <c r="D565" s="1" t="s">
        <v>7424</v>
      </c>
      <c r="E565" s="1" t="s">
        <v>5072</v>
      </c>
      <c r="F565" s="1" t="s">
        <v>10608</v>
      </c>
      <c r="G565" s="1" t="s">
        <v>10609</v>
      </c>
      <c r="H565" s="1" t="s">
        <v>10610</v>
      </c>
      <c r="I565" s="1" t="s">
        <v>10611</v>
      </c>
      <c r="J565" s="1">
        <v>9820589566</v>
      </c>
      <c r="K565" s="1" t="s">
        <v>79</v>
      </c>
      <c r="L565" s="1" t="s">
        <v>10612</v>
      </c>
      <c r="M565" s="1" t="s">
        <v>81</v>
      </c>
      <c r="N565" s="1" t="s">
        <v>1418</v>
      </c>
      <c r="O565" s="1"/>
      <c r="P565" s="1" t="s">
        <v>1278</v>
      </c>
      <c r="Q565" s="1" t="s">
        <v>10613</v>
      </c>
      <c r="R565" s="1" t="s">
        <v>10614</v>
      </c>
      <c r="S565" s="1">
        <v>9833060168</v>
      </c>
      <c r="T565" s="1" t="s">
        <v>496</v>
      </c>
      <c r="U565" s="1" t="s">
        <v>10615</v>
      </c>
      <c r="V565" s="1">
        <v>9769471340</v>
      </c>
      <c r="W565" s="1" t="s">
        <v>156</v>
      </c>
      <c r="X565" s="1" t="s">
        <v>10616</v>
      </c>
      <c r="Y565" s="1" t="s">
        <v>1623</v>
      </c>
      <c r="Z565" s="1" t="s">
        <v>92</v>
      </c>
      <c r="AA565" s="1" t="s">
        <v>10616</v>
      </c>
      <c r="AB565" s="1" t="s">
        <v>1623</v>
      </c>
      <c r="AC565" s="1" t="s">
        <v>92</v>
      </c>
      <c r="AD565" s="1">
        <v>7.83</v>
      </c>
      <c r="AE565" s="1" t="s">
        <v>93</v>
      </c>
      <c r="AF565" s="1" t="s">
        <v>10617</v>
      </c>
      <c r="AG565" s="1" t="s">
        <v>476</v>
      </c>
      <c r="AH565" s="1" t="s">
        <v>161</v>
      </c>
      <c r="AI565" s="1" t="s">
        <v>162</v>
      </c>
      <c r="AJ565" s="1">
        <v>80.4</v>
      </c>
      <c r="AK565" s="1"/>
      <c r="AL565" s="1" t="s">
        <v>3043</v>
      </c>
      <c r="AM565" s="1" t="s">
        <v>476</v>
      </c>
      <c r="AN565" s="1" t="s">
        <v>165</v>
      </c>
      <c r="AO565" s="1" t="s">
        <v>166</v>
      </c>
      <c r="AP565" s="1">
        <v>67.23</v>
      </c>
      <c r="AQ565" s="1"/>
      <c r="AR565" s="1"/>
      <c r="AS565" s="1"/>
      <c r="AT565" s="1"/>
      <c r="AU565" s="1"/>
      <c r="AV565" s="1"/>
      <c r="AW565" s="1"/>
      <c r="AX565" s="1" t="s">
        <v>253</v>
      </c>
      <c r="AY565" s="1" t="s">
        <v>10618</v>
      </c>
      <c r="AZ565" s="1" t="s">
        <v>169</v>
      </c>
      <c r="BA565" s="1" t="s">
        <v>284</v>
      </c>
      <c r="BB565" s="1">
        <v>75.27</v>
      </c>
      <c r="BC565" s="1"/>
      <c r="BD565" s="1"/>
      <c r="BE565" s="1"/>
      <c r="BF565" s="1"/>
      <c r="BG565" s="1"/>
      <c r="BH565" s="1"/>
      <c r="BI565" s="1"/>
      <c r="BJ565" s="1" t="s">
        <v>1383</v>
      </c>
      <c r="BK565" s="1" t="s">
        <v>10619</v>
      </c>
      <c r="BL565" s="1" t="s">
        <v>138</v>
      </c>
      <c r="BM565" s="1" t="s">
        <v>10620</v>
      </c>
      <c r="BN565" s="1">
        <v>17</v>
      </c>
      <c r="BO565" s="1" t="s">
        <v>10621</v>
      </c>
      <c r="BP565" s="1" t="str">
        <f>HYPERLINK("https://nconnect.nicmar.ac.in/storage/profile/ProfilePhoto_P25700525_376924.jpg","Download")</f>
        <v>0</v>
      </c>
      <c r="BQ565" s="3"/>
      <c r="BR565" s="3"/>
    </row>
    <row r="566" spans="1:70">
      <c r="A566" s="1" t="s">
        <v>70</v>
      </c>
      <c r="B566" s="1" t="s">
        <v>1269</v>
      </c>
      <c r="C566" s="1" t="s">
        <v>10622</v>
      </c>
      <c r="D566" s="1" t="s">
        <v>10623</v>
      </c>
      <c r="E566" s="1" t="s">
        <v>5373</v>
      </c>
      <c r="F566" s="1" t="s">
        <v>10624</v>
      </c>
      <c r="G566" s="1" t="s">
        <v>10625</v>
      </c>
      <c r="H566" s="1" t="s">
        <v>10626</v>
      </c>
      <c r="I566" s="1" t="s">
        <v>10627</v>
      </c>
      <c r="J566" s="1">
        <v>9370261603</v>
      </c>
      <c r="K566" s="1" t="s">
        <v>148</v>
      </c>
      <c r="L566" s="1" t="s">
        <v>8529</v>
      </c>
      <c r="M566" s="1" t="s">
        <v>81</v>
      </c>
      <c r="N566" s="1" t="s">
        <v>1418</v>
      </c>
      <c r="O566" s="1"/>
      <c r="P566" s="1" t="s">
        <v>1278</v>
      </c>
      <c r="Q566" s="1" t="s">
        <v>10628</v>
      </c>
      <c r="R566" s="1" t="s">
        <v>10629</v>
      </c>
      <c r="S566" s="1">
        <v>9370646504</v>
      </c>
      <c r="T566" s="1" t="s">
        <v>7415</v>
      </c>
      <c r="U566" s="1" t="s">
        <v>10630</v>
      </c>
      <c r="V566" s="1">
        <v>9370646504</v>
      </c>
      <c r="W566" s="1" t="s">
        <v>273</v>
      </c>
      <c r="X566" s="1" t="s">
        <v>10631</v>
      </c>
      <c r="Y566" s="1" t="s">
        <v>5819</v>
      </c>
      <c r="Z566" s="1" t="s">
        <v>92</v>
      </c>
      <c r="AA566" s="1" t="s">
        <v>10631</v>
      </c>
      <c r="AB566" s="1" t="s">
        <v>5819</v>
      </c>
      <c r="AC566" s="1" t="s">
        <v>92</v>
      </c>
      <c r="AD566" s="1">
        <v>7.57</v>
      </c>
      <c r="AE566" s="1" t="s">
        <v>93</v>
      </c>
      <c r="AF566" s="1" t="s">
        <v>10632</v>
      </c>
      <c r="AG566" s="1" t="s">
        <v>160</v>
      </c>
      <c r="AH566" s="1" t="s">
        <v>165</v>
      </c>
      <c r="AI566" s="1" t="s">
        <v>308</v>
      </c>
      <c r="AJ566" s="1">
        <v>84.2</v>
      </c>
      <c r="AK566" s="1"/>
      <c r="AL566" s="1" t="s">
        <v>10633</v>
      </c>
      <c r="AM566" s="1" t="s">
        <v>160</v>
      </c>
      <c r="AN566" s="1" t="s">
        <v>433</v>
      </c>
      <c r="AO566" s="1" t="s">
        <v>1131</v>
      </c>
      <c r="AP566" s="1">
        <v>92.33</v>
      </c>
      <c r="AQ566" s="1"/>
      <c r="AR566" s="1"/>
      <c r="AS566" s="1"/>
      <c r="AT566" s="1"/>
      <c r="AU566" s="1"/>
      <c r="AV566" s="1"/>
      <c r="AW566" s="1"/>
      <c r="AX566" s="1" t="s">
        <v>361</v>
      </c>
      <c r="AY566" s="1" t="s">
        <v>10634</v>
      </c>
      <c r="AZ566" s="1" t="s">
        <v>436</v>
      </c>
      <c r="BA566" s="1" t="s">
        <v>1361</v>
      </c>
      <c r="BB566" s="1">
        <v>66</v>
      </c>
      <c r="BC566" s="1">
        <v>7.35</v>
      </c>
      <c r="BD566" s="1"/>
      <c r="BE566" s="1"/>
      <c r="BF566" s="1"/>
      <c r="BG566" s="1"/>
      <c r="BH566" s="1"/>
      <c r="BI566" s="1"/>
      <c r="BJ566" s="1" t="s">
        <v>2080</v>
      </c>
      <c r="BK566" s="1"/>
      <c r="BL566" s="1"/>
      <c r="BM566" s="1" t="s">
        <v>10635</v>
      </c>
      <c r="BN566" s="1">
        <v>4</v>
      </c>
      <c r="BO566" s="1" t="s">
        <v>10636</v>
      </c>
      <c r="BP566" s="1" t="str">
        <f>HYPERLINK("https://nconnect.nicmar.ac.in/storage/profile/ProfilePhoto_P25700526_147892.jpg","Download")</f>
        <v>0</v>
      </c>
      <c r="BQ566" s="3"/>
      <c r="BR566" s="3"/>
    </row>
    <row r="567" spans="1:70">
      <c r="A567" s="1" t="s">
        <v>70</v>
      </c>
      <c r="B567" s="1" t="s">
        <v>1269</v>
      </c>
      <c r="C567" s="1" t="s">
        <v>10637</v>
      </c>
      <c r="D567" s="1" t="s">
        <v>10638</v>
      </c>
      <c r="E567" s="1" t="s">
        <v>1465</v>
      </c>
      <c r="F567" s="1" t="s">
        <v>10639</v>
      </c>
      <c r="G567" s="1" t="s">
        <v>10640</v>
      </c>
      <c r="H567" s="1" t="s">
        <v>10641</v>
      </c>
      <c r="I567" s="1" t="s">
        <v>10642</v>
      </c>
      <c r="J567" s="1">
        <v>9014703535</v>
      </c>
      <c r="K567" s="1" t="s">
        <v>148</v>
      </c>
      <c r="L567" s="1" t="s">
        <v>10643</v>
      </c>
      <c r="M567" s="1" t="s">
        <v>81</v>
      </c>
      <c r="N567" s="1" t="s">
        <v>7886</v>
      </c>
      <c r="O567" s="1"/>
      <c r="P567" s="1" t="s">
        <v>1323</v>
      </c>
      <c r="Q567" s="1" t="s">
        <v>10644</v>
      </c>
      <c r="R567" s="1" t="s">
        <v>10645</v>
      </c>
      <c r="S567" s="1">
        <v>9985438447</v>
      </c>
      <c r="T567" s="1" t="s">
        <v>1351</v>
      </c>
      <c r="U567" s="1" t="s">
        <v>10646</v>
      </c>
      <c r="V567" s="1">
        <v>9642174648</v>
      </c>
      <c r="W567" s="1" t="s">
        <v>674</v>
      </c>
      <c r="X567" s="1" t="s">
        <v>10647</v>
      </c>
      <c r="Y567" s="1" t="s">
        <v>9623</v>
      </c>
      <c r="Z567" s="1" t="s">
        <v>609</v>
      </c>
      <c r="AA567" s="1" t="s">
        <v>10647</v>
      </c>
      <c r="AB567" s="1" t="s">
        <v>9623</v>
      </c>
      <c r="AC567" s="1" t="s">
        <v>609</v>
      </c>
      <c r="AD567" s="1">
        <v>8.0</v>
      </c>
      <c r="AE567" s="1" t="s">
        <v>93</v>
      </c>
      <c r="AF567" s="1" t="s">
        <v>10648</v>
      </c>
      <c r="AG567" s="1" t="s">
        <v>10649</v>
      </c>
      <c r="AH567" s="1" t="s">
        <v>101</v>
      </c>
      <c r="AI567" s="1" t="s">
        <v>409</v>
      </c>
      <c r="AJ567" s="1">
        <v>85.5</v>
      </c>
      <c r="AK567" s="1">
        <v>9</v>
      </c>
      <c r="AL567" s="1"/>
      <c r="AM567" s="1"/>
      <c r="AN567" s="1"/>
      <c r="AO567" s="1"/>
      <c r="AP567" s="1"/>
      <c r="AQ567" s="1"/>
      <c r="AR567" s="1" t="s">
        <v>434</v>
      </c>
      <c r="AS567" s="1" t="s">
        <v>10650</v>
      </c>
      <c r="AT567" s="1" t="s">
        <v>433</v>
      </c>
      <c r="AU567" s="1" t="s">
        <v>105</v>
      </c>
      <c r="AV567" s="1">
        <v>81.5</v>
      </c>
      <c r="AW567" s="1">
        <v>8.6</v>
      </c>
      <c r="AX567" s="1" t="s">
        <v>4913</v>
      </c>
      <c r="AY567" s="1" t="s">
        <v>10651</v>
      </c>
      <c r="AZ567" s="1" t="s">
        <v>874</v>
      </c>
      <c r="BA567" s="1" t="s">
        <v>1361</v>
      </c>
      <c r="BB567" s="1">
        <v>67.7</v>
      </c>
      <c r="BC567" s="1">
        <v>7.27</v>
      </c>
      <c r="BD567" s="1"/>
      <c r="BE567" s="1"/>
      <c r="BF567" s="1"/>
      <c r="BG567" s="1"/>
      <c r="BH567" s="1"/>
      <c r="BI567" s="1"/>
      <c r="BJ567" s="1" t="s">
        <v>10652</v>
      </c>
      <c r="BK567" s="1"/>
      <c r="BL567" s="1"/>
      <c r="BM567" s="1" t="s">
        <v>10653</v>
      </c>
      <c r="BN567" s="1">
        <v>14</v>
      </c>
      <c r="BO567" s="1"/>
      <c r="BP567" s="1" t="str">
        <f>HYPERLINK("https://nconnect.nicmar.ac.in/storage/profile/ProfilePhoto_P25700527_758192.jpg","Download")</f>
        <v>0</v>
      </c>
      <c r="BQ567" s="3"/>
      <c r="BR567" s="3"/>
    </row>
    <row r="568" spans="1:70">
      <c r="A568" s="1" t="s">
        <v>70</v>
      </c>
      <c r="B568" s="1" t="s">
        <v>1269</v>
      </c>
      <c r="C568" s="1" t="s">
        <v>10654</v>
      </c>
      <c r="D568" s="1" t="s">
        <v>5510</v>
      </c>
      <c r="E568" s="1"/>
      <c r="F568" s="1" t="s">
        <v>10655</v>
      </c>
      <c r="G568" s="1" t="s">
        <v>10656</v>
      </c>
      <c r="H568" s="1" t="s">
        <v>10657</v>
      </c>
      <c r="I568" s="1" t="s">
        <v>10658</v>
      </c>
      <c r="J568" s="1">
        <v>8788155243</v>
      </c>
      <c r="K568" s="1" t="s">
        <v>148</v>
      </c>
      <c r="L568" s="1" t="s">
        <v>3435</v>
      </c>
      <c r="M568" s="1" t="s">
        <v>81</v>
      </c>
      <c r="N568" s="1" t="s">
        <v>5040</v>
      </c>
      <c r="O568" s="1"/>
      <c r="P568" s="1"/>
      <c r="Q568" s="1" t="s">
        <v>10659</v>
      </c>
      <c r="R568" s="1" t="s">
        <v>10660</v>
      </c>
      <c r="S568" s="1">
        <v>7876884559</v>
      </c>
      <c r="T568" s="1" t="s">
        <v>120</v>
      </c>
      <c r="U568" s="1" t="s">
        <v>10661</v>
      </c>
      <c r="V568" s="1">
        <v>8975577221</v>
      </c>
      <c r="W568" s="1" t="s">
        <v>273</v>
      </c>
      <c r="X568" s="1" t="s">
        <v>10662</v>
      </c>
      <c r="Y568" s="1" t="s">
        <v>191</v>
      </c>
      <c r="Z568" s="1" t="s">
        <v>92</v>
      </c>
      <c r="AA568" s="1" t="s">
        <v>10662</v>
      </c>
      <c r="AB568" s="1" t="s">
        <v>191</v>
      </c>
      <c r="AC568" s="1" t="s">
        <v>92</v>
      </c>
      <c r="AD568" s="1">
        <v>8.75</v>
      </c>
      <c r="AE568" s="1" t="s">
        <v>93</v>
      </c>
      <c r="AF568" s="1" t="s">
        <v>10663</v>
      </c>
      <c r="AG568" s="1" t="s">
        <v>1665</v>
      </c>
      <c r="AH568" s="1" t="s">
        <v>166</v>
      </c>
      <c r="AI568" s="1" t="s">
        <v>308</v>
      </c>
      <c r="AJ568" s="1">
        <v>95.2</v>
      </c>
      <c r="AK568" s="1"/>
      <c r="AL568" s="1" t="s">
        <v>10664</v>
      </c>
      <c r="AM568" s="1" t="s">
        <v>1665</v>
      </c>
      <c r="AN568" s="1" t="s">
        <v>1833</v>
      </c>
      <c r="AO568" s="1" t="s">
        <v>506</v>
      </c>
      <c r="AP568" s="1">
        <v>80</v>
      </c>
      <c r="AQ568" s="1"/>
      <c r="AR568" s="1"/>
      <c r="AS568" s="1"/>
      <c r="AT568" s="1"/>
      <c r="AU568" s="1"/>
      <c r="AV568" s="1"/>
      <c r="AW568" s="1"/>
      <c r="AX568" s="1" t="s">
        <v>8088</v>
      </c>
      <c r="AY568" s="1" t="s">
        <v>10665</v>
      </c>
      <c r="AZ568" s="1" t="s">
        <v>1051</v>
      </c>
      <c r="BA568" s="1" t="s">
        <v>1714</v>
      </c>
      <c r="BB568" s="1">
        <v>74.2</v>
      </c>
      <c r="BC568" s="1">
        <v>7.42</v>
      </c>
      <c r="BD568" s="1"/>
      <c r="BE568" s="1"/>
      <c r="BF568" s="1"/>
      <c r="BG568" s="1"/>
      <c r="BH568" s="1"/>
      <c r="BI568" s="1"/>
      <c r="BJ568" s="1" t="s">
        <v>255</v>
      </c>
      <c r="BK568" s="1"/>
      <c r="BL568" s="1"/>
      <c r="BM568" s="1" t="s">
        <v>10666</v>
      </c>
      <c r="BN568" s="1">
        <v>20</v>
      </c>
      <c r="BO568" s="1" t="s">
        <v>10667</v>
      </c>
      <c r="BP568" s="1" t="str">
        <f>HYPERLINK("https://nconnect.nicmar.ac.in/storage/profile/ProfilePhoto_P25700528_814675.jpg","Download")</f>
        <v>0</v>
      </c>
      <c r="BQ568" s="3"/>
      <c r="BR568" s="3"/>
    </row>
    <row r="569" spans="1:70">
      <c r="A569" s="1" t="s">
        <v>70</v>
      </c>
      <c r="B569" s="1" t="s">
        <v>1269</v>
      </c>
      <c r="C569" s="1" t="s">
        <v>10668</v>
      </c>
      <c r="D569" s="1" t="s">
        <v>512</v>
      </c>
      <c r="E569" s="1" t="s">
        <v>392</v>
      </c>
      <c r="F569" s="1" t="s">
        <v>2024</v>
      </c>
      <c r="G569" s="1" t="s">
        <v>10669</v>
      </c>
      <c r="H569" s="1" t="s">
        <v>10670</v>
      </c>
      <c r="I569" s="1" t="s">
        <v>10671</v>
      </c>
      <c r="J569" s="1">
        <v>7038343990</v>
      </c>
      <c r="K569" s="1" t="s">
        <v>148</v>
      </c>
      <c r="L569" s="1" t="s">
        <v>10672</v>
      </c>
      <c r="M569" s="1" t="s">
        <v>81</v>
      </c>
      <c r="N569" s="1" t="s">
        <v>1418</v>
      </c>
      <c r="O569" s="1"/>
      <c r="P569" s="1" t="s">
        <v>1323</v>
      </c>
      <c r="Q569" s="1" t="s">
        <v>10673</v>
      </c>
      <c r="R569" s="1" t="s">
        <v>10674</v>
      </c>
      <c r="S569" s="1">
        <v>9850396810</v>
      </c>
      <c r="T569" s="1" t="s">
        <v>10675</v>
      </c>
      <c r="U569" s="1" t="s">
        <v>10676</v>
      </c>
      <c r="V569" s="1">
        <v>9921816810</v>
      </c>
      <c r="W569" s="1" t="s">
        <v>7415</v>
      </c>
      <c r="X569" s="1" t="s">
        <v>10677</v>
      </c>
      <c r="Y569" s="1" t="s">
        <v>191</v>
      </c>
      <c r="Z569" s="1" t="s">
        <v>92</v>
      </c>
      <c r="AA569" s="1" t="s">
        <v>10677</v>
      </c>
      <c r="AB569" s="1" t="s">
        <v>191</v>
      </c>
      <c r="AC569" s="1" t="s">
        <v>92</v>
      </c>
      <c r="AD569" s="1">
        <v>9.32</v>
      </c>
      <c r="AE569" s="1" t="s">
        <v>93</v>
      </c>
      <c r="AF569" s="1" t="s">
        <v>10408</v>
      </c>
      <c r="AG569" s="1" t="s">
        <v>307</v>
      </c>
      <c r="AH569" s="1" t="s">
        <v>129</v>
      </c>
      <c r="AI569" s="1" t="s">
        <v>1197</v>
      </c>
      <c r="AJ569" s="1">
        <v>89.3</v>
      </c>
      <c r="AK569" s="1">
        <v>9.4</v>
      </c>
      <c r="AL569" s="1" t="s">
        <v>10408</v>
      </c>
      <c r="AM569" s="1" t="s">
        <v>307</v>
      </c>
      <c r="AN569" s="1" t="s">
        <v>131</v>
      </c>
      <c r="AO569" s="1" t="s">
        <v>527</v>
      </c>
      <c r="AP569" s="1">
        <v>82.2</v>
      </c>
      <c r="AQ569" s="1"/>
      <c r="AR569" s="1"/>
      <c r="AS569" s="1"/>
      <c r="AT569" s="1"/>
      <c r="AU569" s="1"/>
      <c r="AV569" s="1"/>
      <c r="AW569" s="1"/>
      <c r="AX569" s="1" t="s">
        <v>361</v>
      </c>
      <c r="AY569" s="1" t="s">
        <v>10678</v>
      </c>
      <c r="AZ569" s="1" t="s">
        <v>733</v>
      </c>
      <c r="BA569" s="1" t="s">
        <v>1833</v>
      </c>
      <c r="BB569" s="1">
        <v>74.9</v>
      </c>
      <c r="BC569" s="1">
        <v>8.24</v>
      </c>
      <c r="BD569" s="1"/>
      <c r="BE569" s="1"/>
      <c r="BF569" s="1"/>
      <c r="BG569" s="1"/>
      <c r="BH569" s="1"/>
      <c r="BI569" s="1"/>
      <c r="BJ569" s="1" t="s">
        <v>2080</v>
      </c>
      <c r="BK569" s="1" t="s">
        <v>10679</v>
      </c>
      <c r="BL569" s="1" t="s">
        <v>340</v>
      </c>
      <c r="BM569" s="1"/>
      <c r="BN569" s="1"/>
      <c r="BO569" s="1" t="s">
        <v>10680</v>
      </c>
      <c r="BP569" s="1" t="str">
        <f>HYPERLINK("https://nconnect.nicmar.ac.in/storage/profile/ProfilePhoto_P25700529_642317.jpg","Download")</f>
        <v>0</v>
      </c>
      <c r="BQ569" s="3"/>
      <c r="BR569" s="3"/>
    </row>
    <row r="570" spans="1:70">
      <c r="A570" s="1" t="s">
        <v>70</v>
      </c>
      <c r="B570" s="1" t="s">
        <v>1269</v>
      </c>
      <c r="C570" s="1" t="s">
        <v>10681</v>
      </c>
      <c r="D570" s="1" t="s">
        <v>10682</v>
      </c>
      <c r="E570" s="1" t="s">
        <v>10683</v>
      </c>
      <c r="F570" s="1" t="s">
        <v>10684</v>
      </c>
      <c r="G570" s="1" t="s">
        <v>10685</v>
      </c>
      <c r="H570" s="1" t="s">
        <v>10686</v>
      </c>
      <c r="I570" s="1" t="s">
        <v>10687</v>
      </c>
      <c r="J570" s="1">
        <v>7777971746</v>
      </c>
      <c r="K570" s="1" t="s">
        <v>148</v>
      </c>
      <c r="L570" s="1" t="s">
        <v>10688</v>
      </c>
      <c r="M570" s="1" t="s">
        <v>81</v>
      </c>
      <c r="N570" s="1" t="s">
        <v>7852</v>
      </c>
      <c r="O570" s="1"/>
      <c r="P570" s="1" t="s">
        <v>1462</v>
      </c>
      <c r="Q570" s="1" t="s">
        <v>10689</v>
      </c>
      <c r="R570" s="1" t="s">
        <v>10690</v>
      </c>
      <c r="S570" s="1">
        <v>9904020358</v>
      </c>
      <c r="T570" s="1" t="s">
        <v>122</v>
      </c>
      <c r="U570" s="1" t="s">
        <v>10691</v>
      </c>
      <c r="V570" s="1">
        <v>8780051606</v>
      </c>
      <c r="W570" s="1" t="s">
        <v>156</v>
      </c>
      <c r="X570" s="1" t="s">
        <v>10692</v>
      </c>
      <c r="Y570" s="1" t="s">
        <v>10693</v>
      </c>
      <c r="Z570" s="1" t="s">
        <v>1468</v>
      </c>
      <c r="AA570" s="1" t="s">
        <v>10692</v>
      </c>
      <c r="AB570" s="1" t="s">
        <v>10693</v>
      </c>
      <c r="AC570" s="1" t="s">
        <v>1468</v>
      </c>
      <c r="AD570" s="1">
        <v>7.88</v>
      </c>
      <c r="AE570" s="1" t="s">
        <v>93</v>
      </c>
      <c r="AF570" s="1" t="s">
        <v>10694</v>
      </c>
      <c r="AG570" s="1" t="s">
        <v>10695</v>
      </c>
      <c r="AH570" s="1" t="s">
        <v>166</v>
      </c>
      <c r="AI570" s="1" t="s">
        <v>409</v>
      </c>
      <c r="AJ570" s="1">
        <v>82.66</v>
      </c>
      <c r="AK570" s="1"/>
      <c r="AL570" s="1" t="s">
        <v>10696</v>
      </c>
      <c r="AM570" s="1" t="s">
        <v>10695</v>
      </c>
      <c r="AN570" s="1" t="s">
        <v>433</v>
      </c>
      <c r="AO570" s="1" t="s">
        <v>506</v>
      </c>
      <c r="AP570" s="1">
        <v>88.15</v>
      </c>
      <c r="AQ570" s="1"/>
      <c r="AR570" s="1"/>
      <c r="AS570" s="1"/>
      <c r="AT570" s="1"/>
      <c r="AU570" s="1"/>
      <c r="AV570" s="1"/>
      <c r="AW570" s="1"/>
      <c r="AX570" s="1" t="s">
        <v>5975</v>
      </c>
      <c r="AY570" s="1" t="s">
        <v>10697</v>
      </c>
      <c r="AZ570" s="1" t="s">
        <v>436</v>
      </c>
      <c r="BA570" s="1" t="s">
        <v>1361</v>
      </c>
      <c r="BB570" s="1">
        <v>69.9</v>
      </c>
      <c r="BC570" s="1"/>
      <c r="BD570" s="1"/>
      <c r="BE570" s="1"/>
      <c r="BF570" s="1"/>
      <c r="BG570" s="1"/>
      <c r="BH570" s="1"/>
      <c r="BI570" s="1"/>
      <c r="BJ570" s="1" t="s">
        <v>10698</v>
      </c>
      <c r="BK570" s="1"/>
      <c r="BL570" s="1"/>
      <c r="BM570" s="1" t="s">
        <v>10699</v>
      </c>
      <c r="BN570" s="1">
        <v>21</v>
      </c>
      <c r="BO570" s="1"/>
      <c r="BP570" s="1" t="str">
        <f>HYPERLINK("https://nconnect.nicmar.ac.in/storage/profile/ProfilePhoto_P25700530_647152.jpg","Download")</f>
        <v>0</v>
      </c>
      <c r="BQ570" s="3"/>
      <c r="BR570" s="3"/>
    </row>
    <row r="571" spans="1:70">
      <c r="A571" s="1" t="s">
        <v>70</v>
      </c>
      <c r="B571" s="1" t="s">
        <v>1269</v>
      </c>
      <c r="C571" s="1" t="s">
        <v>10700</v>
      </c>
      <c r="D571" s="1" t="s">
        <v>10701</v>
      </c>
      <c r="E571" s="1" t="s">
        <v>10702</v>
      </c>
      <c r="F571" s="1" t="s">
        <v>10257</v>
      </c>
      <c r="G571" s="1" t="s">
        <v>10703</v>
      </c>
      <c r="H571" s="1" t="s">
        <v>10704</v>
      </c>
      <c r="I571" s="1" t="s">
        <v>10705</v>
      </c>
      <c r="J571" s="1">
        <v>9890252449</v>
      </c>
      <c r="K571" s="1" t="s">
        <v>148</v>
      </c>
      <c r="L571" s="1" t="s">
        <v>10706</v>
      </c>
      <c r="M571" s="1" t="s">
        <v>81</v>
      </c>
      <c r="N571" s="1" t="s">
        <v>10707</v>
      </c>
      <c r="O571" s="1"/>
      <c r="P571" s="1" t="s">
        <v>1278</v>
      </c>
      <c r="Q571" s="1" t="s">
        <v>10708</v>
      </c>
      <c r="R571" s="1" t="s">
        <v>10709</v>
      </c>
      <c r="S571" s="1">
        <v>9890776481</v>
      </c>
      <c r="T571" s="1" t="s">
        <v>496</v>
      </c>
      <c r="U571" s="1" t="s">
        <v>10710</v>
      </c>
      <c r="V571" s="1">
        <v>8329400140</v>
      </c>
      <c r="W571" s="1" t="s">
        <v>651</v>
      </c>
      <c r="X571" s="1" t="s">
        <v>10711</v>
      </c>
      <c r="Y571" s="1" t="s">
        <v>158</v>
      </c>
      <c r="Z571" s="1" t="s">
        <v>92</v>
      </c>
      <c r="AA571" s="1" t="s">
        <v>10711</v>
      </c>
      <c r="AB571" s="1" t="s">
        <v>158</v>
      </c>
      <c r="AC571" s="1" t="s">
        <v>92</v>
      </c>
      <c r="AD571" s="1">
        <v>7.92</v>
      </c>
      <c r="AE571" s="1" t="s">
        <v>93</v>
      </c>
      <c r="AF571" s="1" t="s">
        <v>10712</v>
      </c>
      <c r="AG571" s="1" t="s">
        <v>160</v>
      </c>
      <c r="AH571" s="1" t="s">
        <v>101</v>
      </c>
      <c r="AI571" s="1" t="s">
        <v>409</v>
      </c>
      <c r="AJ571" s="1">
        <v>75.2</v>
      </c>
      <c r="AK571" s="1"/>
      <c r="AL571" s="1" t="s">
        <v>10713</v>
      </c>
      <c r="AM571" s="1" t="s">
        <v>160</v>
      </c>
      <c r="AN571" s="1" t="s">
        <v>310</v>
      </c>
      <c r="AO571" s="1" t="s">
        <v>504</v>
      </c>
      <c r="AP571" s="1">
        <v>85.5</v>
      </c>
      <c r="AQ571" s="1"/>
      <c r="AR571" s="1"/>
      <c r="AS571" s="1"/>
      <c r="AT571" s="1"/>
      <c r="AU571" s="1"/>
      <c r="AV571" s="1"/>
      <c r="AW571" s="1"/>
      <c r="AX571" s="1" t="s">
        <v>8961</v>
      </c>
      <c r="AY571" s="1" t="s">
        <v>10714</v>
      </c>
      <c r="AZ571" s="1" t="s">
        <v>897</v>
      </c>
      <c r="BA571" s="1" t="s">
        <v>6069</v>
      </c>
      <c r="BB571" s="1">
        <v>68.3</v>
      </c>
      <c r="BC571" s="1">
        <v>7.33</v>
      </c>
      <c r="BD571" s="1"/>
      <c r="BE571" s="1"/>
      <c r="BF571" s="1"/>
      <c r="BG571" s="1"/>
      <c r="BH571" s="1"/>
      <c r="BI571" s="1"/>
      <c r="BJ571" s="1" t="s">
        <v>2145</v>
      </c>
      <c r="BK571" s="1"/>
      <c r="BL571" s="1"/>
      <c r="BM571" s="1" t="s">
        <v>10715</v>
      </c>
      <c r="BN571" s="1">
        <v>10</v>
      </c>
      <c r="BO571" s="1" t="s">
        <v>10716</v>
      </c>
      <c r="BP571" s="1" t="str">
        <f>HYPERLINK("https://nconnect.nicmar.ac.in/storage/profile/ProfilePhoto_P25700531_843916.jpg","Download")</f>
        <v>0</v>
      </c>
      <c r="BQ571" s="3"/>
      <c r="BR571" s="3"/>
    </row>
    <row r="572" spans="1:70">
      <c r="A572" s="1" t="s">
        <v>70</v>
      </c>
      <c r="B572" s="1" t="s">
        <v>1269</v>
      </c>
      <c r="C572" s="1" t="s">
        <v>10717</v>
      </c>
      <c r="D572" s="1" t="s">
        <v>10718</v>
      </c>
      <c r="E572" s="1" t="s">
        <v>10719</v>
      </c>
      <c r="F572" s="1" t="s">
        <v>10720</v>
      </c>
      <c r="G572" s="1" t="s">
        <v>10721</v>
      </c>
      <c r="H572" s="1" t="s">
        <v>10722</v>
      </c>
      <c r="I572" s="1" t="s">
        <v>10723</v>
      </c>
      <c r="J572" s="1">
        <v>8861370552</v>
      </c>
      <c r="K572" s="1" t="s">
        <v>148</v>
      </c>
      <c r="L572" s="1" t="s">
        <v>10724</v>
      </c>
      <c r="M572" s="1" t="s">
        <v>81</v>
      </c>
      <c r="N572" s="1" t="s">
        <v>10725</v>
      </c>
      <c r="O572" s="1"/>
      <c r="P572" s="1" t="s">
        <v>1278</v>
      </c>
      <c r="Q572" s="1" t="s">
        <v>10726</v>
      </c>
      <c r="R572" s="1" t="s">
        <v>10727</v>
      </c>
      <c r="S572" s="1">
        <v>9448543807</v>
      </c>
      <c r="T572" s="1" t="s">
        <v>674</v>
      </c>
      <c r="U572" s="1" t="s">
        <v>10728</v>
      </c>
      <c r="V572" s="1">
        <v>7204840063</v>
      </c>
      <c r="W572" s="1" t="s">
        <v>156</v>
      </c>
      <c r="X572" s="1" t="s">
        <v>10729</v>
      </c>
      <c r="Y572" s="1" t="s">
        <v>3818</v>
      </c>
      <c r="Z572" s="1" t="s">
        <v>1084</v>
      </c>
      <c r="AA572" s="1" t="s">
        <v>10729</v>
      </c>
      <c r="AB572" s="1" t="s">
        <v>3818</v>
      </c>
      <c r="AC572" s="1" t="s">
        <v>1084</v>
      </c>
      <c r="AD572" s="1">
        <v>8.64</v>
      </c>
      <c r="AE572" s="1" t="s">
        <v>93</v>
      </c>
      <c r="AF572" s="1" t="s">
        <v>10730</v>
      </c>
      <c r="AG572" s="1" t="s">
        <v>10731</v>
      </c>
      <c r="AH572" s="1" t="s">
        <v>2418</v>
      </c>
      <c r="AI572" s="1" t="s">
        <v>2826</v>
      </c>
      <c r="AJ572" s="1">
        <v>74.6</v>
      </c>
      <c r="AK572" s="1">
        <v>0</v>
      </c>
      <c r="AL572" s="1" t="s">
        <v>10732</v>
      </c>
      <c r="AM572" s="1" t="s">
        <v>10733</v>
      </c>
      <c r="AN572" s="1" t="s">
        <v>4572</v>
      </c>
      <c r="AO572" s="1" t="s">
        <v>10734</v>
      </c>
      <c r="AP572" s="1">
        <v>86.5</v>
      </c>
      <c r="AQ572" s="1"/>
      <c r="AR572" s="1"/>
      <c r="AS572" s="1"/>
      <c r="AT572" s="1"/>
      <c r="AU572" s="1"/>
      <c r="AV572" s="1"/>
      <c r="AW572" s="1"/>
      <c r="AX572" s="1" t="s">
        <v>10735</v>
      </c>
      <c r="AY572" s="1" t="s">
        <v>10736</v>
      </c>
      <c r="AZ572" s="1" t="s">
        <v>10737</v>
      </c>
      <c r="BA572" s="1" t="s">
        <v>128</v>
      </c>
      <c r="BB572" s="1">
        <v>75</v>
      </c>
      <c r="BC572" s="1">
        <v>8.25</v>
      </c>
      <c r="BD572" s="1" t="s">
        <v>10735</v>
      </c>
      <c r="BE572" s="1" t="s">
        <v>2403</v>
      </c>
      <c r="BF572" s="1" t="s">
        <v>10738</v>
      </c>
      <c r="BG572" s="1" t="s">
        <v>10739</v>
      </c>
      <c r="BH572" s="1">
        <v>69.79</v>
      </c>
      <c r="BI572" s="1"/>
      <c r="BJ572" s="1" t="s">
        <v>10740</v>
      </c>
      <c r="BK572" s="1" t="s">
        <v>10741</v>
      </c>
      <c r="BL572" s="1" t="s">
        <v>9488</v>
      </c>
      <c r="BM572" s="1" t="s">
        <v>10742</v>
      </c>
      <c r="BN572" s="1">
        <v>8</v>
      </c>
      <c r="BO572" s="1"/>
      <c r="BP572" s="1" t="str">
        <f>HYPERLINK("https://nconnect.nicmar.ac.in/storage/profile/ProfilePhoto_P25700532_741398.jpg","Download")</f>
        <v>0</v>
      </c>
      <c r="BQ572" s="3"/>
      <c r="BR572" s="3"/>
    </row>
    <row r="573" spans="1:70">
      <c r="A573" s="1" t="s">
        <v>70</v>
      </c>
      <c r="B573" s="1" t="s">
        <v>1269</v>
      </c>
      <c r="C573" s="1" t="s">
        <v>10743</v>
      </c>
      <c r="D573" s="1" t="s">
        <v>10744</v>
      </c>
      <c r="E573" s="1" t="s">
        <v>2762</v>
      </c>
      <c r="F573" s="1" t="s">
        <v>10745</v>
      </c>
      <c r="G573" s="1" t="s">
        <v>10746</v>
      </c>
      <c r="H573" s="1" t="s">
        <v>10747</v>
      </c>
      <c r="I573" s="1" t="s">
        <v>10748</v>
      </c>
      <c r="J573" s="1">
        <v>9145752292</v>
      </c>
      <c r="K573" s="1" t="s">
        <v>148</v>
      </c>
      <c r="L573" s="1" t="s">
        <v>6316</v>
      </c>
      <c r="M573" s="1" t="s">
        <v>81</v>
      </c>
      <c r="N573" s="1" t="s">
        <v>2008</v>
      </c>
      <c r="O573" s="1"/>
      <c r="P573" s="1" t="s">
        <v>1278</v>
      </c>
      <c r="Q573" s="1" t="s">
        <v>10749</v>
      </c>
      <c r="R573" s="1" t="s">
        <v>10750</v>
      </c>
      <c r="S573" s="1">
        <v>9270415260</v>
      </c>
      <c r="T573" s="1" t="s">
        <v>154</v>
      </c>
      <c r="U573" s="1" t="s">
        <v>10751</v>
      </c>
      <c r="V573" s="1">
        <v>9270415260</v>
      </c>
      <c r="W573" s="1" t="s">
        <v>273</v>
      </c>
      <c r="X573" s="1" t="s">
        <v>10752</v>
      </c>
      <c r="Y573" s="1" t="s">
        <v>405</v>
      </c>
      <c r="Z573" s="1" t="s">
        <v>92</v>
      </c>
      <c r="AA573" s="1" t="s">
        <v>10752</v>
      </c>
      <c r="AB573" s="1" t="s">
        <v>405</v>
      </c>
      <c r="AC573" s="1" t="s">
        <v>92</v>
      </c>
      <c r="AD573" s="1">
        <v>7.41</v>
      </c>
      <c r="AE573" s="1" t="s">
        <v>93</v>
      </c>
      <c r="AF573" s="1" t="s">
        <v>10753</v>
      </c>
      <c r="AG573" s="1" t="s">
        <v>10754</v>
      </c>
      <c r="AH573" s="1" t="s">
        <v>161</v>
      </c>
      <c r="AI573" s="1" t="s">
        <v>527</v>
      </c>
      <c r="AJ573" s="1">
        <v>73.2</v>
      </c>
      <c r="AK573" s="1"/>
      <c r="AL573" s="1"/>
      <c r="AM573" s="1"/>
      <c r="AN573" s="1"/>
      <c r="AO573" s="1"/>
      <c r="AP573" s="1"/>
      <c r="AQ573" s="1"/>
      <c r="AR573" s="1" t="s">
        <v>434</v>
      </c>
      <c r="AS573" s="1" t="s">
        <v>10755</v>
      </c>
      <c r="AT573" s="1" t="s">
        <v>225</v>
      </c>
      <c r="AU573" s="1" t="s">
        <v>412</v>
      </c>
      <c r="AV573" s="1">
        <v>70.13</v>
      </c>
      <c r="AW573" s="1"/>
      <c r="AX573" s="1" t="s">
        <v>1852</v>
      </c>
      <c r="AY573" s="1" t="s">
        <v>10756</v>
      </c>
      <c r="AZ573" s="1" t="s">
        <v>681</v>
      </c>
      <c r="BA573" s="1" t="s">
        <v>682</v>
      </c>
      <c r="BB573" s="1">
        <v>72.21</v>
      </c>
      <c r="BC573" s="1">
        <v>7.13</v>
      </c>
      <c r="BD573" s="1"/>
      <c r="BE573" s="1"/>
      <c r="BF573" s="1"/>
      <c r="BG573" s="1"/>
      <c r="BH573" s="1"/>
      <c r="BI573" s="1"/>
      <c r="BJ573" s="1" t="s">
        <v>10757</v>
      </c>
      <c r="BK573" s="1"/>
      <c r="BL573" s="1"/>
      <c r="BM573" s="1" t="s">
        <v>10758</v>
      </c>
      <c r="BN573" s="1">
        <v>60</v>
      </c>
      <c r="BO573" s="1" t="s">
        <v>10759</v>
      </c>
      <c r="BP573" s="1" t="str">
        <f>HYPERLINK("https://nconnect.nicmar.ac.in/storage/profile/ProfilePhoto_P25700533_726583.jpg","Download")</f>
        <v>0</v>
      </c>
      <c r="BQ573" s="3"/>
      <c r="BR573" s="3"/>
    </row>
    <row r="574" spans="1:70">
      <c r="A574" s="1" t="s">
        <v>70</v>
      </c>
      <c r="B574" s="1" t="s">
        <v>1269</v>
      </c>
      <c r="C574" s="1" t="s">
        <v>10760</v>
      </c>
      <c r="D574" s="1" t="s">
        <v>10761</v>
      </c>
      <c r="E574" s="1" t="s">
        <v>10762</v>
      </c>
      <c r="F574" s="1" t="s">
        <v>10763</v>
      </c>
      <c r="G574" s="1" t="s">
        <v>10764</v>
      </c>
      <c r="H574" s="1" t="s">
        <v>10765</v>
      </c>
      <c r="I574" s="1" t="s">
        <v>10766</v>
      </c>
      <c r="J574" s="1">
        <v>8007720746</v>
      </c>
      <c r="K574" s="1" t="s">
        <v>148</v>
      </c>
      <c r="L574" s="1" t="s">
        <v>4486</v>
      </c>
      <c r="M574" s="1" t="s">
        <v>81</v>
      </c>
      <c r="N574" s="1" t="s">
        <v>1418</v>
      </c>
      <c r="O574" s="1"/>
      <c r="P574" s="1" t="s">
        <v>1766</v>
      </c>
      <c r="Q574" s="1" t="s">
        <v>10767</v>
      </c>
      <c r="R574" s="1" t="s">
        <v>10768</v>
      </c>
      <c r="S574" s="1">
        <v>9923400172</v>
      </c>
      <c r="T574" s="1" t="s">
        <v>10769</v>
      </c>
      <c r="U574" s="1" t="s">
        <v>10770</v>
      </c>
      <c r="V574" s="1">
        <v>7020796760</v>
      </c>
      <c r="W574" s="1" t="s">
        <v>273</v>
      </c>
      <c r="X574" s="1" t="s">
        <v>10771</v>
      </c>
      <c r="Y574" s="1" t="s">
        <v>1424</v>
      </c>
      <c r="Z574" s="1" t="s">
        <v>92</v>
      </c>
      <c r="AA574" s="1" t="s">
        <v>10771</v>
      </c>
      <c r="AB574" s="1" t="s">
        <v>1424</v>
      </c>
      <c r="AC574" s="1" t="s">
        <v>92</v>
      </c>
      <c r="AD574" s="1">
        <v>8.49</v>
      </c>
      <c r="AE574" s="1" t="s">
        <v>93</v>
      </c>
      <c r="AF574" s="1" t="s">
        <v>2355</v>
      </c>
      <c r="AG574" s="1" t="s">
        <v>10772</v>
      </c>
      <c r="AH574" s="1" t="s">
        <v>101</v>
      </c>
      <c r="AI574" s="1" t="s">
        <v>308</v>
      </c>
      <c r="AJ574" s="1">
        <v>88.2</v>
      </c>
      <c r="AK574" s="1"/>
      <c r="AL574" s="1" t="s">
        <v>2355</v>
      </c>
      <c r="AM574" s="1" t="s">
        <v>307</v>
      </c>
      <c r="AN574" s="1" t="s">
        <v>433</v>
      </c>
      <c r="AO574" s="1" t="s">
        <v>1712</v>
      </c>
      <c r="AP574" s="1">
        <v>85</v>
      </c>
      <c r="AQ574" s="1"/>
      <c r="AR574" s="1"/>
      <c r="AS574" s="1"/>
      <c r="AT574" s="1"/>
      <c r="AU574" s="1"/>
      <c r="AV574" s="1"/>
      <c r="AW574" s="1"/>
      <c r="AX574" s="1" t="s">
        <v>10773</v>
      </c>
      <c r="AY574" s="1" t="s">
        <v>10774</v>
      </c>
      <c r="AZ574" s="1" t="s">
        <v>506</v>
      </c>
      <c r="BA574" s="1" t="s">
        <v>1361</v>
      </c>
      <c r="BB574" s="1">
        <v>69.78</v>
      </c>
      <c r="BC574" s="1">
        <v>7.3</v>
      </c>
      <c r="BD574" s="1"/>
      <c r="BE574" s="1"/>
      <c r="BF574" s="1"/>
      <c r="BG574" s="1"/>
      <c r="BH574" s="1"/>
      <c r="BI574" s="1"/>
      <c r="BJ574" s="1" t="s">
        <v>255</v>
      </c>
      <c r="BK574" s="1"/>
      <c r="BL574" s="1"/>
      <c r="BM574" s="1" t="s">
        <v>10775</v>
      </c>
      <c r="BN574" s="1">
        <v>3</v>
      </c>
      <c r="BO574" s="1" t="s">
        <v>10776</v>
      </c>
      <c r="BP574" s="1" t="str">
        <f>HYPERLINK("https://nconnect.nicmar.ac.in/storage/profile/ProfilePhoto_P25700534_342198.jpg","Download")</f>
        <v>0</v>
      </c>
      <c r="BQ574" s="3"/>
      <c r="BR574" s="3"/>
    </row>
    <row r="575" spans="1:70">
      <c r="A575" s="1" t="s">
        <v>70</v>
      </c>
      <c r="B575" s="1" t="s">
        <v>1269</v>
      </c>
      <c r="C575" s="1" t="s">
        <v>10777</v>
      </c>
      <c r="D575" s="1" t="s">
        <v>10778</v>
      </c>
      <c r="E575" s="1" t="s">
        <v>1316</v>
      </c>
      <c r="F575" s="1" t="s">
        <v>5906</v>
      </c>
      <c r="G575" s="1" t="s">
        <v>10779</v>
      </c>
      <c r="H575" s="1" t="s">
        <v>10780</v>
      </c>
      <c r="I575" s="1" t="s">
        <v>10781</v>
      </c>
      <c r="J575" s="1">
        <v>7738609236</v>
      </c>
      <c r="K575" s="1" t="s">
        <v>148</v>
      </c>
      <c r="L575" s="1" t="s">
        <v>10782</v>
      </c>
      <c r="M575" s="1" t="s">
        <v>81</v>
      </c>
      <c r="N575" s="1" t="s">
        <v>10783</v>
      </c>
      <c r="O575" s="1"/>
      <c r="P575" s="1" t="s">
        <v>1278</v>
      </c>
      <c r="Q575" s="1" t="s">
        <v>10784</v>
      </c>
      <c r="R575" s="1" t="s">
        <v>10785</v>
      </c>
      <c r="S575" s="1">
        <v>9869929529</v>
      </c>
      <c r="T575" s="1" t="s">
        <v>763</v>
      </c>
      <c r="U575" s="1" t="s">
        <v>10786</v>
      </c>
      <c r="V575" s="1">
        <v>9969553067</v>
      </c>
      <c r="W575" s="1" t="s">
        <v>89</v>
      </c>
      <c r="X575" s="1" t="s">
        <v>10787</v>
      </c>
      <c r="Y575" s="1" t="s">
        <v>766</v>
      </c>
      <c r="Z575" s="1" t="s">
        <v>92</v>
      </c>
      <c r="AA575" s="1" t="s">
        <v>10787</v>
      </c>
      <c r="AB575" s="1" t="s">
        <v>766</v>
      </c>
      <c r="AC575" s="1" t="s">
        <v>92</v>
      </c>
      <c r="AD575" s="1" t="s">
        <v>93</v>
      </c>
      <c r="AE575" s="1" t="s">
        <v>93</v>
      </c>
      <c r="AF575" s="1" t="s">
        <v>10788</v>
      </c>
      <c r="AG575" s="1" t="s">
        <v>455</v>
      </c>
      <c r="AH575" s="1" t="s">
        <v>101</v>
      </c>
      <c r="AI575" s="1" t="s">
        <v>409</v>
      </c>
      <c r="AJ575" s="1">
        <v>71.6</v>
      </c>
      <c r="AK575" s="1">
        <v>0</v>
      </c>
      <c r="AL575" s="1"/>
      <c r="AM575" s="1"/>
      <c r="AN575" s="1"/>
      <c r="AO575" s="1"/>
      <c r="AP575" s="1"/>
      <c r="AQ575" s="1"/>
      <c r="AR575" s="1" t="s">
        <v>434</v>
      </c>
      <c r="AS575" s="1" t="s">
        <v>10789</v>
      </c>
      <c r="AT575" s="1" t="s">
        <v>310</v>
      </c>
      <c r="AU575" s="1" t="s">
        <v>481</v>
      </c>
      <c r="AV575" s="1">
        <v>80.21</v>
      </c>
      <c r="AW575" s="1">
        <v>0</v>
      </c>
      <c r="AX575" s="1" t="s">
        <v>1024</v>
      </c>
      <c r="AY575" s="1" t="s">
        <v>10790</v>
      </c>
      <c r="AZ575" s="1" t="s">
        <v>874</v>
      </c>
      <c r="BA575" s="1" t="s">
        <v>1361</v>
      </c>
      <c r="BB575" s="1">
        <v>66.87</v>
      </c>
      <c r="BC575" s="1">
        <v>8.05</v>
      </c>
      <c r="BD575" s="1"/>
      <c r="BE575" s="1"/>
      <c r="BF575" s="1"/>
      <c r="BG575" s="1"/>
      <c r="BH575" s="1"/>
      <c r="BI575" s="1"/>
      <c r="BJ575" s="1" t="s">
        <v>10791</v>
      </c>
      <c r="BK575" s="1"/>
      <c r="BL575" s="1"/>
      <c r="BM575" s="1" t="s">
        <v>10792</v>
      </c>
      <c r="BN575" s="1">
        <v>12</v>
      </c>
      <c r="BO575" s="1"/>
      <c r="BP575" s="1" t="str">
        <f>HYPERLINK("https://nconnect.nicmar.ac.in/storage/profile/ProfilePhoto_P25700535_218456.jpg","Download")</f>
        <v>0</v>
      </c>
      <c r="BQ575" s="3"/>
      <c r="BR575" s="3"/>
    </row>
    <row r="576" spans="1:70">
      <c r="A576" s="1" t="s">
        <v>70</v>
      </c>
      <c r="B576" s="1" t="s">
        <v>1269</v>
      </c>
      <c r="C576" s="1" t="s">
        <v>10793</v>
      </c>
      <c r="D576" s="1" t="s">
        <v>10794</v>
      </c>
      <c r="E576" s="1"/>
      <c r="F576" s="1" t="s">
        <v>2150</v>
      </c>
      <c r="G576" s="1" t="s">
        <v>10795</v>
      </c>
      <c r="H576" s="1" t="s">
        <v>10796</v>
      </c>
      <c r="I576" s="1" t="s">
        <v>10797</v>
      </c>
      <c r="J576" s="1">
        <v>9560890504</v>
      </c>
      <c r="K576" s="1" t="s">
        <v>148</v>
      </c>
      <c r="L576" s="1" t="s">
        <v>10798</v>
      </c>
      <c r="M576" s="1" t="s">
        <v>81</v>
      </c>
      <c r="N576" s="1" t="s">
        <v>241</v>
      </c>
      <c r="O576" s="1"/>
      <c r="P576" s="1" t="s">
        <v>1323</v>
      </c>
      <c r="Q576" s="1" t="s">
        <v>10799</v>
      </c>
      <c r="R576" s="1" t="s">
        <v>10800</v>
      </c>
      <c r="S576" s="1">
        <v>9955933782</v>
      </c>
      <c r="T576" s="1" t="s">
        <v>4188</v>
      </c>
      <c r="U576" s="1" t="s">
        <v>10801</v>
      </c>
      <c r="V576" s="1">
        <v>9113156060</v>
      </c>
      <c r="W576" s="1" t="s">
        <v>89</v>
      </c>
      <c r="X576" s="1" t="s">
        <v>10802</v>
      </c>
      <c r="Y576" s="1" t="s">
        <v>10803</v>
      </c>
      <c r="Z576" s="1" t="s">
        <v>846</v>
      </c>
      <c r="AA576" s="1" t="s">
        <v>10802</v>
      </c>
      <c r="AB576" s="1" t="s">
        <v>10803</v>
      </c>
      <c r="AC576" s="1" t="s">
        <v>846</v>
      </c>
      <c r="AD576" s="1">
        <v>9.13</v>
      </c>
      <c r="AE576" s="1" t="s">
        <v>93</v>
      </c>
      <c r="AF576" s="1" t="s">
        <v>10804</v>
      </c>
      <c r="AG576" s="1" t="s">
        <v>2947</v>
      </c>
      <c r="AH576" s="1" t="s">
        <v>4697</v>
      </c>
      <c r="AI576" s="1" t="s">
        <v>727</v>
      </c>
      <c r="AJ576" s="1">
        <v>95</v>
      </c>
      <c r="AK576" s="1">
        <v>10</v>
      </c>
      <c r="AL576" s="1" t="s">
        <v>10804</v>
      </c>
      <c r="AM576" s="1" t="s">
        <v>2947</v>
      </c>
      <c r="AN576" s="1" t="s">
        <v>2401</v>
      </c>
      <c r="AO576" s="1" t="s">
        <v>999</v>
      </c>
      <c r="AP576" s="1">
        <v>91</v>
      </c>
      <c r="AQ576" s="1"/>
      <c r="AR576" s="1"/>
      <c r="AS576" s="1"/>
      <c r="AT576" s="1"/>
      <c r="AU576" s="1"/>
      <c r="AV576" s="1"/>
      <c r="AW576" s="1"/>
      <c r="AX576" s="1" t="s">
        <v>10805</v>
      </c>
      <c r="AY576" s="1" t="s">
        <v>10806</v>
      </c>
      <c r="AZ576" s="1" t="s">
        <v>100</v>
      </c>
      <c r="BA576" s="1" t="s">
        <v>173</v>
      </c>
      <c r="BB576" s="1">
        <v>80.42</v>
      </c>
      <c r="BC576" s="1"/>
      <c r="BD576" s="1"/>
      <c r="BE576" s="1"/>
      <c r="BF576" s="1"/>
      <c r="BG576" s="1"/>
      <c r="BH576" s="1"/>
      <c r="BI576" s="1"/>
      <c r="BJ576" s="1" t="s">
        <v>10807</v>
      </c>
      <c r="BK576" s="1"/>
      <c r="BL576" s="1"/>
      <c r="BM576" s="1" t="s">
        <v>10808</v>
      </c>
      <c r="BN576" s="1">
        <v>32</v>
      </c>
      <c r="BO576" s="1" t="s">
        <v>10809</v>
      </c>
      <c r="BP576" s="1" t="str">
        <f>HYPERLINK("https://nconnect.nicmar.ac.in/storage/profile/ProfilePhoto_P25700536_349728.jpg","Download")</f>
        <v>0</v>
      </c>
      <c r="BQ576" s="3"/>
      <c r="BR576" s="3"/>
    </row>
    <row r="577" spans="1:70">
      <c r="A577" s="1" t="s">
        <v>70</v>
      </c>
      <c r="B577" s="1" t="s">
        <v>1269</v>
      </c>
      <c r="C577" s="1" t="s">
        <v>10810</v>
      </c>
      <c r="D577" s="1" t="s">
        <v>10811</v>
      </c>
      <c r="E577" s="1"/>
      <c r="F577" s="1" t="s">
        <v>1653</v>
      </c>
      <c r="G577" s="1" t="s">
        <v>10812</v>
      </c>
      <c r="H577" s="1" t="s">
        <v>10813</v>
      </c>
      <c r="I577" s="1" t="s">
        <v>10814</v>
      </c>
      <c r="J577" s="1">
        <v>9072871323</v>
      </c>
      <c r="K577" s="1" t="s">
        <v>148</v>
      </c>
      <c r="L577" s="1" t="s">
        <v>1785</v>
      </c>
      <c r="M577" s="1" t="s">
        <v>81</v>
      </c>
      <c r="N577" s="1" t="s">
        <v>10095</v>
      </c>
      <c r="O577" s="1"/>
      <c r="P577" s="1" t="s">
        <v>1323</v>
      </c>
      <c r="Q577" s="1" t="s">
        <v>10815</v>
      </c>
      <c r="R577" s="1" t="s">
        <v>10816</v>
      </c>
      <c r="S577" s="1">
        <v>9446771323</v>
      </c>
      <c r="T577" s="1" t="s">
        <v>10817</v>
      </c>
      <c r="U577" s="1" t="s">
        <v>10818</v>
      </c>
      <c r="V577" s="1">
        <v>9495082521</v>
      </c>
      <c r="W577" s="1" t="s">
        <v>10819</v>
      </c>
      <c r="X577" s="1" t="s">
        <v>10820</v>
      </c>
      <c r="Y577" s="1" t="s">
        <v>891</v>
      </c>
      <c r="Z577" s="1" t="s">
        <v>125</v>
      </c>
      <c r="AA577" s="1" t="s">
        <v>10820</v>
      </c>
      <c r="AB577" s="1" t="s">
        <v>891</v>
      </c>
      <c r="AC577" s="1" t="s">
        <v>125</v>
      </c>
      <c r="AD577" s="1">
        <v>8.82</v>
      </c>
      <c r="AE577" s="1" t="s">
        <v>93</v>
      </c>
      <c r="AF577" s="1" t="s">
        <v>10821</v>
      </c>
      <c r="AG577" s="1" t="s">
        <v>1086</v>
      </c>
      <c r="AH577" s="1" t="s">
        <v>165</v>
      </c>
      <c r="AI577" s="1" t="s">
        <v>166</v>
      </c>
      <c r="AJ577" s="1">
        <v>88.4</v>
      </c>
      <c r="AK577" s="1"/>
      <c r="AL577" s="1" t="s">
        <v>10821</v>
      </c>
      <c r="AM577" s="1" t="s">
        <v>6288</v>
      </c>
      <c r="AN577" s="1" t="s">
        <v>433</v>
      </c>
      <c r="AO577" s="1" t="s">
        <v>173</v>
      </c>
      <c r="AP577" s="1">
        <v>81.25</v>
      </c>
      <c r="AQ577" s="1"/>
      <c r="AR577" s="1"/>
      <c r="AS577" s="1"/>
      <c r="AT577" s="1"/>
      <c r="AU577" s="1"/>
      <c r="AV577" s="1"/>
      <c r="AW577" s="1"/>
      <c r="AX577" s="1" t="s">
        <v>132</v>
      </c>
      <c r="AY577" s="1" t="s">
        <v>10822</v>
      </c>
      <c r="AZ577" s="1" t="s">
        <v>170</v>
      </c>
      <c r="BA577" s="1" t="s">
        <v>2103</v>
      </c>
      <c r="BB577" s="1">
        <v>70.6</v>
      </c>
      <c r="BC577" s="1">
        <v>7.06</v>
      </c>
      <c r="BD577" s="1"/>
      <c r="BE577" s="1"/>
      <c r="BF577" s="1"/>
      <c r="BG577" s="1"/>
      <c r="BH577" s="1"/>
      <c r="BI577" s="1"/>
      <c r="BJ577" s="1" t="s">
        <v>1383</v>
      </c>
      <c r="BK577" s="1"/>
      <c r="BL577" s="1"/>
      <c r="BM577" s="1"/>
      <c r="BN577" s="1"/>
      <c r="BO577" s="1"/>
      <c r="BP577" s="1" t="str">
        <f>HYPERLINK("https://nconnect.nicmar.ac.in/storage/profile/ProfilePhoto_P25700537_596821.jpg","Download")</f>
        <v>0</v>
      </c>
      <c r="BQ577" s="3"/>
      <c r="BR577" s="3"/>
    </row>
    <row r="578" spans="1:70">
      <c r="A578" s="1" t="s">
        <v>70</v>
      </c>
      <c r="B578" s="1" t="s">
        <v>1269</v>
      </c>
      <c r="C578" s="1" t="s">
        <v>10823</v>
      </c>
      <c r="D578" s="1" t="s">
        <v>10824</v>
      </c>
      <c r="E578" s="1"/>
      <c r="F578" s="1" t="s">
        <v>1653</v>
      </c>
      <c r="G578" s="1" t="s">
        <v>10825</v>
      </c>
      <c r="H578" s="1" t="s">
        <v>10826</v>
      </c>
      <c r="I578" s="1" t="s">
        <v>10827</v>
      </c>
      <c r="J578" s="1">
        <v>8301069860</v>
      </c>
      <c r="K578" s="1" t="s">
        <v>148</v>
      </c>
      <c r="L578" s="1" t="s">
        <v>10828</v>
      </c>
      <c r="M578" s="1" t="s">
        <v>81</v>
      </c>
      <c r="N578" s="1" t="s">
        <v>5653</v>
      </c>
      <c r="O578" s="1"/>
      <c r="P578" s="1" t="s">
        <v>1278</v>
      </c>
      <c r="Q578" s="1" t="s">
        <v>10829</v>
      </c>
      <c r="R578" s="1" t="s">
        <v>10830</v>
      </c>
      <c r="S578" s="1">
        <v>9496149860</v>
      </c>
      <c r="T578" s="1" t="s">
        <v>10831</v>
      </c>
      <c r="U578" s="1" t="s">
        <v>10832</v>
      </c>
      <c r="V578" s="1">
        <v>9544329170</v>
      </c>
      <c r="W578" s="1" t="s">
        <v>156</v>
      </c>
      <c r="X578" s="1" t="s">
        <v>10833</v>
      </c>
      <c r="Y578" s="1" t="s">
        <v>6044</v>
      </c>
      <c r="Z578" s="1" t="s">
        <v>125</v>
      </c>
      <c r="AA578" s="1" t="s">
        <v>10833</v>
      </c>
      <c r="AB578" s="1" t="s">
        <v>6044</v>
      </c>
      <c r="AC578" s="1" t="s">
        <v>125</v>
      </c>
      <c r="AD578" s="1">
        <v>8.7</v>
      </c>
      <c r="AE578" s="1" t="s">
        <v>93</v>
      </c>
      <c r="AF578" s="1" t="s">
        <v>10834</v>
      </c>
      <c r="AG578" s="1" t="s">
        <v>307</v>
      </c>
      <c r="AH578" s="1" t="s">
        <v>162</v>
      </c>
      <c r="AI578" s="1" t="s">
        <v>195</v>
      </c>
      <c r="AJ578" s="1">
        <v>95</v>
      </c>
      <c r="AK578" s="1">
        <v>10</v>
      </c>
      <c r="AL578" s="1" t="s">
        <v>10835</v>
      </c>
      <c r="AM578" s="1" t="s">
        <v>10836</v>
      </c>
      <c r="AN578" s="1" t="s">
        <v>101</v>
      </c>
      <c r="AO578" s="1" t="s">
        <v>409</v>
      </c>
      <c r="AP578" s="1">
        <v>90.41</v>
      </c>
      <c r="AQ578" s="1"/>
      <c r="AR578" s="1"/>
      <c r="AS578" s="1"/>
      <c r="AT578" s="1"/>
      <c r="AU578" s="1"/>
      <c r="AV578" s="1"/>
      <c r="AW578" s="1"/>
      <c r="AX578" s="1" t="s">
        <v>132</v>
      </c>
      <c r="AY578" s="1" t="s">
        <v>6682</v>
      </c>
      <c r="AZ578" s="1" t="s">
        <v>681</v>
      </c>
      <c r="BA578" s="1" t="s">
        <v>202</v>
      </c>
      <c r="BB578" s="1">
        <v>77.2</v>
      </c>
      <c r="BC578" s="1">
        <v>7.72</v>
      </c>
      <c r="BD578" s="1"/>
      <c r="BE578" s="1"/>
      <c r="BF578" s="1"/>
      <c r="BG578" s="1"/>
      <c r="BH578" s="1"/>
      <c r="BI578" s="1"/>
      <c r="BJ578" s="1" t="s">
        <v>10837</v>
      </c>
      <c r="BK578" s="1"/>
      <c r="BL578" s="1"/>
      <c r="BM578" s="1" t="s">
        <v>10838</v>
      </c>
      <c r="BN578" s="1">
        <v>34</v>
      </c>
      <c r="BO578" s="1" t="s">
        <v>10839</v>
      </c>
      <c r="BP578" s="1" t="str">
        <f>HYPERLINK("https://nconnect.nicmar.ac.in/storage/profile/ProfilePhoto_P25700538_648517.jpg","Download")</f>
        <v>0</v>
      </c>
      <c r="BQ578" s="3"/>
      <c r="BR578" s="3"/>
    </row>
    <row r="579" spans="1:70">
      <c r="A579" s="1" t="s">
        <v>70</v>
      </c>
      <c r="B579" s="1" t="s">
        <v>1269</v>
      </c>
      <c r="C579" s="1" t="s">
        <v>10840</v>
      </c>
      <c r="D579" s="1" t="s">
        <v>10841</v>
      </c>
      <c r="E579" s="1"/>
      <c r="F579" s="1" t="s">
        <v>10842</v>
      </c>
      <c r="G579" s="1" t="s">
        <v>10843</v>
      </c>
      <c r="H579" s="1" t="s">
        <v>10844</v>
      </c>
      <c r="I579" s="1" t="s">
        <v>10845</v>
      </c>
      <c r="J579" s="1">
        <v>7987506803</v>
      </c>
      <c r="K579" s="1" t="s">
        <v>148</v>
      </c>
      <c r="L579" s="1" t="s">
        <v>10846</v>
      </c>
      <c r="M579" s="1" t="s">
        <v>81</v>
      </c>
      <c r="N579" s="1" t="s">
        <v>10847</v>
      </c>
      <c r="O579" s="1"/>
      <c r="P579" s="1" t="s">
        <v>1323</v>
      </c>
      <c r="Q579" s="1" t="s">
        <v>10848</v>
      </c>
      <c r="R579" s="1" t="s">
        <v>10849</v>
      </c>
      <c r="S579" s="1">
        <v>9826698890</v>
      </c>
      <c r="T579" s="1" t="s">
        <v>842</v>
      </c>
      <c r="U579" s="1" t="s">
        <v>10850</v>
      </c>
      <c r="V579" s="1">
        <v>8435027464</v>
      </c>
      <c r="W579" s="1" t="s">
        <v>89</v>
      </c>
      <c r="X579" s="1" t="s">
        <v>10851</v>
      </c>
      <c r="Y579" s="1" t="s">
        <v>191</v>
      </c>
      <c r="Z579" s="1" t="s">
        <v>92</v>
      </c>
      <c r="AA579" s="1" t="s">
        <v>10852</v>
      </c>
      <c r="AB579" s="1" t="s">
        <v>10853</v>
      </c>
      <c r="AC579" s="1" t="s">
        <v>936</v>
      </c>
      <c r="AD579" s="1">
        <v>8.57</v>
      </c>
      <c r="AE579" s="1" t="s">
        <v>93</v>
      </c>
      <c r="AF579" s="1" t="s">
        <v>10854</v>
      </c>
      <c r="AG579" s="1" t="s">
        <v>939</v>
      </c>
      <c r="AH579" s="1" t="s">
        <v>4212</v>
      </c>
      <c r="AI579" s="1" t="s">
        <v>1197</v>
      </c>
      <c r="AJ579" s="1">
        <v>81.7</v>
      </c>
      <c r="AK579" s="1">
        <v>8.6</v>
      </c>
      <c r="AL579" s="1" t="s">
        <v>10854</v>
      </c>
      <c r="AM579" s="1" t="s">
        <v>939</v>
      </c>
      <c r="AN579" s="1" t="s">
        <v>503</v>
      </c>
      <c r="AO579" s="1" t="s">
        <v>527</v>
      </c>
      <c r="AP579" s="1">
        <v>64.8</v>
      </c>
      <c r="AQ579" s="1">
        <v>0</v>
      </c>
      <c r="AR579" s="1"/>
      <c r="AS579" s="1"/>
      <c r="AT579" s="1"/>
      <c r="AU579" s="1"/>
      <c r="AV579" s="1"/>
      <c r="AW579" s="1"/>
      <c r="AX579" s="1" t="s">
        <v>361</v>
      </c>
      <c r="AY579" s="1" t="s">
        <v>10855</v>
      </c>
      <c r="AZ579" s="1" t="s">
        <v>225</v>
      </c>
      <c r="BA579" s="1" t="s">
        <v>481</v>
      </c>
      <c r="BB579" s="1">
        <v>70.5</v>
      </c>
      <c r="BC579" s="1">
        <v>7.8</v>
      </c>
      <c r="BD579" s="1"/>
      <c r="BE579" s="1"/>
      <c r="BF579" s="1"/>
      <c r="BG579" s="1"/>
      <c r="BH579" s="1"/>
      <c r="BI579" s="1"/>
      <c r="BJ579" s="1" t="s">
        <v>10856</v>
      </c>
      <c r="BK579" s="1" t="s">
        <v>10857</v>
      </c>
      <c r="BL579" s="1" t="s">
        <v>1629</v>
      </c>
      <c r="BM579" s="1" t="s">
        <v>10858</v>
      </c>
      <c r="BN579" s="1">
        <v>21</v>
      </c>
      <c r="BO579" s="1" t="s">
        <v>10859</v>
      </c>
      <c r="BP579" s="1" t="str">
        <f>HYPERLINK("https://nconnect.nicmar.ac.in/storage/profile/ProfilePhoto_P25700539_189627.jpg","Download")</f>
        <v>0</v>
      </c>
      <c r="BQ579" s="3"/>
      <c r="BR579" s="3"/>
    </row>
    <row r="580" spans="1:70">
      <c r="A580" s="1" t="s">
        <v>70</v>
      </c>
      <c r="B580" s="1" t="s">
        <v>1269</v>
      </c>
      <c r="C580" s="1" t="s">
        <v>10860</v>
      </c>
      <c r="D580" s="1" t="s">
        <v>10861</v>
      </c>
      <c r="E580" s="1" t="s">
        <v>465</v>
      </c>
      <c r="F580" s="1" t="s">
        <v>10862</v>
      </c>
      <c r="G580" s="1" t="s">
        <v>10863</v>
      </c>
      <c r="H580" s="1" t="s">
        <v>10864</v>
      </c>
      <c r="I580" s="1" t="s">
        <v>10865</v>
      </c>
      <c r="J580" s="1">
        <v>7248976751</v>
      </c>
      <c r="K580" s="1" t="s">
        <v>79</v>
      </c>
      <c r="L580" s="1" t="s">
        <v>10557</v>
      </c>
      <c r="M580" s="1" t="s">
        <v>81</v>
      </c>
      <c r="N580" s="1" t="s">
        <v>1618</v>
      </c>
      <c r="O580" s="1"/>
      <c r="P580" s="1" t="s">
        <v>1323</v>
      </c>
      <c r="Q580" s="1" t="s">
        <v>10866</v>
      </c>
      <c r="R580" s="1" t="s">
        <v>10867</v>
      </c>
      <c r="S580" s="1">
        <v>9850209913</v>
      </c>
      <c r="T580" s="1" t="s">
        <v>120</v>
      </c>
      <c r="U580" s="1" t="s">
        <v>10868</v>
      </c>
      <c r="V580" s="1">
        <v>9970937262</v>
      </c>
      <c r="W580" s="1" t="s">
        <v>120</v>
      </c>
      <c r="X580" s="1" t="s">
        <v>10869</v>
      </c>
      <c r="Y580" s="1" t="s">
        <v>191</v>
      </c>
      <c r="Z580" s="1" t="s">
        <v>92</v>
      </c>
      <c r="AA580" s="1" t="s">
        <v>10870</v>
      </c>
      <c r="AB580" s="1" t="s">
        <v>405</v>
      </c>
      <c r="AC580" s="1" t="s">
        <v>92</v>
      </c>
      <c r="AD580" s="1">
        <v>8.75</v>
      </c>
      <c r="AE580" s="1" t="s">
        <v>93</v>
      </c>
      <c r="AF580" s="1" t="s">
        <v>10871</v>
      </c>
      <c r="AG580" s="1" t="s">
        <v>307</v>
      </c>
      <c r="AH580" s="1" t="s">
        <v>161</v>
      </c>
      <c r="AI580" s="1" t="s">
        <v>527</v>
      </c>
      <c r="AJ580" s="1">
        <v>93.1</v>
      </c>
      <c r="AK580" s="1">
        <v>9.8</v>
      </c>
      <c r="AL580" s="1" t="s">
        <v>10872</v>
      </c>
      <c r="AM580" s="1" t="s">
        <v>4438</v>
      </c>
      <c r="AN580" s="1" t="s">
        <v>162</v>
      </c>
      <c r="AO580" s="1" t="s">
        <v>166</v>
      </c>
      <c r="AP580" s="1">
        <v>74.62</v>
      </c>
      <c r="AQ580" s="1"/>
      <c r="AR580" s="1"/>
      <c r="AS580" s="1"/>
      <c r="AT580" s="1"/>
      <c r="AU580" s="1"/>
      <c r="AV580" s="1"/>
      <c r="AW580" s="1"/>
      <c r="AX580" s="1" t="s">
        <v>10873</v>
      </c>
      <c r="AY580" s="1" t="s">
        <v>10049</v>
      </c>
      <c r="AZ580" s="1" t="s">
        <v>636</v>
      </c>
      <c r="BA580" s="1" t="s">
        <v>1003</v>
      </c>
      <c r="BB580" s="1">
        <v>81.8</v>
      </c>
      <c r="BC580" s="1">
        <v>8.18</v>
      </c>
      <c r="BD580" s="1"/>
      <c r="BE580" s="1"/>
      <c r="BF580" s="1"/>
      <c r="BG580" s="1"/>
      <c r="BH580" s="1"/>
      <c r="BI580" s="1"/>
      <c r="BJ580" s="1" t="s">
        <v>10874</v>
      </c>
      <c r="BK580" s="1" t="s">
        <v>10875</v>
      </c>
      <c r="BL580" s="1" t="s">
        <v>1385</v>
      </c>
      <c r="BM580" s="1" t="s">
        <v>10876</v>
      </c>
      <c r="BN580" s="1">
        <v>14</v>
      </c>
      <c r="BO580" s="1" t="s">
        <v>10877</v>
      </c>
      <c r="BP580" s="1" t="str">
        <f>HYPERLINK("https://nconnect.nicmar.ac.in/storage/profile/ProfilePhoto_P25700540_731968.jpg","Download")</f>
        <v>0</v>
      </c>
      <c r="BQ580" s="3"/>
      <c r="BR580" s="3"/>
    </row>
    <row r="581" spans="1:70">
      <c r="A581" s="1" t="s">
        <v>70</v>
      </c>
      <c r="B581" s="1" t="s">
        <v>1269</v>
      </c>
      <c r="C581" s="1" t="s">
        <v>10878</v>
      </c>
      <c r="D581" s="1" t="s">
        <v>10879</v>
      </c>
      <c r="E581" s="1" t="s">
        <v>2023</v>
      </c>
      <c r="F581" s="1" t="s">
        <v>10880</v>
      </c>
      <c r="G581" s="1" t="s">
        <v>10881</v>
      </c>
      <c r="H581" s="1" t="s">
        <v>10882</v>
      </c>
      <c r="I581" s="1" t="s">
        <v>10883</v>
      </c>
      <c r="J581" s="1">
        <v>8855884281</v>
      </c>
      <c r="K581" s="1" t="s">
        <v>79</v>
      </c>
      <c r="L581" s="1" t="s">
        <v>2504</v>
      </c>
      <c r="M581" s="1" t="s">
        <v>81</v>
      </c>
      <c r="N581" s="1" t="s">
        <v>1765</v>
      </c>
      <c r="O581" s="1"/>
      <c r="P581" s="1" t="s">
        <v>1323</v>
      </c>
      <c r="Q581" s="1" t="s">
        <v>10884</v>
      </c>
      <c r="R581" s="1" t="s">
        <v>2023</v>
      </c>
      <c r="S581" s="1">
        <v>8668505500</v>
      </c>
      <c r="T581" s="1" t="s">
        <v>5439</v>
      </c>
      <c r="U581" s="1" t="s">
        <v>693</v>
      </c>
      <c r="V581" s="1">
        <v>9284724442</v>
      </c>
      <c r="W581" s="1" t="s">
        <v>122</v>
      </c>
      <c r="X581" s="1" t="s">
        <v>10885</v>
      </c>
      <c r="Y581" s="1" t="s">
        <v>523</v>
      </c>
      <c r="Z581" s="1" t="s">
        <v>92</v>
      </c>
      <c r="AA581" s="1" t="s">
        <v>10885</v>
      </c>
      <c r="AB581" s="1" t="s">
        <v>523</v>
      </c>
      <c r="AC581" s="1" t="s">
        <v>92</v>
      </c>
      <c r="AD581" s="1">
        <v>8.07</v>
      </c>
      <c r="AE581" s="1" t="s">
        <v>93</v>
      </c>
      <c r="AF581" s="1" t="s">
        <v>10886</v>
      </c>
      <c r="AG581" s="1" t="s">
        <v>455</v>
      </c>
      <c r="AH581" s="1" t="s">
        <v>456</v>
      </c>
      <c r="AI581" s="1" t="s">
        <v>195</v>
      </c>
      <c r="AJ581" s="1">
        <v>81</v>
      </c>
      <c r="AK581" s="1"/>
      <c r="AL581" s="1" t="s">
        <v>10887</v>
      </c>
      <c r="AM581" s="1" t="s">
        <v>455</v>
      </c>
      <c r="AN581" s="1" t="s">
        <v>1307</v>
      </c>
      <c r="AO581" s="1" t="s">
        <v>198</v>
      </c>
      <c r="AP581" s="1">
        <v>63.54</v>
      </c>
      <c r="AQ581" s="1"/>
      <c r="AR581" s="1"/>
      <c r="AS581" s="1"/>
      <c r="AT581" s="1"/>
      <c r="AU581" s="1"/>
      <c r="AV581" s="1"/>
      <c r="AW581" s="1"/>
      <c r="AX581" s="1" t="s">
        <v>8553</v>
      </c>
      <c r="AY581" s="1" t="s">
        <v>10888</v>
      </c>
      <c r="AZ581" s="1" t="s">
        <v>201</v>
      </c>
      <c r="BA581" s="1" t="s">
        <v>174</v>
      </c>
      <c r="BB581" s="1">
        <v>70.5</v>
      </c>
      <c r="BC581" s="1">
        <v>7.8</v>
      </c>
      <c r="BD581" s="1"/>
      <c r="BE581" s="1"/>
      <c r="BF581" s="1"/>
      <c r="BG581" s="1"/>
      <c r="BH581" s="1"/>
      <c r="BI581" s="1"/>
      <c r="BJ581" s="1" t="s">
        <v>364</v>
      </c>
      <c r="BK581" s="1"/>
      <c r="BL581" s="1"/>
      <c r="BM581" s="1" t="s">
        <v>10889</v>
      </c>
      <c r="BN581" s="1">
        <v>38</v>
      </c>
      <c r="BO581" s="1" t="s">
        <v>10890</v>
      </c>
      <c r="BP581" s="1" t="str">
        <f>HYPERLINK("https://nconnect.nicmar.ac.in/storage/profile/ProfilePhoto_P25700541_148765.jpg","Download")</f>
        <v>0</v>
      </c>
      <c r="BQ581" s="3"/>
      <c r="BR581" s="3"/>
    </row>
    <row r="582" spans="1:70">
      <c r="A582" s="1" t="s">
        <v>70</v>
      </c>
      <c r="B582" s="1" t="s">
        <v>1269</v>
      </c>
      <c r="C582" s="1" t="s">
        <v>10891</v>
      </c>
      <c r="D582" s="1" t="s">
        <v>10892</v>
      </c>
      <c r="E582" s="1" t="s">
        <v>3201</v>
      </c>
      <c r="F582" s="1" t="s">
        <v>2674</v>
      </c>
      <c r="G582" s="1" t="s">
        <v>10893</v>
      </c>
      <c r="H582" s="1" t="s">
        <v>10894</v>
      </c>
      <c r="I582" s="1" t="s">
        <v>10895</v>
      </c>
      <c r="J582" s="1">
        <v>9021666927</v>
      </c>
      <c r="K582" s="1" t="s">
        <v>79</v>
      </c>
      <c r="L582" s="1" t="s">
        <v>9003</v>
      </c>
      <c r="M582" s="1" t="s">
        <v>81</v>
      </c>
      <c r="N582" s="1" t="s">
        <v>1418</v>
      </c>
      <c r="O582" s="1"/>
      <c r="P582" s="1" t="s">
        <v>1323</v>
      </c>
      <c r="Q582" s="1" t="s">
        <v>10896</v>
      </c>
      <c r="R582" s="1" t="s">
        <v>10897</v>
      </c>
      <c r="S582" s="1">
        <v>9422258357</v>
      </c>
      <c r="T582" s="1" t="s">
        <v>3190</v>
      </c>
      <c r="U582" s="1" t="s">
        <v>10898</v>
      </c>
      <c r="V582" s="1">
        <v>9423972867</v>
      </c>
      <c r="W582" s="1" t="s">
        <v>156</v>
      </c>
      <c r="X582" s="1" t="s">
        <v>10899</v>
      </c>
      <c r="Y582" s="1" t="s">
        <v>1174</v>
      </c>
      <c r="Z582" s="1" t="s">
        <v>92</v>
      </c>
      <c r="AA582" s="1" t="s">
        <v>10899</v>
      </c>
      <c r="AB582" s="1" t="s">
        <v>1174</v>
      </c>
      <c r="AC582" s="1" t="s">
        <v>92</v>
      </c>
      <c r="AD582" s="1">
        <v>9.05</v>
      </c>
      <c r="AE582" s="1" t="s">
        <v>93</v>
      </c>
      <c r="AF582" s="1" t="s">
        <v>10900</v>
      </c>
      <c r="AG582" s="1" t="s">
        <v>160</v>
      </c>
      <c r="AH582" s="1" t="s">
        <v>165</v>
      </c>
      <c r="AI582" s="1" t="s">
        <v>101</v>
      </c>
      <c r="AJ582" s="1">
        <v>94.8</v>
      </c>
      <c r="AK582" s="1"/>
      <c r="AL582" s="1" t="s">
        <v>10901</v>
      </c>
      <c r="AM582" s="1" t="s">
        <v>160</v>
      </c>
      <c r="AN582" s="1" t="s">
        <v>310</v>
      </c>
      <c r="AO582" s="1" t="s">
        <v>681</v>
      </c>
      <c r="AP582" s="1">
        <v>79.38</v>
      </c>
      <c r="AQ582" s="1"/>
      <c r="AR582" s="1"/>
      <c r="AS582" s="1"/>
      <c r="AT582" s="1"/>
      <c r="AU582" s="1"/>
      <c r="AV582" s="1"/>
      <c r="AW582" s="1"/>
      <c r="AX582" s="1" t="s">
        <v>361</v>
      </c>
      <c r="AY582" s="1" t="s">
        <v>10902</v>
      </c>
      <c r="AZ582" s="1" t="s">
        <v>363</v>
      </c>
      <c r="BA582" s="1" t="s">
        <v>202</v>
      </c>
      <c r="BB582" s="1">
        <v>74.9</v>
      </c>
      <c r="BC582" s="1">
        <v>7.99</v>
      </c>
      <c r="BD582" s="1"/>
      <c r="BE582" s="1"/>
      <c r="BF582" s="1"/>
      <c r="BG582" s="1"/>
      <c r="BH582" s="1"/>
      <c r="BI582" s="1"/>
      <c r="BJ582" s="1" t="s">
        <v>10903</v>
      </c>
      <c r="BK582" s="1"/>
      <c r="BL582" s="1"/>
      <c r="BM582" s="1" t="s">
        <v>10904</v>
      </c>
      <c r="BN582" s="1">
        <v>39</v>
      </c>
      <c r="BO582" s="1" t="s">
        <v>10905</v>
      </c>
      <c r="BP582" s="1" t="str">
        <f>HYPERLINK("https://nconnect.nicmar.ac.in/storage/profile/ProfilePhoto_P25700542_891354.jpg","Download")</f>
        <v>0</v>
      </c>
      <c r="BQ582" s="3"/>
      <c r="BR582" s="3"/>
    </row>
    <row r="583" spans="1:70">
      <c r="A583" s="1" t="s">
        <v>70</v>
      </c>
      <c r="B583" s="1" t="s">
        <v>1269</v>
      </c>
      <c r="C583" s="1" t="s">
        <v>10906</v>
      </c>
      <c r="D583" s="1" t="s">
        <v>10907</v>
      </c>
      <c r="E583" s="1"/>
      <c r="F583" s="1" t="s">
        <v>10908</v>
      </c>
      <c r="G583" s="1" t="s">
        <v>10909</v>
      </c>
      <c r="H583" s="1" t="s">
        <v>10910</v>
      </c>
      <c r="I583" s="1" t="s">
        <v>10911</v>
      </c>
      <c r="J583" s="1">
        <v>9895721858</v>
      </c>
      <c r="K583" s="1" t="s">
        <v>79</v>
      </c>
      <c r="L583" s="1" t="s">
        <v>10912</v>
      </c>
      <c r="M583" s="1" t="s">
        <v>81</v>
      </c>
      <c r="N583" s="1" t="s">
        <v>5928</v>
      </c>
      <c r="O583" s="1"/>
      <c r="P583" s="1" t="s">
        <v>1766</v>
      </c>
      <c r="Q583" s="1" t="s">
        <v>10913</v>
      </c>
      <c r="R583" s="1" t="s">
        <v>10914</v>
      </c>
      <c r="S583" s="1">
        <v>9895379454</v>
      </c>
      <c r="T583" s="1" t="s">
        <v>5802</v>
      </c>
      <c r="U583" s="1" t="s">
        <v>10915</v>
      </c>
      <c r="V583" s="1">
        <v>9895569453</v>
      </c>
      <c r="W583" s="1" t="s">
        <v>5802</v>
      </c>
      <c r="X583" s="1" t="s">
        <v>10916</v>
      </c>
      <c r="Y583" s="1" t="s">
        <v>1491</v>
      </c>
      <c r="Z583" s="1" t="s">
        <v>125</v>
      </c>
      <c r="AA583" s="1" t="s">
        <v>10916</v>
      </c>
      <c r="AB583" s="1" t="s">
        <v>1491</v>
      </c>
      <c r="AC583" s="1" t="s">
        <v>125</v>
      </c>
      <c r="AD583" s="1">
        <v>9.02</v>
      </c>
      <c r="AE583" s="1" t="s">
        <v>93</v>
      </c>
      <c r="AF583" s="1" t="s">
        <v>10917</v>
      </c>
      <c r="AG583" s="1" t="s">
        <v>939</v>
      </c>
      <c r="AH583" s="1" t="s">
        <v>96</v>
      </c>
      <c r="AI583" s="1" t="s">
        <v>131</v>
      </c>
      <c r="AJ583" s="1">
        <v>95</v>
      </c>
      <c r="AK583" s="1">
        <v>10</v>
      </c>
      <c r="AL583" s="1" t="s">
        <v>10917</v>
      </c>
      <c r="AM583" s="1" t="s">
        <v>939</v>
      </c>
      <c r="AN583" s="1" t="s">
        <v>162</v>
      </c>
      <c r="AO583" s="1" t="s">
        <v>479</v>
      </c>
      <c r="AP583" s="1">
        <v>76</v>
      </c>
      <c r="AQ583" s="1">
        <v>0</v>
      </c>
      <c r="AR583" s="1"/>
      <c r="AS583" s="1"/>
      <c r="AT583" s="1"/>
      <c r="AU583" s="1"/>
      <c r="AV583" s="1"/>
      <c r="AW583" s="1"/>
      <c r="AX583" s="1" t="s">
        <v>7874</v>
      </c>
      <c r="AY583" s="1" t="s">
        <v>10918</v>
      </c>
      <c r="AZ583" s="1" t="s">
        <v>383</v>
      </c>
      <c r="BA583" s="1" t="s">
        <v>3081</v>
      </c>
      <c r="BB583" s="1">
        <v>77.9</v>
      </c>
      <c r="BC583" s="1">
        <v>8.59</v>
      </c>
      <c r="BD583" s="1"/>
      <c r="BE583" s="1"/>
      <c r="BF583" s="1"/>
      <c r="BG583" s="1"/>
      <c r="BH583" s="1"/>
      <c r="BI583" s="1"/>
      <c r="BJ583" s="1" t="s">
        <v>10919</v>
      </c>
      <c r="BK583" s="1" t="s">
        <v>10920</v>
      </c>
      <c r="BL583" s="1" t="s">
        <v>4917</v>
      </c>
      <c r="BM583" s="1" t="s">
        <v>10921</v>
      </c>
      <c r="BN583" s="1">
        <v>9</v>
      </c>
      <c r="BO583" s="1" t="s">
        <v>10922</v>
      </c>
      <c r="BP583" s="1" t="str">
        <f>HYPERLINK("https://nconnect.nicmar.ac.in/storage/profile/ProfilePhoto_P25700543_269387.jpg","Download")</f>
        <v>0</v>
      </c>
      <c r="BQ583" s="3"/>
      <c r="BR583" s="3"/>
    </row>
    <row r="584" spans="1:70">
      <c r="A584" s="1" t="s">
        <v>70</v>
      </c>
      <c r="B584" s="1" t="s">
        <v>1269</v>
      </c>
      <c r="C584" s="1" t="s">
        <v>10923</v>
      </c>
      <c r="D584" s="1" t="s">
        <v>10924</v>
      </c>
      <c r="E584" s="1" t="s">
        <v>10925</v>
      </c>
      <c r="F584" s="1" t="s">
        <v>1874</v>
      </c>
      <c r="G584" s="1" t="s">
        <v>10926</v>
      </c>
      <c r="H584" s="1" t="s">
        <v>10927</v>
      </c>
      <c r="I584" s="1" t="s">
        <v>10928</v>
      </c>
      <c r="J584" s="1">
        <v>9949296219</v>
      </c>
      <c r="K584" s="1" t="s">
        <v>79</v>
      </c>
      <c r="L584" s="1" t="s">
        <v>10929</v>
      </c>
      <c r="M584" s="1" t="s">
        <v>81</v>
      </c>
      <c r="N584" s="1" t="s">
        <v>10930</v>
      </c>
      <c r="O584" s="1"/>
      <c r="P584" s="1" t="s">
        <v>1298</v>
      </c>
      <c r="Q584" s="1" t="s">
        <v>10931</v>
      </c>
      <c r="R584" s="1" t="s">
        <v>10932</v>
      </c>
      <c r="S584" s="1">
        <v>9963214083</v>
      </c>
      <c r="T584" s="1" t="s">
        <v>496</v>
      </c>
      <c r="U584" s="1" t="s">
        <v>10933</v>
      </c>
      <c r="V584" s="1">
        <v>9966388020</v>
      </c>
      <c r="W584" s="1" t="s">
        <v>156</v>
      </c>
      <c r="X584" s="1" t="s">
        <v>10934</v>
      </c>
      <c r="Y584" s="1" t="s">
        <v>1513</v>
      </c>
      <c r="Z584" s="1" t="s">
        <v>276</v>
      </c>
      <c r="AA584" s="1" t="s">
        <v>10934</v>
      </c>
      <c r="AB584" s="1" t="s">
        <v>1513</v>
      </c>
      <c r="AC584" s="1" t="s">
        <v>276</v>
      </c>
      <c r="AD584" s="1">
        <v>9.34</v>
      </c>
      <c r="AE584" s="1" t="s">
        <v>93</v>
      </c>
      <c r="AF584" s="1" t="s">
        <v>8991</v>
      </c>
      <c r="AG584" s="1" t="s">
        <v>10935</v>
      </c>
      <c r="AH584" s="1" t="s">
        <v>97</v>
      </c>
      <c r="AI584" s="1" t="s">
        <v>456</v>
      </c>
      <c r="AJ584" s="1">
        <v>98</v>
      </c>
      <c r="AK584" s="1">
        <v>9.8</v>
      </c>
      <c r="AL584" s="1" t="s">
        <v>10936</v>
      </c>
      <c r="AM584" s="1" t="s">
        <v>10937</v>
      </c>
      <c r="AN584" s="1" t="s">
        <v>279</v>
      </c>
      <c r="AO584" s="1" t="s">
        <v>1307</v>
      </c>
      <c r="AP584" s="1">
        <v>97.6</v>
      </c>
      <c r="AQ584" s="1"/>
      <c r="AR584" s="1"/>
      <c r="AS584" s="1"/>
      <c r="AT584" s="1"/>
      <c r="AU584" s="1"/>
      <c r="AV584" s="1"/>
      <c r="AW584" s="1"/>
      <c r="AX584" s="1" t="s">
        <v>1359</v>
      </c>
      <c r="AY584" s="1" t="s">
        <v>1359</v>
      </c>
      <c r="AZ584" s="1" t="s">
        <v>166</v>
      </c>
      <c r="BA584" s="1" t="s">
        <v>1003</v>
      </c>
      <c r="BB584" s="1">
        <v>77.2</v>
      </c>
      <c r="BC584" s="1">
        <v>7.72</v>
      </c>
      <c r="BD584" s="1"/>
      <c r="BE584" s="1"/>
      <c r="BF584" s="1"/>
      <c r="BG584" s="1"/>
      <c r="BH584" s="1"/>
      <c r="BI584" s="1"/>
      <c r="BJ584" s="1" t="s">
        <v>10938</v>
      </c>
      <c r="BK584" s="1" t="s">
        <v>10939</v>
      </c>
      <c r="BL584" s="1" t="s">
        <v>138</v>
      </c>
      <c r="BM584" s="1" t="s">
        <v>10940</v>
      </c>
      <c r="BN584" s="1">
        <v>8</v>
      </c>
      <c r="BO584" s="1" t="s">
        <v>10941</v>
      </c>
      <c r="BP584" s="1" t="str">
        <f>HYPERLINK("https://nconnect.nicmar.ac.in/storage/profile/ProfilePhoto_P25700544_418352.jpg","Download")</f>
        <v>0</v>
      </c>
      <c r="BQ584" s="3"/>
      <c r="BR584" s="3"/>
    </row>
    <row r="585" spans="1:70">
      <c r="A585" s="1" t="s">
        <v>70</v>
      </c>
      <c r="B585" s="1" t="s">
        <v>1269</v>
      </c>
      <c r="C585" s="1" t="s">
        <v>10942</v>
      </c>
      <c r="D585" s="1" t="s">
        <v>10943</v>
      </c>
      <c r="E585" s="1"/>
      <c r="F585" s="1" t="s">
        <v>10944</v>
      </c>
      <c r="G585" s="1" t="s">
        <v>10945</v>
      </c>
      <c r="H585" s="1" t="s">
        <v>10946</v>
      </c>
      <c r="I585" s="1" t="s">
        <v>10947</v>
      </c>
      <c r="J585" s="1">
        <v>9347790600</v>
      </c>
      <c r="K585" s="1" t="s">
        <v>79</v>
      </c>
      <c r="L585" s="1" t="s">
        <v>10948</v>
      </c>
      <c r="M585" s="1" t="s">
        <v>81</v>
      </c>
      <c r="N585" s="1" t="s">
        <v>2274</v>
      </c>
      <c r="O585" s="1"/>
      <c r="P585" s="1" t="s">
        <v>1278</v>
      </c>
      <c r="Q585" s="1" t="s">
        <v>10949</v>
      </c>
      <c r="R585" s="1" t="s">
        <v>10950</v>
      </c>
      <c r="S585" s="1">
        <v>9010536977</v>
      </c>
      <c r="T585" s="1" t="s">
        <v>2333</v>
      </c>
      <c r="U585" s="1" t="s">
        <v>10951</v>
      </c>
      <c r="V585" s="1">
        <v>8712387199</v>
      </c>
      <c r="W585" s="1" t="s">
        <v>2333</v>
      </c>
      <c r="X585" s="1" t="s">
        <v>10952</v>
      </c>
      <c r="Y585" s="1" t="s">
        <v>191</v>
      </c>
      <c r="Z585" s="1" t="s">
        <v>92</v>
      </c>
      <c r="AA585" s="1" t="s">
        <v>10953</v>
      </c>
      <c r="AB585" s="1" t="s">
        <v>10954</v>
      </c>
      <c r="AC585" s="1" t="s">
        <v>276</v>
      </c>
      <c r="AD585" s="1">
        <v>8.56</v>
      </c>
      <c r="AE585" s="1" t="s">
        <v>93</v>
      </c>
      <c r="AF585" s="1" t="s">
        <v>8991</v>
      </c>
      <c r="AG585" s="1" t="s">
        <v>2243</v>
      </c>
      <c r="AH585" s="1" t="s">
        <v>165</v>
      </c>
      <c r="AI585" s="1" t="s">
        <v>281</v>
      </c>
      <c r="AJ585" s="1">
        <v>90</v>
      </c>
      <c r="AK585" s="1">
        <v>9</v>
      </c>
      <c r="AL585" s="1" t="s">
        <v>10955</v>
      </c>
      <c r="AM585" s="1" t="s">
        <v>10956</v>
      </c>
      <c r="AN585" s="1" t="s">
        <v>169</v>
      </c>
      <c r="AO585" s="1" t="s">
        <v>941</v>
      </c>
      <c r="AP585" s="1">
        <v>81.03</v>
      </c>
      <c r="AQ585" s="1">
        <v>8.53</v>
      </c>
      <c r="AR585" s="1"/>
      <c r="AS585" s="1"/>
      <c r="AT585" s="1"/>
      <c r="AU585" s="1"/>
      <c r="AV585" s="1"/>
      <c r="AW585" s="1"/>
      <c r="AX585" s="1" t="s">
        <v>3460</v>
      </c>
      <c r="AY585" s="1" t="s">
        <v>10957</v>
      </c>
      <c r="AZ585" s="1" t="s">
        <v>363</v>
      </c>
      <c r="BA585" s="1" t="s">
        <v>702</v>
      </c>
      <c r="BB585" s="1">
        <v>73.7</v>
      </c>
      <c r="BC585" s="1">
        <v>8.12</v>
      </c>
      <c r="BD585" s="1"/>
      <c r="BE585" s="1"/>
      <c r="BF585" s="1"/>
      <c r="BG585" s="1"/>
      <c r="BH585" s="1"/>
      <c r="BI585" s="1"/>
      <c r="BJ585" s="1" t="s">
        <v>5446</v>
      </c>
      <c r="BK585" s="1" t="s">
        <v>10958</v>
      </c>
      <c r="BL585" s="1" t="s">
        <v>287</v>
      </c>
      <c r="BM585" s="1" t="s">
        <v>10959</v>
      </c>
      <c r="BN585" s="1">
        <v>14</v>
      </c>
      <c r="BO585" s="1"/>
      <c r="BP585" s="1" t="str">
        <f>HYPERLINK("https://nconnect.nicmar.ac.in/storage/profile/ProfilePhoto_P25700545_567941.jpg","Download")</f>
        <v>0</v>
      </c>
      <c r="BQ585" s="3"/>
      <c r="BR585" s="3"/>
    </row>
    <row r="586" spans="1:70">
      <c r="A586" s="1" t="s">
        <v>70</v>
      </c>
      <c r="B586" s="1" t="s">
        <v>1269</v>
      </c>
      <c r="C586" s="1" t="s">
        <v>10960</v>
      </c>
      <c r="D586" s="1" t="s">
        <v>10961</v>
      </c>
      <c r="E586" s="1" t="s">
        <v>10962</v>
      </c>
      <c r="F586" s="1" t="s">
        <v>596</v>
      </c>
      <c r="G586" s="1" t="s">
        <v>10963</v>
      </c>
      <c r="H586" s="1" t="s">
        <v>10964</v>
      </c>
      <c r="I586" s="1" t="s">
        <v>10965</v>
      </c>
      <c r="J586" s="1">
        <v>7260815833</v>
      </c>
      <c r="K586" s="1" t="s">
        <v>79</v>
      </c>
      <c r="L586" s="1" t="s">
        <v>10966</v>
      </c>
      <c r="M586" s="1" t="s">
        <v>81</v>
      </c>
      <c r="N586" s="1" t="s">
        <v>1950</v>
      </c>
      <c r="O586" s="1"/>
      <c r="P586" s="1" t="s">
        <v>1323</v>
      </c>
      <c r="Q586" s="1" t="s">
        <v>10967</v>
      </c>
      <c r="R586" s="1" t="s">
        <v>10968</v>
      </c>
      <c r="S586" s="1">
        <v>8210560486</v>
      </c>
      <c r="T586" s="1" t="s">
        <v>496</v>
      </c>
      <c r="U586" s="1" t="s">
        <v>10969</v>
      </c>
      <c r="V586" s="1">
        <v>9934148311</v>
      </c>
      <c r="W586" s="1" t="s">
        <v>273</v>
      </c>
      <c r="X586" s="1" t="s">
        <v>10970</v>
      </c>
      <c r="Y586" s="1" t="s">
        <v>3764</v>
      </c>
      <c r="Z586" s="1" t="s">
        <v>3765</v>
      </c>
      <c r="AA586" s="1" t="s">
        <v>10970</v>
      </c>
      <c r="AB586" s="1" t="s">
        <v>3764</v>
      </c>
      <c r="AC586" s="1" t="s">
        <v>3765</v>
      </c>
      <c r="AD586" s="1">
        <v>7.96</v>
      </c>
      <c r="AE586" s="1" t="s">
        <v>93</v>
      </c>
      <c r="AF586" s="1" t="s">
        <v>10971</v>
      </c>
      <c r="AG586" s="1" t="s">
        <v>10972</v>
      </c>
      <c r="AH586" s="1" t="s">
        <v>1307</v>
      </c>
      <c r="AI586" s="1" t="s">
        <v>308</v>
      </c>
      <c r="AJ586" s="1">
        <v>85.83</v>
      </c>
      <c r="AK586" s="1">
        <v>9.03</v>
      </c>
      <c r="AL586" s="1" t="s">
        <v>10971</v>
      </c>
      <c r="AM586" s="1" t="s">
        <v>10972</v>
      </c>
      <c r="AN586" s="1" t="s">
        <v>412</v>
      </c>
      <c r="AO586" s="1" t="s">
        <v>506</v>
      </c>
      <c r="AP586" s="1">
        <v>81.33</v>
      </c>
      <c r="AQ586" s="1">
        <v>8.56</v>
      </c>
      <c r="AR586" s="1"/>
      <c r="AS586" s="1"/>
      <c r="AT586" s="1"/>
      <c r="AU586" s="1"/>
      <c r="AV586" s="1"/>
      <c r="AW586" s="1"/>
      <c r="AX586" s="1" t="s">
        <v>10973</v>
      </c>
      <c r="AY586" s="1" t="s">
        <v>10974</v>
      </c>
      <c r="AZ586" s="1" t="s">
        <v>1131</v>
      </c>
      <c r="BA586" s="1" t="s">
        <v>1714</v>
      </c>
      <c r="BB586" s="1">
        <v>75.24</v>
      </c>
      <c r="BC586" s="1">
        <v>7.92</v>
      </c>
      <c r="BD586" s="1"/>
      <c r="BE586" s="1"/>
      <c r="BF586" s="1"/>
      <c r="BG586" s="1"/>
      <c r="BH586" s="1"/>
      <c r="BI586" s="1"/>
      <c r="BJ586" s="1" t="s">
        <v>10975</v>
      </c>
      <c r="BK586" s="1"/>
      <c r="BL586" s="1"/>
      <c r="BM586" s="1" t="s">
        <v>10976</v>
      </c>
      <c r="BN586" s="1">
        <v>17</v>
      </c>
      <c r="BO586" s="1" t="s">
        <v>10977</v>
      </c>
      <c r="BP586" s="1" t="str">
        <f>HYPERLINK("https://nconnect.nicmar.ac.in/storage/profile/ProfilePhoto_P25700546_862451.jpg","Download")</f>
        <v>0</v>
      </c>
      <c r="BQ586" s="3"/>
      <c r="BR586" s="3"/>
    </row>
    <row r="587" spans="1:70">
      <c r="A587" s="1" t="s">
        <v>70</v>
      </c>
      <c r="B587" s="1" t="s">
        <v>1269</v>
      </c>
      <c r="C587" s="1" t="s">
        <v>10978</v>
      </c>
      <c r="D587" s="1" t="s">
        <v>10979</v>
      </c>
      <c r="E587" s="1"/>
      <c r="F587" s="1" t="s">
        <v>10980</v>
      </c>
      <c r="G587" s="1" t="s">
        <v>10981</v>
      </c>
      <c r="H587" s="1" t="s">
        <v>10982</v>
      </c>
      <c r="I587" s="1" t="s">
        <v>10983</v>
      </c>
      <c r="J587" s="1">
        <v>7076151515</v>
      </c>
      <c r="K587" s="1" t="s">
        <v>79</v>
      </c>
      <c r="L587" s="1" t="s">
        <v>10984</v>
      </c>
      <c r="M587" s="1" t="s">
        <v>81</v>
      </c>
      <c r="N587" s="1" t="s">
        <v>10985</v>
      </c>
      <c r="O587" s="1"/>
      <c r="P587" s="1" t="s">
        <v>1323</v>
      </c>
      <c r="Q587" s="1" t="s">
        <v>10986</v>
      </c>
      <c r="R587" s="1" t="s">
        <v>10987</v>
      </c>
      <c r="S587" s="1">
        <v>9292151515</v>
      </c>
      <c r="T587" s="1" t="s">
        <v>910</v>
      </c>
      <c r="U587" s="1" t="s">
        <v>10988</v>
      </c>
      <c r="V587" s="1">
        <v>9963045945</v>
      </c>
      <c r="W587" s="1" t="s">
        <v>651</v>
      </c>
      <c r="X587" s="1" t="s">
        <v>10989</v>
      </c>
      <c r="Y587" s="1" t="s">
        <v>1150</v>
      </c>
      <c r="Z587" s="1" t="s">
        <v>276</v>
      </c>
      <c r="AA587" s="1" t="s">
        <v>10989</v>
      </c>
      <c r="AB587" s="1" t="s">
        <v>1150</v>
      </c>
      <c r="AC587" s="1" t="s">
        <v>276</v>
      </c>
      <c r="AD587" s="1">
        <v>9.18</v>
      </c>
      <c r="AE587" s="1" t="s">
        <v>93</v>
      </c>
      <c r="AF587" s="1" t="s">
        <v>10990</v>
      </c>
      <c r="AG587" s="1" t="s">
        <v>10991</v>
      </c>
      <c r="AH587" s="1" t="s">
        <v>166</v>
      </c>
      <c r="AI587" s="1" t="s">
        <v>308</v>
      </c>
      <c r="AJ587" s="1">
        <v>86.8</v>
      </c>
      <c r="AK587" s="1"/>
      <c r="AL587" s="1" t="s">
        <v>10992</v>
      </c>
      <c r="AM587" s="1" t="s">
        <v>10993</v>
      </c>
      <c r="AN587" s="1" t="s">
        <v>433</v>
      </c>
      <c r="AO587" s="1" t="s">
        <v>506</v>
      </c>
      <c r="AP587" s="1">
        <v>91.1</v>
      </c>
      <c r="AQ587" s="1"/>
      <c r="AR587" s="1"/>
      <c r="AS587" s="1"/>
      <c r="AT587" s="1"/>
      <c r="AU587" s="1"/>
      <c r="AV587" s="1"/>
      <c r="AW587" s="1"/>
      <c r="AX587" s="1" t="s">
        <v>7614</v>
      </c>
      <c r="AY587" s="1" t="s">
        <v>10994</v>
      </c>
      <c r="AZ587" s="1" t="s">
        <v>1051</v>
      </c>
      <c r="BA587" s="1" t="s">
        <v>1714</v>
      </c>
      <c r="BB587" s="1">
        <v>85.5</v>
      </c>
      <c r="BC587" s="1">
        <v>8.55</v>
      </c>
      <c r="BD587" s="1"/>
      <c r="BE587" s="1"/>
      <c r="BF587" s="1"/>
      <c r="BG587" s="1"/>
      <c r="BH587" s="1"/>
      <c r="BI587" s="1"/>
      <c r="BJ587" s="1" t="s">
        <v>10995</v>
      </c>
      <c r="BK587" s="1"/>
      <c r="BL587" s="1"/>
      <c r="BM587" s="1" t="s">
        <v>10996</v>
      </c>
      <c r="BN587" s="1">
        <v>19</v>
      </c>
      <c r="BO587" s="1" t="s">
        <v>10997</v>
      </c>
      <c r="BP587" s="1" t="str">
        <f>HYPERLINK("https://nconnect.nicmar.ac.in/storage/profile/ProfilePhoto_P25700547_673924.jpg","Download")</f>
        <v>0</v>
      </c>
      <c r="BQ587" s="3"/>
      <c r="BR587" s="3"/>
    </row>
    <row r="588" spans="1:70">
      <c r="A588" s="1" t="s">
        <v>70</v>
      </c>
      <c r="B588" s="1" t="s">
        <v>1269</v>
      </c>
      <c r="C588" s="1" t="s">
        <v>10998</v>
      </c>
      <c r="D588" s="1" t="s">
        <v>10999</v>
      </c>
      <c r="E588" s="1" t="s">
        <v>2762</v>
      </c>
      <c r="F588" s="1" t="s">
        <v>11000</v>
      </c>
      <c r="G588" s="1" t="s">
        <v>11001</v>
      </c>
      <c r="H588" s="1" t="s">
        <v>11002</v>
      </c>
      <c r="I588" s="1" t="s">
        <v>11003</v>
      </c>
      <c r="J588" s="1">
        <v>9082488472</v>
      </c>
      <c r="K588" s="1" t="s">
        <v>79</v>
      </c>
      <c r="L588" s="1" t="s">
        <v>4964</v>
      </c>
      <c r="M588" s="1" t="s">
        <v>81</v>
      </c>
      <c r="N588" s="1" t="s">
        <v>1418</v>
      </c>
      <c r="O588" s="1"/>
      <c r="P588" s="1" t="s">
        <v>1323</v>
      </c>
      <c r="Q588" s="1" t="s">
        <v>11004</v>
      </c>
      <c r="R588" s="1" t="s">
        <v>2762</v>
      </c>
      <c r="S588" s="1">
        <v>9082692343</v>
      </c>
      <c r="T588" s="1" t="s">
        <v>120</v>
      </c>
      <c r="U588" s="1" t="s">
        <v>10044</v>
      </c>
      <c r="V588" s="1">
        <v>9757399588</v>
      </c>
      <c r="W588" s="1" t="s">
        <v>156</v>
      </c>
      <c r="X588" s="1" t="s">
        <v>11005</v>
      </c>
      <c r="Y588" s="1" t="s">
        <v>766</v>
      </c>
      <c r="Z588" s="1" t="s">
        <v>92</v>
      </c>
      <c r="AA588" s="1" t="s">
        <v>11005</v>
      </c>
      <c r="AB588" s="1" t="s">
        <v>766</v>
      </c>
      <c r="AC588" s="1" t="s">
        <v>92</v>
      </c>
      <c r="AD588" s="1">
        <v>8.19</v>
      </c>
      <c r="AE588" s="1" t="s">
        <v>93</v>
      </c>
      <c r="AF588" s="1" t="s">
        <v>11006</v>
      </c>
      <c r="AG588" s="1" t="s">
        <v>160</v>
      </c>
      <c r="AH588" s="1" t="s">
        <v>456</v>
      </c>
      <c r="AI588" s="1" t="s">
        <v>195</v>
      </c>
      <c r="AJ588" s="1">
        <v>81</v>
      </c>
      <c r="AK588" s="1"/>
      <c r="AL588" s="1" t="s">
        <v>11007</v>
      </c>
      <c r="AM588" s="1" t="s">
        <v>160</v>
      </c>
      <c r="AN588" s="1" t="s">
        <v>457</v>
      </c>
      <c r="AO588" s="1" t="s">
        <v>198</v>
      </c>
      <c r="AP588" s="1">
        <v>59.38</v>
      </c>
      <c r="AQ588" s="1"/>
      <c r="AR588" s="1" t="s">
        <v>11008</v>
      </c>
      <c r="AS588" s="1" t="s">
        <v>11009</v>
      </c>
      <c r="AT588" s="1" t="s">
        <v>681</v>
      </c>
      <c r="AU588" s="1" t="s">
        <v>436</v>
      </c>
      <c r="AV588" s="1">
        <v>88.53</v>
      </c>
      <c r="AW588" s="1"/>
      <c r="AX588" s="1" t="s">
        <v>253</v>
      </c>
      <c r="AY588" s="1" t="s">
        <v>11010</v>
      </c>
      <c r="AZ588" s="1" t="s">
        <v>413</v>
      </c>
      <c r="BA588" s="1" t="s">
        <v>413</v>
      </c>
      <c r="BB588" s="1">
        <v>66.28</v>
      </c>
      <c r="BC588" s="1">
        <v>7.3</v>
      </c>
      <c r="BD588" s="1"/>
      <c r="BE588" s="1"/>
      <c r="BF588" s="1"/>
      <c r="BG588" s="1"/>
      <c r="BH588" s="1"/>
      <c r="BI588" s="1"/>
      <c r="BJ588" s="1" t="s">
        <v>11011</v>
      </c>
      <c r="BK588" s="1"/>
      <c r="BL588" s="1"/>
      <c r="BM588" s="1" t="s">
        <v>11012</v>
      </c>
      <c r="BN588" s="1">
        <v>12</v>
      </c>
      <c r="BO588" s="1"/>
      <c r="BP588" s="1" t="str">
        <f>HYPERLINK("https://nconnect.nicmar.ac.in/storage/profile/ProfilePhoto_P25700548_318946.jpg","Download")</f>
        <v>0</v>
      </c>
      <c r="BQ588" s="3"/>
      <c r="BR588" s="3"/>
    </row>
    <row r="589" spans="1:70">
      <c r="A589" s="1" t="s">
        <v>70</v>
      </c>
      <c r="B589" s="1" t="s">
        <v>1269</v>
      </c>
      <c r="C589" s="1" t="s">
        <v>11013</v>
      </c>
      <c r="D589" s="1" t="s">
        <v>11014</v>
      </c>
      <c r="E589" s="1"/>
      <c r="F589" s="1" t="s">
        <v>10496</v>
      </c>
      <c r="G589" s="1" t="s">
        <v>11015</v>
      </c>
      <c r="H589" s="1" t="s">
        <v>11016</v>
      </c>
      <c r="I589" s="1" t="s">
        <v>11017</v>
      </c>
      <c r="J589" s="1">
        <v>9829976330</v>
      </c>
      <c r="K589" s="1" t="s">
        <v>79</v>
      </c>
      <c r="L589" s="1" t="s">
        <v>11018</v>
      </c>
      <c r="M589" s="1" t="s">
        <v>81</v>
      </c>
      <c r="N589" s="1" t="s">
        <v>538</v>
      </c>
      <c r="O589" s="1"/>
      <c r="P589" s="1" t="s">
        <v>1766</v>
      </c>
      <c r="Q589" s="1" t="s">
        <v>11019</v>
      </c>
      <c r="R589" s="1" t="s">
        <v>11020</v>
      </c>
      <c r="S589" s="1">
        <v>9462561600</v>
      </c>
      <c r="T589" s="1" t="s">
        <v>1351</v>
      </c>
      <c r="U589" s="1" t="s">
        <v>11021</v>
      </c>
      <c r="V589" s="1">
        <v>8210374937</v>
      </c>
      <c r="W589" s="1" t="s">
        <v>273</v>
      </c>
      <c r="X589" s="1" t="s">
        <v>11022</v>
      </c>
      <c r="Y589" s="1" t="s">
        <v>2096</v>
      </c>
      <c r="Z589" s="1" t="s">
        <v>1731</v>
      </c>
      <c r="AA589" s="1" t="s">
        <v>11023</v>
      </c>
      <c r="AB589" s="1" t="s">
        <v>3764</v>
      </c>
      <c r="AC589" s="1" t="s">
        <v>3765</v>
      </c>
      <c r="AD589" s="1">
        <v>8.83</v>
      </c>
      <c r="AE589" s="1" t="s">
        <v>93</v>
      </c>
      <c r="AF589" s="1" t="s">
        <v>11024</v>
      </c>
      <c r="AG589" s="1" t="s">
        <v>11025</v>
      </c>
      <c r="AH589" s="1" t="s">
        <v>503</v>
      </c>
      <c r="AI589" s="1" t="s">
        <v>527</v>
      </c>
      <c r="AJ589" s="1">
        <v>95</v>
      </c>
      <c r="AK589" s="1">
        <v>10</v>
      </c>
      <c r="AL589" s="1" t="s">
        <v>11026</v>
      </c>
      <c r="AM589" s="1" t="s">
        <v>11027</v>
      </c>
      <c r="AN589" s="1" t="s">
        <v>678</v>
      </c>
      <c r="AO589" s="1" t="s">
        <v>166</v>
      </c>
      <c r="AP589" s="1">
        <v>66</v>
      </c>
      <c r="AQ589" s="1"/>
      <c r="AR589" s="1"/>
      <c r="AS589" s="1"/>
      <c r="AT589" s="1"/>
      <c r="AU589" s="1"/>
      <c r="AV589" s="1"/>
      <c r="AW589" s="1"/>
      <c r="AX589" s="1" t="s">
        <v>7665</v>
      </c>
      <c r="AY589" s="1" t="s">
        <v>11028</v>
      </c>
      <c r="AZ589" s="1" t="s">
        <v>169</v>
      </c>
      <c r="BA589" s="1" t="s">
        <v>481</v>
      </c>
      <c r="BB589" s="1">
        <v>73</v>
      </c>
      <c r="BC589" s="1">
        <v>7.3</v>
      </c>
      <c r="BD589" s="1"/>
      <c r="BE589" s="1"/>
      <c r="BF589" s="1"/>
      <c r="BG589" s="1"/>
      <c r="BH589" s="1"/>
      <c r="BI589" s="1"/>
      <c r="BJ589" s="1" t="s">
        <v>8002</v>
      </c>
      <c r="BK589" s="1" t="s">
        <v>11029</v>
      </c>
      <c r="BL589" s="1" t="s">
        <v>287</v>
      </c>
      <c r="BM589" s="1" t="s">
        <v>11030</v>
      </c>
      <c r="BN589" s="1">
        <v>20</v>
      </c>
      <c r="BO589" s="1" t="s">
        <v>11031</v>
      </c>
      <c r="BP589" s="1" t="str">
        <f>HYPERLINK("https://nconnect.nicmar.ac.in/storage/profile/ProfilePhoto_P25700549_864517.jpg","Download")</f>
        <v>0</v>
      </c>
      <c r="BQ589" s="3"/>
      <c r="BR589" s="3"/>
    </row>
    <row r="590" spans="1:70">
      <c r="A590" s="1" t="s">
        <v>70</v>
      </c>
      <c r="B590" s="1" t="s">
        <v>1269</v>
      </c>
      <c r="C590" s="1" t="s">
        <v>11032</v>
      </c>
      <c r="D590" s="1" t="s">
        <v>1874</v>
      </c>
      <c r="E590" s="1" t="s">
        <v>11033</v>
      </c>
      <c r="F590" s="1" t="s">
        <v>11034</v>
      </c>
      <c r="G590" s="1" t="s">
        <v>11035</v>
      </c>
      <c r="H590" s="1" t="s">
        <v>11036</v>
      </c>
      <c r="I590" s="1" t="s">
        <v>11037</v>
      </c>
      <c r="J590" s="1">
        <v>7058471744</v>
      </c>
      <c r="K590" s="1" t="s">
        <v>79</v>
      </c>
      <c r="L590" s="1" t="s">
        <v>11038</v>
      </c>
      <c r="M590" s="1" t="s">
        <v>81</v>
      </c>
      <c r="N590" s="1" t="s">
        <v>11039</v>
      </c>
      <c r="O590" s="1"/>
      <c r="P590" s="1" t="s">
        <v>1323</v>
      </c>
      <c r="Q590" s="1" t="s">
        <v>11040</v>
      </c>
      <c r="R590" s="1" t="s">
        <v>11041</v>
      </c>
      <c r="S590" s="1">
        <v>9823062444</v>
      </c>
      <c r="T590" s="1" t="s">
        <v>496</v>
      </c>
      <c r="U590" s="1" t="s">
        <v>11042</v>
      </c>
      <c r="V590" s="1">
        <v>9834920243</v>
      </c>
      <c r="W590" s="1" t="s">
        <v>273</v>
      </c>
      <c r="X590" s="1" t="s">
        <v>11043</v>
      </c>
      <c r="Y590" s="1" t="s">
        <v>191</v>
      </c>
      <c r="Z590" s="1" t="s">
        <v>92</v>
      </c>
      <c r="AA590" s="1" t="s">
        <v>11044</v>
      </c>
      <c r="AB590" s="1" t="s">
        <v>219</v>
      </c>
      <c r="AC590" s="1" t="s">
        <v>92</v>
      </c>
      <c r="AD590" s="1">
        <v>8.01</v>
      </c>
      <c r="AE590" s="1" t="s">
        <v>93</v>
      </c>
      <c r="AF590" s="1" t="s">
        <v>11045</v>
      </c>
      <c r="AG590" s="1" t="s">
        <v>3154</v>
      </c>
      <c r="AH590" s="1" t="s">
        <v>101</v>
      </c>
      <c r="AI590" s="1" t="s">
        <v>433</v>
      </c>
      <c r="AJ590" s="1">
        <v>75.8</v>
      </c>
      <c r="AK590" s="1"/>
      <c r="AL590" s="1" t="s">
        <v>11046</v>
      </c>
      <c r="AM590" s="1" t="s">
        <v>11047</v>
      </c>
      <c r="AN590" s="1" t="s">
        <v>2461</v>
      </c>
      <c r="AO590" s="1" t="s">
        <v>436</v>
      </c>
      <c r="AP590" s="1">
        <v>83.4</v>
      </c>
      <c r="AQ590" s="1"/>
      <c r="AR590" s="1"/>
      <c r="AS590" s="1"/>
      <c r="AT590" s="1"/>
      <c r="AU590" s="1"/>
      <c r="AV590" s="1"/>
      <c r="AW590" s="1"/>
      <c r="AX590" s="1" t="s">
        <v>11048</v>
      </c>
      <c r="AY590" s="1" t="s">
        <v>11049</v>
      </c>
      <c r="AZ590" s="1" t="s">
        <v>897</v>
      </c>
      <c r="BA590" s="1" t="s">
        <v>1714</v>
      </c>
      <c r="BB590" s="1">
        <v>66.57</v>
      </c>
      <c r="BC590" s="1">
        <v>7.48</v>
      </c>
      <c r="BD590" s="1"/>
      <c r="BE590" s="1"/>
      <c r="BF590" s="1"/>
      <c r="BG590" s="1"/>
      <c r="BH590" s="1"/>
      <c r="BI590" s="1"/>
      <c r="BJ590" s="1" t="s">
        <v>11050</v>
      </c>
      <c r="BK590" s="1"/>
      <c r="BL590" s="1"/>
      <c r="BM590" s="1" t="s">
        <v>11051</v>
      </c>
      <c r="BN590" s="1">
        <v>4</v>
      </c>
      <c r="BO590" s="1" t="s">
        <v>11052</v>
      </c>
      <c r="BP590" s="1" t="str">
        <f>HYPERLINK("https://nconnect.nicmar.ac.in/storage/profile/ProfilePhoto_P25700550_952413.jpg","Download")</f>
        <v>0</v>
      </c>
      <c r="BQ590" s="3"/>
      <c r="BR590" s="3"/>
    </row>
    <row r="591" spans="1:70">
      <c r="A591" s="1" t="s">
        <v>70</v>
      </c>
      <c r="B591" s="1" t="s">
        <v>1269</v>
      </c>
      <c r="C591" s="1" t="s">
        <v>11053</v>
      </c>
      <c r="D591" s="1" t="s">
        <v>3180</v>
      </c>
      <c r="E591" s="1" t="s">
        <v>1566</v>
      </c>
      <c r="F591" s="1" t="s">
        <v>11054</v>
      </c>
      <c r="G591" s="1" t="s">
        <v>11055</v>
      </c>
      <c r="H591" s="1" t="s">
        <v>11056</v>
      </c>
      <c r="I591" s="1" t="s">
        <v>11057</v>
      </c>
      <c r="J591" s="1">
        <v>8999282756</v>
      </c>
      <c r="K591" s="1" t="s">
        <v>79</v>
      </c>
      <c r="L591" s="1" t="s">
        <v>3206</v>
      </c>
      <c r="M591" s="1" t="s">
        <v>81</v>
      </c>
      <c r="N591" s="1" t="s">
        <v>11058</v>
      </c>
      <c r="O591" s="1"/>
      <c r="P591" s="1" t="s">
        <v>1298</v>
      </c>
      <c r="Q591" s="1" t="s">
        <v>11059</v>
      </c>
      <c r="R591" s="1" t="s">
        <v>11060</v>
      </c>
      <c r="S591" s="1">
        <v>9607402310</v>
      </c>
      <c r="T591" s="1" t="s">
        <v>120</v>
      </c>
      <c r="U591" s="1" t="s">
        <v>11061</v>
      </c>
      <c r="V591" s="1">
        <v>9607402310</v>
      </c>
      <c r="W591" s="1" t="s">
        <v>10454</v>
      </c>
      <c r="X591" s="1" t="s">
        <v>11062</v>
      </c>
      <c r="Y591" s="1" t="s">
        <v>1886</v>
      </c>
      <c r="Z591" s="1" t="s">
        <v>92</v>
      </c>
      <c r="AA591" s="1" t="s">
        <v>11062</v>
      </c>
      <c r="AB591" s="1" t="s">
        <v>1886</v>
      </c>
      <c r="AC591" s="1" t="s">
        <v>92</v>
      </c>
      <c r="AD591" s="1">
        <v>8.42</v>
      </c>
      <c r="AE591" s="1" t="s">
        <v>93</v>
      </c>
      <c r="AF591" s="1" t="s">
        <v>11063</v>
      </c>
      <c r="AG591" s="1" t="s">
        <v>160</v>
      </c>
      <c r="AH591" s="1" t="s">
        <v>655</v>
      </c>
      <c r="AI591" s="1" t="s">
        <v>281</v>
      </c>
      <c r="AJ591" s="1">
        <v>82.4</v>
      </c>
      <c r="AK591" s="1">
        <v>8.67</v>
      </c>
      <c r="AL591" s="1" t="s">
        <v>11064</v>
      </c>
      <c r="AM591" s="1" t="s">
        <v>544</v>
      </c>
      <c r="AN591" s="1" t="s">
        <v>101</v>
      </c>
      <c r="AO591" s="1" t="s">
        <v>173</v>
      </c>
      <c r="AP591" s="1">
        <v>64.62</v>
      </c>
      <c r="AQ591" s="1">
        <v>6.8</v>
      </c>
      <c r="AR591" s="1"/>
      <c r="AS591" s="1"/>
      <c r="AT591" s="1"/>
      <c r="AU591" s="1"/>
      <c r="AV591" s="1"/>
      <c r="AW591" s="1"/>
      <c r="AX591" s="1" t="s">
        <v>102</v>
      </c>
      <c r="AY591" s="1" t="s">
        <v>11065</v>
      </c>
      <c r="AZ591" s="1" t="s">
        <v>699</v>
      </c>
      <c r="BA591" s="1" t="s">
        <v>1938</v>
      </c>
      <c r="BB591" s="1">
        <v>61.5</v>
      </c>
      <c r="BC591" s="1">
        <v>6.65</v>
      </c>
      <c r="BD591" s="1"/>
      <c r="BE591" s="1"/>
      <c r="BF591" s="1"/>
      <c r="BG591" s="1"/>
      <c r="BH591" s="1"/>
      <c r="BI591" s="1"/>
      <c r="BJ591" s="1" t="s">
        <v>11066</v>
      </c>
      <c r="BK591" s="1"/>
      <c r="BL591" s="1"/>
      <c r="BM591" s="1" t="s">
        <v>11067</v>
      </c>
      <c r="BN591" s="1">
        <v>52</v>
      </c>
      <c r="BO591" s="1"/>
      <c r="BP591" s="1" t="str">
        <f>HYPERLINK("https://nconnect.nicmar.ac.in/storage/profile/ProfilePhoto_P25700551_586341.jpg","Download")</f>
        <v>0</v>
      </c>
      <c r="BQ591" s="3"/>
      <c r="BR591" s="3"/>
    </row>
    <row r="592" spans="1:70">
      <c r="A592" s="1" t="s">
        <v>70</v>
      </c>
      <c r="B592" s="1" t="s">
        <v>1269</v>
      </c>
      <c r="C592" s="1" t="s">
        <v>11068</v>
      </c>
      <c r="D592" s="1" t="s">
        <v>11069</v>
      </c>
      <c r="E592" s="1" t="s">
        <v>11070</v>
      </c>
      <c r="F592" s="1" t="s">
        <v>11071</v>
      </c>
      <c r="G592" s="1" t="s">
        <v>11072</v>
      </c>
      <c r="H592" s="1" t="s">
        <v>11073</v>
      </c>
      <c r="I592" s="1" t="s">
        <v>11074</v>
      </c>
      <c r="J592" s="1">
        <v>9763220545</v>
      </c>
      <c r="K592" s="1" t="s">
        <v>79</v>
      </c>
      <c r="L592" s="1" t="s">
        <v>11075</v>
      </c>
      <c r="M592" s="1" t="s">
        <v>81</v>
      </c>
      <c r="N592" s="1" t="s">
        <v>2008</v>
      </c>
      <c r="O592" s="1"/>
      <c r="P592" s="1" t="s">
        <v>1766</v>
      </c>
      <c r="Q592" s="1" t="s">
        <v>11076</v>
      </c>
      <c r="R592" s="1" t="s">
        <v>11077</v>
      </c>
      <c r="S592" s="1">
        <v>7721992367</v>
      </c>
      <c r="T592" s="1" t="s">
        <v>2238</v>
      </c>
      <c r="U592" s="1" t="s">
        <v>11078</v>
      </c>
      <c r="V592" s="1">
        <v>7721992367</v>
      </c>
      <c r="W592" s="1" t="s">
        <v>156</v>
      </c>
      <c r="X592" s="1" t="s">
        <v>11079</v>
      </c>
      <c r="Y592" s="1" t="s">
        <v>304</v>
      </c>
      <c r="Z592" s="1" t="s">
        <v>92</v>
      </c>
      <c r="AA592" s="1" t="s">
        <v>11080</v>
      </c>
      <c r="AB592" s="1" t="s">
        <v>1424</v>
      </c>
      <c r="AC592" s="1" t="s">
        <v>92</v>
      </c>
      <c r="AD592" s="1">
        <v>8.02</v>
      </c>
      <c r="AE592" s="1" t="s">
        <v>93</v>
      </c>
      <c r="AF592" s="1" t="s">
        <v>11081</v>
      </c>
      <c r="AG592" s="1" t="s">
        <v>939</v>
      </c>
      <c r="AH592" s="1" t="s">
        <v>96</v>
      </c>
      <c r="AI592" s="1" t="s">
        <v>131</v>
      </c>
      <c r="AJ592" s="1">
        <v>87.4</v>
      </c>
      <c r="AK592" s="1">
        <v>9.2</v>
      </c>
      <c r="AL592" s="1" t="s">
        <v>11082</v>
      </c>
      <c r="AM592" s="1" t="s">
        <v>160</v>
      </c>
      <c r="AN592" s="1" t="s">
        <v>527</v>
      </c>
      <c r="AO592" s="1" t="s">
        <v>479</v>
      </c>
      <c r="AP592" s="1">
        <v>69.69</v>
      </c>
      <c r="AQ592" s="1"/>
      <c r="AR592" s="1"/>
      <c r="AS592" s="1"/>
      <c r="AT592" s="1"/>
      <c r="AU592" s="1"/>
      <c r="AV592" s="1"/>
      <c r="AW592" s="1"/>
      <c r="AX592" s="1" t="s">
        <v>11083</v>
      </c>
      <c r="AY592" s="1" t="s">
        <v>11084</v>
      </c>
      <c r="AZ592" s="1" t="s">
        <v>225</v>
      </c>
      <c r="BA592" s="1" t="s">
        <v>436</v>
      </c>
      <c r="BB592" s="1">
        <v>80.8</v>
      </c>
      <c r="BC592" s="1">
        <v>8.58</v>
      </c>
      <c r="BD592" s="1"/>
      <c r="BE592" s="1"/>
      <c r="BF592" s="1"/>
      <c r="BG592" s="1"/>
      <c r="BH592" s="1"/>
      <c r="BI592" s="1"/>
      <c r="BJ592" s="1" t="s">
        <v>11085</v>
      </c>
      <c r="BK592" s="1" t="s">
        <v>11086</v>
      </c>
      <c r="BL592" s="1" t="s">
        <v>138</v>
      </c>
      <c r="BM592" s="1" t="s">
        <v>11087</v>
      </c>
      <c r="BN592" s="1">
        <v>32</v>
      </c>
      <c r="BO592" s="1" t="s">
        <v>11088</v>
      </c>
      <c r="BP592" s="1" t="str">
        <f>HYPERLINK("https://nconnect.nicmar.ac.in/storage/profile/ProfilePhoto_P25700552_231985.jpg","Download")</f>
        <v>0</v>
      </c>
      <c r="BQ592" s="3"/>
      <c r="BR592" s="3"/>
    </row>
    <row r="593" spans="1:70">
      <c r="A593" s="1" t="s">
        <v>70</v>
      </c>
      <c r="B593" s="1" t="s">
        <v>1269</v>
      </c>
      <c r="C593" s="1" t="s">
        <v>11089</v>
      </c>
      <c r="D593" s="1" t="s">
        <v>11090</v>
      </c>
      <c r="E593" s="1" t="s">
        <v>6553</v>
      </c>
      <c r="F593" s="1" t="s">
        <v>11091</v>
      </c>
      <c r="G593" s="1" t="s">
        <v>11092</v>
      </c>
      <c r="H593" s="1" t="s">
        <v>11093</v>
      </c>
      <c r="I593" s="1" t="s">
        <v>11094</v>
      </c>
      <c r="J593" s="1">
        <v>7620091034</v>
      </c>
      <c r="K593" s="1" t="s">
        <v>79</v>
      </c>
      <c r="L593" s="1" t="s">
        <v>11095</v>
      </c>
      <c r="M593" s="1" t="s">
        <v>81</v>
      </c>
      <c r="N593" s="1" t="s">
        <v>1765</v>
      </c>
      <c r="O593" s="1"/>
      <c r="P593" s="1" t="s">
        <v>1278</v>
      </c>
      <c r="Q593" s="1" t="s">
        <v>11096</v>
      </c>
      <c r="R593" s="1" t="s">
        <v>11097</v>
      </c>
      <c r="S593" s="1">
        <v>9975724685</v>
      </c>
      <c r="T593" s="1" t="s">
        <v>496</v>
      </c>
      <c r="U593" s="1" t="s">
        <v>11098</v>
      </c>
      <c r="V593" s="1">
        <v>9975726186</v>
      </c>
      <c r="W593" s="1" t="s">
        <v>156</v>
      </c>
      <c r="X593" s="1" t="s">
        <v>11099</v>
      </c>
      <c r="Y593" s="1" t="s">
        <v>191</v>
      </c>
      <c r="Z593" s="1" t="s">
        <v>92</v>
      </c>
      <c r="AA593" s="1" t="s">
        <v>11100</v>
      </c>
      <c r="AB593" s="1" t="s">
        <v>219</v>
      </c>
      <c r="AC593" s="1" t="s">
        <v>92</v>
      </c>
      <c r="AD593" s="1">
        <v>8.37</v>
      </c>
      <c r="AE593" s="1" t="s">
        <v>93</v>
      </c>
      <c r="AF593" s="1" t="s">
        <v>11101</v>
      </c>
      <c r="AG593" s="1" t="s">
        <v>11102</v>
      </c>
      <c r="AH593" s="1" t="s">
        <v>101</v>
      </c>
      <c r="AI593" s="1" t="s">
        <v>308</v>
      </c>
      <c r="AJ593" s="1">
        <v>77</v>
      </c>
      <c r="AK593" s="1">
        <v>0</v>
      </c>
      <c r="AL593" s="1" t="s">
        <v>11103</v>
      </c>
      <c r="AM593" s="1" t="s">
        <v>11104</v>
      </c>
      <c r="AN593" s="1" t="s">
        <v>699</v>
      </c>
      <c r="AO593" s="1" t="s">
        <v>1131</v>
      </c>
      <c r="AP593" s="1">
        <v>93.5</v>
      </c>
      <c r="AQ593" s="1">
        <v>0</v>
      </c>
      <c r="AR593" s="1"/>
      <c r="AS593" s="1"/>
      <c r="AT593" s="1"/>
      <c r="AU593" s="1"/>
      <c r="AV593" s="1"/>
      <c r="AW593" s="1"/>
      <c r="AX593" s="1" t="s">
        <v>361</v>
      </c>
      <c r="AY593" s="1" t="s">
        <v>11105</v>
      </c>
      <c r="AZ593" s="1" t="s">
        <v>897</v>
      </c>
      <c r="BA593" s="1" t="s">
        <v>1714</v>
      </c>
      <c r="BB593" s="1">
        <v>67.19</v>
      </c>
      <c r="BC593" s="1">
        <v>7.55</v>
      </c>
      <c r="BD593" s="1"/>
      <c r="BE593" s="1"/>
      <c r="BF593" s="1"/>
      <c r="BG593" s="1"/>
      <c r="BH593" s="1"/>
      <c r="BI593" s="1"/>
      <c r="BJ593" s="1" t="s">
        <v>1715</v>
      </c>
      <c r="BK593" s="1"/>
      <c r="BL593" s="1"/>
      <c r="BM593" s="1" t="s">
        <v>11106</v>
      </c>
      <c r="BN593" s="1">
        <v>4</v>
      </c>
      <c r="BO593" s="1"/>
      <c r="BP593" s="1" t="str">
        <f>HYPERLINK("https://nconnect.nicmar.ac.in/storage/profile/ProfilePhoto_P25700553_372649.jpg","Download")</f>
        <v>0</v>
      </c>
      <c r="BQ593" s="3"/>
      <c r="BR593" s="3"/>
    </row>
    <row r="594" spans="1:70">
      <c r="A594" s="1" t="s">
        <v>70</v>
      </c>
      <c r="B594" s="1" t="s">
        <v>1269</v>
      </c>
      <c r="C594" s="1" t="s">
        <v>11107</v>
      </c>
      <c r="D594" s="1" t="s">
        <v>643</v>
      </c>
      <c r="E594" s="1" t="s">
        <v>2483</v>
      </c>
      <c r="F594" s="1" t="s">
        <v>2893</v>
      </c>
      <c r="G594" s="1" t="s">
        <v>11108</v>
      </c>
      <c r="H594" s="1" t="s">
        <v>11109</v>
      </c>
      <c r="I594" s="1" t="s">
        <v>11110</v>
      </c>
      <c r="J594" s="1">
        <v>7977236149</v>
      </c>
      <c r="K594" s="1" t="s">
        <v>79</v>
      </c>
      <c r="L594" s="1" t="s">
        <v>11111</v>
      </c>
      <c r="M594" s="1" t="s">
        <v>81</v>
      </c>
      <c r="N594" s="1" t="s">
        <v>11112</v>
      </c>
      <c r="O594" s="1"/>
      <c r="P594" s="1" t="s">
        <v>1323</v>
      </c>
      <c r="Q594" s="1" t="s">
        <v>11113</v>
      </c>
      <c r="R594" s="1" t="s">
        <v>2483</v>
      </c>
      <c r="S594" s="1">
        <v>9892317564</v>
      </c>
      <c r="T594" s="1" t="s">
        <v>87</v>
      </c>
      <c r="U594" s="1" t="s">
        <v>11114</v>
      </c>
      <c r="V594" s="1">
        <v>8286908857</v>
      </c>
      <c r="W594" s="1" t="s">
        <v>156</v>
      </c>
      <c r="X594" s="1" t="s">
        <v>11115</v>
      </c>
      <c r="Y594" s="1" t="s">
        <v>766</v>
      </c>
      <c r="Z594" s="1" t="s">
        <v>92</v>
      </c>
      <c r="AA594" s="1" t="s">
        <v>11115</v>
      </c>
      <c r="AB594" s="1" t="s">
        <v>766</v>
      </c>
      <c r="AC594" s="1" t="s">
        <v>92</v>
      </c>
      <c r="AD594" s="1" t="s">
        <v>93</v>
      </c>
      <c r="AE594" s="1" t="s">
        <v>93</v>
      </c>
      <c r="AF594" s="1" t="s">
        <v>11116</v>
      </c>
      <c r="AG594" s="1" t="s">
        <v>997</v>
      </c>
      <c r="AH594" s="1" t="s">
        <v>161</v>
      </c>
      <c r="AI594" s="1" t="s">
        <v>456</v>
      </c>
      <c r="AJ594" s="1">
        <v>68.6</v>
      </c>
      <c r="AK594" s="1"/>
      <c r="AL594" s="1" t="s">
        <v>11117</v>
      </c>
      <c r="AM594" s="1" t="s">
        <v>997</v>
      </c>
      <c r="AN594" s="1" t="s">
        <v>165</v>
      </c>
      <c r="AO594" s="1" t="s">
        <v>457</v>
      </c>
      <c r="AP594" s="1">
        <v>49.69</v>
      </c>
      <c r="AQ594" s="1"/>
      <c r="AR594" s="1" t="s">
        <v>98</v>
      </c>
      <c r="AS594" s="1" t="s">
        <v>11118</v>
      </c>
      <c r="AT594" s="1" t="s">
        <v>101</v>
      </c>
      <c r="AU594" s="1" t="s">
        <v>412</v>
      </c>
      <c r="AV594" s="1">
        <v>71.63</v>
      </c>
      <c r="AW594" s="1"/>
      <c r="AX594" s="1" t="s">
        <v>1024</v>
      </c>
      <c r="AY594" s="1" t="s">
        <v>11119</v>
      </c>
      <c r="AZ594" s="1" t="s">
        <v>363</v>
      </c>
      <c r="BA594" s="1" t="s">
        <v>413</v>
      </c>
      <c r="BB594" s="1">
        <v>64.62</v>
      </c>
      <c r="BC594" s="1">
        <v>7.21</v>
      </c>
      <c r="BD594" s="1"/>
      <c r="BE594" s="1"/>
      <c r="BF594" s="1"/>
      <c r="BG594" s="1"/>
      <c r="BH594" s="1"/>
      <c r="BI594" s="1"/>
      <c r="BJ594" s="1" t="s">
        <v>364</v>
      </c>
      <c r="BK594" s="1"/>
      <c r="BL594" s="1"/>
      <c r="BM594" s="1" t="s">
        <v>11120</v>
      </c>
      <c r="BN594" s="1">
        <v>28</v>
      </c>
      <c r="BO594" s="1"/>
      <c r="BP594" s="1" t="str">
        <f>HYPERLINK("https://nconnect.nicmar.ac.in/storage/profile/ProfilePhoto_P25700554_582394.jpg","Download")</f>
        <v>0</v>
      </c>
      <c r="BQ594" s="3"/>
      <c r="BR594" s="3"/>
    </row>
    <row r="595" spans="1:70">
      <c r="A595" s="1" t="s">
        <v>70</v>
      </c>
      <c r="B595" s="1" t="s">
        <v>1269</v>
      </c>
      <c r="C595" s="1" t="s">
        <v>11121</v>
      </c>
      <c r="D595" s="1" t="s">
        <v>11122</v>
      </c>
      <c r="E595" s="1" t="s">
        <v>5393</v>
      </c>
      <c r="F595" s="1" t="s">
        <v>11123</v>
      </c>
      <c r="G595" s="1" t="s">
        <v>11124</v>
      </c>
      <c r="H595" s="1" t="s">
        <v>11125</v>
      </c>
      <c r="I595" s="1" t="s">
        <v>11126</v>
      </c>
      <c r="J595" s="1">
        <v>7666925589</v>
      </c>
      <c r="K595" s="1" t="s">
        <v>79</v>
      </c>
      <c r="L595" s="1" t="s">
        <v>6126</v>
      </c>
      <c r="M595" s="1" t="s">
        <v>81</v>
      </c>
      <c r="N595" s="1" t="s">
        <v>469</v>
      </c>
      <c r="O595" s="1"/>
      <c r="P595" s="1" t="s">
        <v>1323</v>
      </c>
      <c r="Q595" s="1" t="s">
        <v>11127</v>
      </c>
      <c r="R595" s="1" t="s">
        <v>11128</v>
      </c>
      <c r="S595" s="1">
        <v>7972595528</v>
      </c>
      <c r="T595" s="1" t="s">
        <v>154</v>
      </c>
      <c r="U595" s="1" t="s">
        <v>11129</v>
      </c>
      <c r="V595" s="1">
        <v>9921316337</v>
      </c>
      <c r="W595" s="1" t="s">
        <v>156</v>
      </c>
      <c r="X595" s="1" t="s">
        <v>11130</v>
      </c>
      <c r="Y595" s="1" t="s">
        <v>191</v>
      </c>
      <c r="Z595" s="1" t="s">
        <v>92</v>
      </c>
      <c r="AA595" s="1" t="s">
        <v>11131</v>
      </c>
      <c r="AB595" s="1" t="s">
        <v>246</v>
      </c>
      <c r="AC595" s="1" t="s">
        <v>92</v>
      </c>
      <c r="AD595" s="1">
        <v>7.89</v>
      </c>
      <c r="AE595" s="1" t="s">
        <v>93</v>
      </c>
      <c r="AF595" s="1" t="s">
        <v>11132</v>
      </c>
      <c r="AG595" s="1" t="s">
        <v>455</v>
      </c>
      <c r="AH595" s="1" t="s">
        <v>165</v>
      </c>
      <c r="AI595" s="1" t="s">
        <v>195</v>
      </c>
      <c r="AJ595" s="1">
        <v>82.4</v>
      </c>
      <c r="AK595" s="1"/>
      <c r="AL595" s="1" t="s">
        <v>11133</v>
      </c>
      <c r="AM595" s="1" t="s">
        <v>455</v>
      </c>
      <c r="AN595" s="1" t="s">
        <v>101</v>
      </c>
      <c r="AO595" s="1" t="s">
        <v>433</v>
      </c>
      <c r="AP595" s="1">
        <v>71.85</v>
      </c>
      <c r="AQ595" s="1"/>
      <c r="AR595" s="1"/>
      <c r="AS595" s="1"/>
      <c r="AT595" s="1"/>
      <c r="AU595" s="1"/>
      <c r="AV595" s="1"/>
      <c r="AW595" s="1"/>
      <c r="AX595" s="1" t="s">
        <v>361</v>
      </c>
      <c r="AY595" s="1" t="s">
        <v>11134</v>
      </c>
      <c r="AZ595" s="1" t="s">
        <v>201</v>
      </c>
      <c r="BA595" s="1" t="s">
        <v>682</v>
      </c>
      <c r="BB595" s="1">
        <v>63.72</v>
      </c>
      <c r="BC595" s="1">
        <v>7.16</v>
      </c>
      <c r="BD595" s="1"/>
      <c r="BE595" s="1"/>
      <c r="BF595" s="1"/>
      <c r="BG595" s="1"/>
      <c r="BH595" s="1"/>
      <c r="BI595" s="1"/>
      <c r="BJ595" s="1" t="s">
        <v>11135</v>
      </c>
      <c r="BK595" s="1" t="s">
        <v>11136</v>
      </c>
      <c r="BL595" s="1" t="s">
        <v>2303</v>
      </c>
      <c r="BM595" s="1" t="s">
        <v>11137</v>
      </c>
      <c r="BN595" s="1">
        <v>8</v>
      </c>
      <c r="BO595" s="1"/>
      <c r="BP595" s="1" t="str">
        <f>HYPERLINK("https://nconnect.nicmar.ac.in/storage/profile/ProfilePhoto_P25700555_613982.jpg","Download")</f>
        <v>0</v>
      </c>
      <c r="BQ595" s="3"/>
      <c r="BR595" s="3"/>
    </row>
    <row r="596" spans="1:70">
      <c r="A596" s="1" t="s">
        <v>70</v>
      </c>
      <c r="B596" s="1" t="s">
        <v>1269</v>
      </c>
      <c r="C596" s="1" t="s">
        <v>11138</v>
      </c>
      <c r="D596" s="1" t="s">
        <v>10001</v>
      </c>
      <c r="E596" s="1" t="s">
        <v>11139</v>
      </c>
      <c r="F596" s="1" t="s">
        <v>2024</v>
      </c>
      <c r="G596" s="1" t="s">
        <v>11140</v>
      </c>
      <c r="H596" s="1" t="s">
        <v>11141</v>
      </c>
      <c r="I596" s="1" t="s">
        <v>11142</v>
      </c>
      <c r="J596" s="1">
        <v>9309916810</v>
      </c>
      <c r="K596" s="1" t="s">
        <v>79</v>
      </c>
      <c r="L596" s="1" t="s">
        <v>11143</v>
      </c>
      <c r="M596" s="1" t="s">
        <v>81</v>
      </c>
      <c r="N596" s="1" t="s">
        <v>1418</v>
      </c>
      <c r="O596" s="1"/>
      <c r="P596" s="1" t="s">
        <v>1766</v>
      </c>
      <c r="Q596" s="1" t="s">
        <v>11144</v>
      </c>
      <c r="R596" s="1" t="s">
        <v>11145</v>
      </c>
      <c r="S596" s="1">
        <v>7387816810</v>
      </c>
      <c r="T596" s="1" t="s">
        <v>120</v>
      </c>
      <c r="U596" s="1" t="s">
        <v>11146</v>
      </c>
      <c r="V596" s="1">
        <v>8446796810</v>
      </c>
      <c r="W596" s="1" t="s">
        <v>156</v>
      </c>
      <c r="X596" s="1" t="s">
        <v>11147</v>
      </c>
      <c r="Y596" s="1" t="s">
        <v>191</v>
      </c>
      <c r="Z596" s="1" t="s">
        <v>92</v>
      </c>
      <c r="AA596" s="1" t="s">
        <v>11148</v>
      </c>
      <c r="AB596" s="1" t="s">
        <v>304</v>
      </c>
      <c r="AC596" s="1" t="s">
        <v>92</v>
      </c>
      <c r="AD596" s="1">
        <v>8.06</v>
      </c>
      <c r="AE596" s="1" t="s">
        <v>93</v>
      </c>
      <c r="AF596" s="1" t="s">
        <v>11149</v>
      </c>
      <c r="AG596" s="1" t="s">
        <v>11150</v>
      </c>
      <c r="AH596" s="1" t="s">
        <v>279</v>
      </c>
      <c r="AI596" s="1" t="s">
        <v>165</v>
      </c>
      <c r="AJ596" s="1">
        <v>83.4</v>
      </c>
      <c r="AK596" s="1"/>
      <c r="AL596" s="1"/>
      <c r="AM596" s="1"/>
      <c r="AN596" s="1"/>
      <c r="AO596" s="1"/>
      <c r="AP596" s="1"/>
      <c r="AQ596" s="1"/>
      <c r="AR596" s="1" t="s">
        <v>98</v>
      </c>
      <c r="AS596" s="1" t="s">
        <v>11151</v>
      </c>
      <c r="AT596" s="1" t="s">
        <v>383</v>
      </c>
      <c r="AU596" s="1" t="s">
        <v>170</v>
      </c>
      <c r="AV596" s="1">
        <v>86.58</v>
      </c>
      <c r="AW596" s="1"/>
      <c r="AX596" s="1" t="s">
        <v>361</v>
      </c>
      <c r="AY596" s="1" t="s">
        <v>11152</v>
      </c>
      <c r="AZ596" s="1" t="s">
        <v>681</v>
      </c>
      <c r="BA596" s="1" t="s">
        <v>174</v>
      </c>
      <c r="BB596" s="1">
        <v>80.24</v>
      </c>
      <c r="BC596" s="1">
        <v>8.77</v>
      </c>
      <c r="BD596" s="1"/>
      <c r="BE596" s="1"/>
      <c r="BF596" s="1"/>
      <c r="BG596" s="1"/>
      <c r="BH596" s="1"/>
      <c r="BI596" s="1"/>
      <c r="BJ596" s="1" t="s">
        <v>11153</v>
      </c>
      <c r="BK596" s="1" t="s">
        <v>11154</v>
      </c>
      <c r="BL596" s="1" t="s">
        <v>3239</v>
      </c>
      <c r="BM596" s="1" t="s">
        <v>11155</v>
      </c>
      <c r="BN596" s="1">
        <v>15</v>
      </c>
      <c r="BO596" s="1" t="s">
        <v>11156</v>
      </c>
      <c r="BP596" s="1" t="str">
        <f>HYPERLINK("https://nconnect.nicmar.ac.in/storage/profile/ProfilePhoto_P25700557_162945.jpg","Download")</f>
        <v>0</v>
      </c>
      <c r="BQ596" s="3"/>
      <c r="BR596" s="3"/>
    </row>
    <row r="597" spans="1:70">
      <c r="A597" s="1" t="s">
        <v>70</v>
      </c>
      <c r="B597" s="1" t="s">
        <v>1269</v>
      </c>
      <c r="C597" s="1" t="s">
        <v>11157</v>
      </c>
      <c r="D597" s="1" t="s">
        <v>11158</v>
      </c>
      <c r="E597" s="1" t="s">
        <v>208</v>
      </c>
      <c r="F597" s="1" t="s">
        <v>10553</v>
      </c>
      <c r="G597" s="1" t="s">
        <v>11159</v>
      </c>
      <c r="H597" s="1" t="s">
        <v>11160</v>
      </c>
      <c r="I597" s="1" t="s">
        <v>11161</v>
      </c>
      <c r="J597" s="1">
        <v>9518386795</v>
      </c>
      <c r="K597" s="1" t="s">
        <v>79</v>
      </c>
      <c r="L597" s="1" t="s">
        <v>11162</v>
      </c>
      <c r="M597" s="1" t="s">
        <v>81</v>
      </c>
      <c r="N597" s="1" t="s">
        <v>11163</v>
      </c>
      <c r="O597" s="1"/>
      <c r="P597" s="1" t="s">
        <v>1298</v>
      </c>
      <c r="Q597" s="1" t="s">
        <v>11164</v>
      </c>
      <c r="R597" s="1" t="s">
        <v>11165</v>
      </c>
      <c r="S597" s="1">
        <v>9165506657</v>
      </c>
      <c r="T597" s="1" t="s">
        <v>11166</v>
      </c>
      <c r="U597" s="1" t="s">
        <v>11167</v>
      </c>
      <c r="V597" s="1">
        <v>8605888772</v>
      </c>
      <c r="W597" s="1" t="s">
        <v>156</v>
      </c>
      <c r="X597" s="1" t="s">
        <v>11168</v>
      </c>
      <c r="Y597" s="1" t="s">
        <v>191</v>
      </c>
      <c r="Z597" s="1" t="s">
        <v>92</v>
      </c>
      <c r="AA597" s="1" t="s">
        <v>11169</v>
      </c>
      <c r="AB597" s="1" t="s">
        <v>405</v>
      </c>
      <c r="AC597" s="1" t="s">
        <v>92</v>
      </c>
      <c r="AD597" s="1">
        <v>7.92</v>
      </c>
      <c r="AE597" s="1" t="s">
        <v>93</v>
      </c>
      <c r="AF597" s="1" t="s">
        <v>11170</v>
      </c>
      <c r="AG597" s="1" t="s">
        <v>11171</v>
      </c>
      <c r="AH597" s="1" t="s">
        <v>456</v>
      </c>
      <c r="AI597" s="1" t="s">
        <v>195</v>
      </c>
      <c r="AJ597" s="1">
        <v>78.2</v>
      </c>
      <c r="AK597" s="1"/>
      <c r="AL597" s="1" t="s">
        <v>11172</v>
      </c>
      <c r="AM597" s="1" t="s">
        <v>11171</v>
      </c>
      <c r="AN597" s="1" t="s">
        <v>457</v>
      </c>
      <c r="AO597" s="1" t="s">
        <v>198</v>
      </c>
      <c r="AP597" s="1">
        <v>64.62</v>
      </c>
      <c r="AQ597" s="1"/>
      <c r="AR597" s="1"/>
      <c r="AS597" s="1"/>
      <c r="AT597" s="1"/>
      <c r="AU597" s="1"/>
      <c r="AV597" s="1"/>
      <c r="AW597" s="1"/>
      <c r="AX597" s="1" t="s">
        <v>11173</v>
      </c>
      <c r="AY597" s="1" t="s">
        <v>11171</v>
      </c>
      <c r="AZ597" s="1" t="s">
        <v>201</v>
      </c>
      <c r="BA597" s="1" t="s">
        <v>1361</v>
      </c>
      <c r="BB597" s="1">
        <v>57.1</v>
      </c>
      <c r="BC597" s="1">
        <v>6.46</v>
      </c>
      <c r="BD597" s="1"/>
      <c r="BE597" s="1"/>
      <c r="BF597" s="1"/>
      <c r="BG597" s="1"/>
      <c r="BH597" s="1"/>
      <c r="BI597" s="1"/>
      <c r="BJ597" s="1" t="s">
        <v>11174</v>
      </c>
      <c r="BK597" s="1"/>
      <c r="BL597" s="1"/>
      <c r="BM597" s="1" t="s">
        <v>11175</v>
      </c>
      <c r="BN597" s="1">
        <v>34</v>
      </c>
      <c r="BO597" s="1" t="s">
        <v>11176</v>
      </c>
      <c r="BP597" s="1" t="str">
        <f>HYPERLINK("https://nconnect.nicmar.ac.in/storage/profile/ProfilePhoto_P25700558_745321.jpg","Download")</f>
        <v>0</v>
      </c>
      <c r="BQ597" s="3"/>
      <c r="BR597" s="3"/>
    </row>
    <row r="598" spans="1:70">
      <c r="A598" s="1" t="s">
        <v>70</v>
      </c>
      <c r="B598" s="1" t="s">
        <v>1269</v>
      </c>
      <c r="C598" s="1" t="s">
        <v>11177</v>
      </c>
      <c r="D598" s="1" t="s">
        <v>7539</v>
      </c>
      <c r="E598" s="1"/>
      <c r="F598" s="1" t="s">
        <v>11178</v>
      </c>
      <c r="G598" s="1" t="s">
        <v>11179</v>
      </c>
      <c r="H598" s="1" t="s">
        <v>11180</v>
      </c>
      <c r="I598" s="1" t="s">
        <v>11181</v>
      </c>
      <c r="J598" s="1">
        <v>9538385011</v>
      </c>
      <c r="K598" s="1" t="s">
        <v>79</v>
      </c>
      <c r="L598" s="1" t="s">
        <v>11182</v>
      </c>
      <c r="M598" s="1" t="s">
        <v>81</v>
      </c>
      <c r="N598" s="1" t="s">
        <v>11183</v>
      </c>
      <c r="O598" s="1"/>
      <c r="P598" s="1" t="s">
        <v>1323</v>
      </c>
      <c r="Q598" s="1" t="s">
        <v>11184</v>
      </c>
      <c r="R598" s="1" t="s">
        <v>11185</v>
      </c>
      <c r="S598" s="1">
        <v>9686204400</v>
      </c>
      <c r="T598" s="1" t="s">
        <v>496</v>
      </c>
      <c r="U598" s="1" t="s">
        <v>11186</v>
      </c>
      <c r="V598" s="1">
        <v>9036661276</v>
      </c>
      <c r="W598" s="1" t="s">
        <v>651</v>
      </c>
      <c r="X598" s="1" t="s">
        <v>11187</v>
      </c>
      <c r="Y598" s="1" t="s">
        <v>4755</v>
      </c>
      <c r="Z598" s="1" t="s">
        <v>1084</v>
      </c>
      <c r="AA598" s="1" t="s">
        <v>11187</v>
      </c>
      <c r="AB598" s="1" t="s">
        <v>4755</v>
      </c>
      <c r="AC598" s="1" t="s">
        <v>1084</v>
      </c>
      <c r="AD598" s="1">
        <v>9.08</v>
      </c>
      <c r="AE598" s="1" t="s">
        <v>93</v>
      </c>
      <c r="AF598" s="1" t="s">
        <v>11188</v>
      </c>
      <c r="AG598" s="1" t="s">
        <v>939</v>
      </c>
      <c r="AH598" s="1" t="s">
        <v>479</v>
      </c>
      <c r="AI598" s="1" t="s">
        <v>166</v>
      </c>
      <c r="AJ598" s="1">
        <v>86.8</v>
      </c>
      <c r="AK598" s="1"/>
      <c r="AL598" s="1" t="s">
        <v>11189</v>
      </c>
      <c r="AM598" s="1" t="s">
        <v>11190</v>
      </c>
      <c r="AN598" s="1" t="s">
        <v>101</v>
      </c>
      <c r="AO598" s="1" t="s">
        <v>173</v>
      </c>
      <c r="AP598" s="1">
        <v>91.66</v>
      </c>
      <c r="AQ598" s="1"/>
      <c r="AR598" s="1"/>
      <c r="AS598" s="1"/>
      <c r="AT598" s="1"/>
      <c r="AU598" s="1"/>
      <c r="AV598" s="1"/>
      <c r="AW598" s="1"/>
      <c r="AX598" s="1" t="s">
        <v>4953</v>
      </c>
      <c r="AY598" s="1" t="s">
        <v>1089</v>
      </c>
      <c r="AZ598" s="1" t="s">
        <v>228</v>
      </c>
      <c r="BA598" s="1" t="s">
        <v>6069</v>
      </c>
      <c r="BB598" s="1">
        <v>68</v>
      </c>
      <c r="BC598" s="1"/>
      <c r="BD598" s="1"/>
      <c r="BE598" s="1"/>
      <c r="BF598" s="1"/>
      <c r="BG598" s="1"/>
      <c r="BH598" s="1"/>
      <c r="BI598" s="1"/>
      <c r="BJ598" s="1" t="s">
        <v>11191</v>
      </c>
      <c r="BK598" s="1"/>
      <c r="BL598" s="1"/>
      <c r="BM598" s="1" t="s">
        <v>11192</v>
      </c>
      <c r="BN598" s="1">
        <v>15</v>
      </c>
      <c r="BO598" s="1"/>
      <c r="BP598" s="1" t="str">
        <f>HYPERLINK("https://nconnect.nicmar.ac.in/storage/profile/ProfilePhoto_P25700559_513428.jpg","Download")</f>
        <v>0</v>
      </c>
      <c r="BQ598" s="3"/>
      <c r="BR598" s="3"/>
    </row>
    <row r="599" spans="1:70">
      <c r="A599" s="1" t="s">
        <v>70</v>
      </c>
      <c r="B599" s="1" t="s">
        <v>1269</v>
      </c>
      <c r="C599" s="1" t="s">
        <v>11193</v>
      </c>
      <c r="D599" s="1" t="s">
        <v>2692</v>
      </c>
      <c r="E599" s="1" t="s">
        <v>1566</v>
      </c>
      <c r="F599" s="1" t="s">
        <v>11194</v>
      </c>
      <c r="G599" s="1" t="s">
        <v>11195</v>
      </c>
      <c r="H599" s="1" t="s">
        <v>11196</v>
      </c>
      <c r="I599" s="1" t="s">
        <v>11197</v>
      </c>
      <c r="J599" s="1">
        <v>8625091424</v>
      </c>
      <c r="K599" s="1" t="s">
        <v>79</v>
      </c>
      <c r="L599" s="1" t="s">
        <v>11198</v>
      </c>
      <c r="M599" s="1" t="s">
        <v>81</v>
      </c>
      <c r="N599" s="1" t="s">
        <v>1418</v>
      </c>
      <c r="O599" s="1"/>
      <c r="P599" s="1" t="s">
        <v>1298</v>
      </c>
      <c r="Q599" s="1" t="s">
        <v>11199</v>
      </c>
      <c r="R599" s="1" t="s">
        <v>1566</v>
      </c>
      <c r="S599" s="1">
        <v>9822671871</v>
      </c>
      <c r="T599" s="1" t="s">
        <v>7641</v>
      </c>
      <c r="U599" s="1" t="s">
        <v>7216</v>
      </c>
      <c r="V599" s="1">
        <v>9822981871</v>
      </c>
      <c r="W599" s="1" t="s">
        <v>156</v>
      </c>
      <c r="X599" s="1" t="s">
        <v>11200</v>
      </c>
      <c r="Y599" s="1" t="s">
        <v>191</v>
      </c>
      <c r="Z599" s="1" t="s">
        <v>92</v>
      </c>
      <c r="AA599" s="1" t="s">
        <v>11200</v>
      </c>
      <c r="AB599" s="1" t="s">
        <v>191</v>
      </c>
      <c r="AC599" s="1" t="s">
        <v>92</v>
      </c>
      <c r="AD599" s="1">
        <v>8.8</v>
      </c>
      <c r="AE599" s="1" t="s">
        <v>93</v>
      </c>
      <c r="AF599" s="1" t="s">
        <v>11201</v>
      </c>
      <c r="AG599" s="1" t="s">
        <v>307</v>
      </c>
      <c r="AH599" s="1" t="s">
        <v>678</v>
      </c>
      <c r="AI599" s="1" t="s">
        <v>166</v>
      </c>
      <c r="AJ599" s="1">
        <v>93</v>
      </c>
      <c r="AK599" s="1">
        <v>0</v>
      </c>
      <c r="AL599" s="1" t="s">
        <v>11202</v>
      </c>
      <c r="AM599" s="1" t="s">
        <v>307</v>
      </c>
      <c r="AN599" s="1" t="s">
        <v>1065</v>
      </c>
      <c r="AO599" s="1" t="s">
        <v>173</v>
      </c>
      <c r="AP599" s="1">
        <v>73.8</v>
      </c>
      <c r="AQ599" s="1">
        <v>0</v>
      </c>
      <c r="AR599" s="1"/>
      <c r="AS599" s="1"/>
      <c r="AT599" s="1"/>
      <c r="AU599" s="1"/>
      <c r="AV599" s="1"/>
      <c r="AW599" s="1"/>
      <c r="AX599" s="1" t="s">
        <v>361</v>
      </c>
      <c r="AY599" s="1" t="s">
        <v>11203</v>
      </c>
      <c r="AZ599" s="1" t="s">
        <v>363</v>
      </c>
      <c r="BA599" s="1" t="s">
        <v>413</v>
      </c>
      <c r="BB599" s="1">
        <v>82.75</v>
      </c>
      <c r="BC599" s="1">
        <v>8.71</v>
      </c>
      <c r="BD599" s="1"/>
      <c r="BE599" s="1"/>
      <c r="BF599" s="1"/>
      <c r="BG599" s="1"/>
      <c r="BH599" s="1"/>
      <c r="BI599" s="1"/>
      <c r="BJ599" s="1" t="s">
        <v>1383</v>
      </c>
      <c r="BK599" s="1"/>
      <c r="BL599" s="1"/>
      <c r="BM599" s="1" t="s">
        <v>11204</v>
      </c>
      <c r="BN599" s="1">
        <v>4</v>
      </c>
      <c r="BO599" s="1"/>
      <c r="BP599" s="1" t="str">
        <f>HYPERLINK("https://nconnect.nicmar.ac.in/storage/profile/ProfilePhoto_P25700560_126375.jpg","Download")</f>
        <v>0</v>
      </c>
      <c r="BQ599" s="3"/>
      <c r="BR599" s="3"/>
    </row>
    <row r="600" spans="1:70">
      <c r="A600" s="1" t="s">
        <v>70</v>
      </c>
      <c r="B600" s="1" t="s">
        <v>1269</v>
      </c>
      <c r="C600" s="1" t="s">
        <v>11205</v>
      </c>
      <c r="D600" s="1" t="s">
        <v>11206</v>
      </c>
      <c r="E600" s="1"/>
      <c r="F600" s="1" t="s">
        <v>11207</v>
      </c>
      <c r="G600" s="1" t="s">
        <v>11208</v>
      </c>
      <c r="H600" s="1" t="s">
        <v>11209</v>
      </c>
      <c r="I600" s="1" t="s">
        <v>11210</v>
      </c>
      <c r="J600" s="1">
        <v>7569798960</v>
      </c>
      <c r="K600" s="1" t="s">
        <v>79</v>
      </c>
      <c r="L600" s="1" t="s">
        <v>11211</v>
      </c>
      <c r="M600" s="1" t="s">
        <v>81</v>
      </c>
      <c r="N600" s="1" t="s">
        <v>11212</v>
      </c>
      <c r="O600" s="1"/>
      <c r="P600" s="1" t="s">
        <v>1278</v>
      </c>
      <c r="Q600" s="1" t="s">
        <v>11213</v>
      </c>
      <c r="R600" s="1" t="s">
        <v>11214</v>
      </c>
      <c r="S600" s="1">
        <v>9676103496</v>
      </c>
      <c r="T600" s="1" t="s">
        <v>1351</v>
      </c>
      <c r="U600" s="1" t="s">
        <v>11215</v>
      </c>
      <c r="V600" s="1">
        <v>9908511480</v>
      </c>
      <c r="W600" s="1" t="s">
        <v>651</v>
      </c>
      <c r="X600" s="1" t="s">
        <v>11216</v>
      </c>
      <c r="Y600" s="1" t="s">
        <v>608</v>
      </c>
      <c r="Z600" s="1" t="s">
        <v>609</v>
      </c>
      <c r="AA600" s="1" t="s">
        <v>11216</v>
      </c>
      <c r="AB600" s="1" t="s">
        <v>608</v>
      </c>
      <c r="AC600" s="1" t="s">
        <v>609</v>
      </c>
      <c r="AD600" s="1">
        <v>8.54</v>
      </c>
      <c r="AE600" s="1" t="s">
        <v>93</v>
      </c>
      <c r="AF600" s="1" t="s">
        <v>3459</v>
      </c>
      <c r="AG600" s="1" t="s">
        <v>11217</v>
      </c>
      <c r="AH600" s="1" t="s">
        <v>162</v>
      </c>
      <c r="AI600" s="1" t="s">
        <v>195</v>
      </c>
      <c r="AJ600" s="1">
        <v>90</v>
      </c>
      <c r="AK600" s="1">
        <v>9</v>
      </c>
      <c r="AL600" s="1" t="s">
        <v>11218</v>
      </c>
      <c r="AM600" s="1" t="s">
        <v>613</v>
      </c>
      <c r="AN600" s="1" t="s">
        <v>165</v>
      </c>
      <c r="AO600" s="1" t="s">
        <v>433</v>
      </c>
      <c r="AP600" s="1">
        <v>74.7</v>
      </c>
      <c r="AQ600" s="1"/>
      <c r="AR600" s="1"/>
      <c r="AS600" s="1"/>
      <c r="AT600" s="1"/>
      <c r="AU600" s="1"/>
      <c r="AV600" s="1"/>
      <c r="AW600" s="1"/>
      <c r="AX600" s="1" t="s">
        <v>11219</v>
      </c>
      <c r="AY600" s="1" t="s">
        <v>11219</v>
      </c>
      <c r="AZ600" s="1" t="s">
        <v>201</v>
      </c>
      <c r="BA600" s="1" t="s">
        <v>202</v>
      </c>
      <c r="BB600" s="1">
        <v>70.2</v>
      </c>
      <c r="BC600" s="1">
        <v>7.52</v>
      </c>
      <c r="BD600" s="1"/>
      <c r="BE600" s="1"/>
      <c r="BF600" s="1"/>
      <c r="BG600" s="1"/>
      <c r="BH600" s="1"/>
      <c r="BI600" s="1"/>
      <c r="BJ600" s="1" t="s">
        <v>11220</v>
      </c>
      <c r="BK600" s="1" t="s">
        <v>11221</v>
      </c>
      <c r="BL600" s="1" t="s">
        <v>1289</v>
      </c>
      <c r="BM600" s="1" t="s">
        <v>11222</v>
      </c>
      <c r="BN600" s="1">
        <v>28</v>
      </c>
      <c r="BO600" s="1" t="s">
        <v>11223</v>
      </c>
      <c r="BP600" s="1" t="str">
        <f>HYPERLINK("https://nconnect.nicmar.ac.in/storage/profile/ProfilePhoto_P25700561_948516.jpg","Download")</f>
        <v>0</v>
      </c>
      <c r="BQ600" s="3"/>
      <c r="BR600" s="3"/>
    </row>
    <row r="601" spans="1:70">
      <c r="A601" s="1" t="s">
        <v>70</v>
      </c>
      <c r="B601" s="1" t="s">
        <v>1269</v>
      </c>
      <c r="C601" s="1" t="s">
        <v>11224</v>
      </c>
      <c r="D601" s="1" t="s">
        <v>11225</v>
      </c>
      <c r="E601" s="1"/>
      <c r="F601" s="1" t="s">
        <v>11226</v>
      </c>
      <c r="G601" s="1" t="s">
        <v>11227</v>
      </c>
      <c r="H601" s="1" t="s">
        <v>11228</v>
      </c>
      <c r="I601" s="1" t="s">
        <v>11229</v>
      </c>
      <c r="J601" s="1">
        <v>7907237288</v>
      </c>
      <c r="K601" s="1" t="s">
        <v>79</v>
      </c>
      <c r="L601" s="1" t="s">
        <v>397</v>
      </c>
      <c r="M601" s="1" t="s">
        <v>81</v>
      </c>
      <c r="N601" s="1" t="s">
        <v>11230</v>
      </c>
      <c r="O601" s="1"/>
      <c r="P601" s="1" t="s">
        <v>1278</v>
      </c>
      <c r="Q601" s="1" t="s">
        <v>11231</v>
      </c>
      <c r="R601" s="1" t="s">
        <v>11232</v>
      </c>
      <c r="S601" s="1">
        <v>9447272477</v>
      </c>
      <c r="T601" s="1" t="s">
        <v>11233</v>
      </c>
      <c r="U601" s="1" t="s">
        <v>11234</v>
      </c>
      <c r="V601" s="1">
        <v>9074244457</v>
      </c>
      <c r="W601" s="1" t="s">
        <v>651</v>
      </c>
      <c r="X601" s="1" t="s">
        <v>11235</v>
      </c>
      <c r="Y601" s="1" t="s">
        <v>1260</v>
      </c>
      <c r="Z601" s="1" t="s">
        <v>125</v>
      </c>
      <c r="AA601" s="1" t="s">
        <v>11235</v>
      </c>
      <c r="AB601" s="1" t="s">
        <v>1260</v>
      </c>
      <c r="AC601" s="1" t="s">
        <v>125</v>
      </c>
      <c r="AD601" s="1">
        <v>8.57</v>
      </c>
      <c r="AE601" s="1" t="s">
        <v>93</v>
      </c>
      <c r="AF601" s="1" t="s">
        <v>11236</v>
      </c>
      <c r="AG601" s="1" t="s">
        <v>11237</v>
      </c>
      <c r="AH601" s="1" t="s">
        <v>101</v>
      </c>
      <c r="AI601" s="1" t="s">
        <v>308</v>
      </c>
      <c r="AJ601" s="1">
        <v>85.4</v>
      </c>
      <c r="AK601" s="1">
        <v>0</v>
      </c>
      <c r="AL601" s="1" t="s">
        <v>11238</v>
      </c>
      <c r="AM601" s="1" t="s">
        <v>11239</v>
      </c>
      <c r="AN601" s="1" t="s">
        <v>699</v>
      </c>
      <c r="AO601" s="1" t="s">
        <v>506</v>
      </c>
      <c r="AP601" s="1">
        <v>90.66</v>
      </c>
      <c r="AQ601" s="1">
        <v>0</v>
      </c>
      <c r="AR601" s="1"/>
      <c r="AS601" s="1"/>
      <c r="AT601" s="1"/>
      <c r="AU601" s="1"/>
      <c r="AV601" s="1"/>
      <c r="AW601" s="1"/>
      <c r="AX601" s="1" t="s">
        <v>132</v>
      </c>
      <c r="AY601" s="1" t="s">
        <v>11240</v>
      </c>
      <c r="AZ601" s="1" t="s">
        <v>135</v>
      </c>
      <c r="BA601" s="1" t="s">
        <v>1361</v>
      </c>
      <c r="BB601" s="1">
        <v>67.19</v>
      </c>
      <c r="BC601" s="1">
        <v>6.93</v>
      </c>
      <c r="BD601" s="1"/>
      <c r="BE601" s="1"/>
      <c r="BF601" s="1"/>
      <c r="BG601" s="1"/>
      <c r="BH601" s="1"/>
      <c r="BI601" s="1"/>
      <c r="BJ601" s="1" t="s">
        <v>11241</v>
      </c>
      <c r="BK601" s="1"/>
      <c r="BL601" s="1"/>
      <c r="BM601" s="1" t="s">
        <v>11242</v>
      </c>
      <c r="BN601" s="1">
        <v>1</v>
      </c>
      <c r="BO601" s="1"/>
      <c r="BP601" s="1" t="str">
        <f>HYPERLINK("https://nconnect.nicmar.ac.in/storage/profile/ProfilePhoto_P25700562_857264.jpg","Download")</f>
        <v>0</v>
      </c>
      <c r="BQ601" s="3"/>
      <c r="BR601" s="3"/>
    </row>
    <row r="602" spans="1:70">
      <c r="A602" s="1" t="s">
        <v>70</v>
      </c>
      <c r="B602" s="1" t="s">
        <v>1269</v>
      </c>
      <c r="C602" s="1" t="s">
        <v>11243</v>
      </c>
      <c r="D602" s="1" t="s">
        <v>11244</v>
      </c>
      <c r="E602" s="1"/>
      <c r="F602" s="1" t="s">
        <v>11245</v>
      </c>
      <c r="G602" s="1" t="s">
        <v>11246</v>
      </c>
      <c r="H602" s="1" t="s">
        <v>11247</v>
      </c>
      <c r="I602" s="1" t="s">
        <v>11248</v>
      </c>
      <c r="J602" s="1">
        <v>9207941390</v>
      </c>
      <c r="K602" s="1" t="s">
        <v>79</v>
      </c>
      <c r="L602" s="1" t="s">
        <v>11249</v>
      </c>
      <c r="M602" s="1" t="s">
        <v>81</v>
      </c>
      <c r="N602" s="1" t="s">
        <v>2453</v>
      </c>
      <c r="O602" s="1"/>
      <c r="P602" s="1" t="s">
        <v>1298</v>
      </c>
      <c r="Q602" s="1" t="s">
        <v>11250</v>
      </c>
      <c r="R602" s="1" t="s">
        <v>11251</v>
      </c>
      <c r="S602" s="1">
        <v>9633556651</v>
      </c>
      <c r="T602" s="1" t="s">
        <v>11252</v>
      </c>
      <c r="U602" s="1" t="s">
        <v>11253</v>
      </c>
      <c r="V602" s="1">
        <v>8113069053</v>
      </c>
      <c r="W602" s="1" t="s">
        <v>156</v>
      </c>
      <c r="X602" s="1" t="s">
        <v>11254</v>
      </c>
      <c r="Y602" s="1" t="s">
        <v>1491</v>
      </c>
      <c r="Z602" s="1" t="s">
        <v>125</v>
      </c>
      <c r="AA602" s="1" t="s">
        <v>11254</v>
      </c>
      <c r="AB602" s="1" t="s">
        <v>1491</v>
      </c>
      <c r="AC602" s="1" t="s">
        <v>125</v>
      </c>
      <c r="AD602" s="1">
        <v>8.64</v>
      </c>
      <c r="AE602" s="1" t="s">
        <v>93</v>
      </c>
      <c r="AF602" s="1" t="s">
        <v>7873</v>
      </c>
      <c r="AG602" s="1" t="s">
        <v>939</v>
      </c>
      <c r="AH602" s="1" t="s">
        <v>503</v>
      </c>
      <c r="AI602" s="1" t="s">
        <v>527</v>
      </c>
      <c r="AJ602" s="1">
        <v>91.2</v>
      </c>
      <c r="AK602" s="1">
        <v>9.6</v>
      </c>
      <c r="AL602" s="1" t="s">
        <v>7873</v>
      </c>
      <c r="AM602" s="1" t="s">
        <v>939</v>
      </c>
      <c r="AN602" s="1" t="s">
        <v>479</v>
      </c>
      <c r="AO602" s="1" t="s">
        <v>166</v>
      </c>
      <c r="AP602" s="1">
        <v>86.8</v>
      </c>
      <c r="AQ602" s="1"/>
      <c r="AR602" s="1"/>
      <c r="AS602" s="1"/>
      <c r="AT602" s="1"/>
      <c r="AU602" s="1"/>
      <c r="AV602" s="1"/>
      <c r="AW602" s="1"/>
      <c r="AX602" s="1" t="s">
        <v>132</v>
      </c>
      <c r="AY602" s="1" t="s">
        <v>11255</v>
      </c>
      <c r="AZ602" s="1" t="s">
        <v>169</v>
      </c>
      <c r="BA602" s="1" t="s">
        <v>105</v>
      </c>
      <c r="BB602" s="1">
        <v>70.15</v>
      </c>
      <c r="BC602" s="1">
        <v>7.39</v>
      </c>
      <c r="BD602" s="1"/>
      <c r="BE602" s="1"/>
      <c r="BF602" s="1"/>
      <c r="BG602" s="1"/>
      <c r="BH602" s="1"/>
      <c r="BI602" s="1"/>
      <c r="BJ602" s="1" t="s">
        <v>11256</v>
      </c>
      <c r="BK602" s="1" t="s">
        <v>11257</v>
      </c>
      <c r="BL602" s="1" t="s">
        <v>1629</v>
      </c>
      <c r="BM602" s="1" t="s">
        <v>11258</v>
      </c>
      <c r="BN602" s="1">
        <v>8</v>
      </c>
      <c r="BO602" s="1" t="s">
        <v>11259</v>
      </c>
      <c r="BP602" s="1" t="str">
        <f>HYPERLINK("https://nconnect.nicmar.ac.in/storage/profile/ProfilePhoto_P25700563_865279.jpg","Download")</f>
        <v>0</v>
      </c>
      <c r="BQ602" s="3"/>
      <c r="BR602" s="3"/>
    </row>
    <row r="603" spans="1:70">
      <c r="A603" s="1" t="s">
        <v>70</v>
      </c>
      <c r="B603" s="1" t="s">
        <v>1269</v>
      </c>
      <c r="C603" s="1" t="s">
        <v>11260</v>
      </c>
      <c r="D603" s="1" t="s">
        <v>2428</v>
      </c>
      <c r="E603" s="1" t="s">
        <v>345</v>
      </c>
      <c r="F603" s="1" t="s">
        <v>11261</v>
      </c>
      <c r="G603" s="1" t="s">
        <v>11262</v>
      </c>
      <c r="H603" s="1" t="s">
        <v>11263</v>
      </c>
      <c r="I603" s="1" t="s">
        <v>11264</v>
      </c>
      <c r="J603" s="1">
        <v>9848586176</v>
      </c>
      <c r="K603" s="1" t="s">
        <v>79</v>
      </c>
      <c r="L603" s="1" t="s">
        <v>11265</v>
      </c>
      <c r="M603" s="1" t="s">
        <v>81</v>
      </c>
      <c r="N603" s="1" t="s">
        <v>3833</v>
      </c>
      <c r="O603" s="1"/>
      <c r="P603" s="1" t="s">
        <v>1278</v>
      </c>
      <c r="Q603" s="1" t="s">
        <v>11266</v>
      </c>
      <c r="R603" s="1" t="s">
        <v>11267</v>
      </c>
      <c r="S603" s="1">
        <v>9492052475</v>
      </c>
      <c r="T603" s="1" t="s">
        <v>496</v>
      </c>
      <c r="U603" s="1" t="s">
        <v>11268</v>
      </c>
      <c r="V603" s="1">
        <v>6302610848</v>
      </c>
      <c r="W603" s="1" t="s">
        <v>156</v>
      </c>
      <c r="X603" s="1" t="s">
        <v>11269</v>
      </c>
      <c r="Y603" s="1" t="s">
        <v>11270</v>
      </c>
      <c r="Z603" s="1" t="s">
        <v>609</v>
      </c>
      <c r="AA603" s="1" t="s">
        <v>11269</v>
      </c>
      <c r="AB603" s="1" t="s">
        <v>11270</v>
      </c>
      <c r="AC603" s="1" t="s">
        <v>609</v>
      </c>
      <c r="AD603" s="1">
        <v>8.85</v>
      </c>
      <c r="AE603" s="1" t="s">
        <v>93</v>
      </c>
      <c r="AF603" s="1" t="s">
        <v>11271</v>
      </c>
      <c r="AG603" s="1" t="s">
        <v>1285</v>
      </c>
      <c r="AH603" s="1" t="s">
        <v>165</v>
      </c>
      <c r="AI603" s="1" t="s">
        <v>281</v>
      </c>
      <c r="AJ603" s="1">
        <v>92.15</v>
      </c>
      <c r="AK603" s="1">
        <v>9.7</v>
      </c>
      <c r="AL603" s="1"/>
      <c r="AM603" s="1"/>
      <c r="AN603" s="1"/>
      <c r="AO603" s="1"/>
      <c r="AP603" s="1"/>
      <c r="AQ603" s="1"/>
      <c r="AR603" s="1" t="s">
        <v>98</v>
      </c>
      <c r="AS603" s="1" t="s">
        <v>11272</v>
      </c>
      <c r="AT603" s="1" t="s">
        <v>101</v>
      </c>
      <c r="AU603" s="1" t="s">
        <v>504</v>
      </c>
      <c r="AV603" s="1">
        <v>90.2</v>
      </c>
      <c r="AW603" s="1">
        <v>9.52</v>
      </c>
      <c r="AX603" s="1" t="s">
        <v>614</v>
      </c>
      <c r="AY603" s="1" t="s">
        <v>11273</v>
      </c>
      <c r="AZ603" s="1" t="s">
        <v>1407</v>
      </c>
      <c r="BA603" s="1" t="s">
        <v>944</v>
      </c>
      <c r="BB603" s="1">
        <v>81.2</v>
      </c>
      <c r="BC603" s="1">
        <v>8.62</v>
      </c>
      <c r="BD603" s="1"/>
      <c r="BE603" s="1"/>
      <c r="BF603" s="1"/>
      <c r="BG603" s="1"/>
      <c r="BH603" s="1"/>
      <c r="BI603" s="1"/>
      <c r="BJ603" s="1" t="s">
        <v>11274</v>
      </c>
      <c r="BK603" s="1"/>
      <c r="BL603" s="1"/>
      <c r="BM603" s="1" t="s">
        <v>11275</v>
      </c>
      <c r="BN603" s="1">
        <v>41</v>
      </c>
      <c r="BO603" s="1" t="s">
        <v>11276</v>
      </c>
      <c r="BP603" s="1" t="str">
        <f>HYPERLINK("https://nconnect.nicmar.ac.in/storage/profile/ProfilePhoto_P25700564_238796.jpg","Download")</f>
        <v>0</v>
      </c>
      <c r="BQ603" s="3"/>
      <c r="BR603" s="3"/>
    </row>
    <row r="604" spans="1:70">
      <c r="A604" s="1" t="s">
        <v>70</v>
      </c>
      <c r="B604" s="1" t="s">
        <v>1269</v>
      </c>
      <c r="C604" s="1" t="s">
        <v>11277</v>
      </c>
      <c r="D604" s="1" t="s">
        <v>11278</v>
      </c>
      <c r="E604" s="1" t="s">
        <v>11279</v>
      </c>
      <c r="F604" s="1" t="s">
        <v>11280</v>
      </c>
      <c r="G604" s="1" t="s">
        <v>11281</v>
      </c>
      <c r="H604" s="1" t="s">
        <v>11282</v>
      </c>
      <c r="I604" s="1" t="s">
        <v>11283</v>
      </c>
      <c r="J604" s="1">
        <v>8390693396</v>
      </c>
      <c r="K604" s="1" t="s">
        <v>79</v>
      </c>
      <c r="L604" s="1" t="s">
        <v>11284</v>
      </c>
      <c r="M604" s="1" t="s">
        <v>81</v>
      </c>
      <c r="N604" s="1" t="s">
        <v>1418</v>
      </c>
      <c r="O604" s="1"/>
      <c r="P604" s="1" t="s">
        <v>1298</v>
      </c>
      <c r="Q604" s="1" t="s">
        <v>11285</v>
      </c>
      <c r="R604" s="1" t="s">
        <v>1546</v>
      </c>
      <c r="S604" s="1">
        <v>9637978741</v>
      </c>
      <c r="T604" s="1" t="s">
        <v>154</v>
      </c>
      <c r="U604" s="1" t="s">
        <v>3472</v>
      </c>
      <c r="V604" s="1">
        <v>9404051759</v>
      </c>
      <c r="W604" s="1" t="s">
        <v>2492</v>
      </c>
      <c r="X604" s="1" t="s">
        <v>11286</v>
      </c>
      <c r="Y604" s="1" t="s">
        <v>191</v>
      </c>
      <c r="Z604" s="1" t="s">
        <v>92</v>
      </c>
      <c r="AA604" s="1" t="s">
        <v>11287</v>
      </c>
      <c r="AB604" s="1" t="s">
        <v>379</v>
      </c>
      <c r="AC604" s="1" t="s">
        <v>92</v>
      </c>
      <c r="AD604" s="1">
        <v>7.53</v>
      </c>
      <c r="AE604" s="1" t="s">
        <v>93</v>
      </c>
      <c r="AF604" s="1" t="s">
        <v>11288</v>
      </c>
      <c r="AG604" s="1" t="s">
        <v>11289</v>
      </c>
      <c r="AH604" s="1" t="s">
        <v>101</v>
      </c>
      <c r="AI604" s="1" t="s">
        <v>409</v>
      </c>
      <c r="AJ604" s="1">
        <v>80.6</v>
      </c>
      <c r="AK604" s="1"/>
      <c r="AL604" s="1"/>
      <c r="AM604" s="1"/>
      <c r="AN604" s="1"/>
      <c r="AO604" s="1"/>
      <c r="AP604" s="1"/>
      <c r="AQ604" s="1"/>
      <c r="AR604" s="1" t="s">
        <v>8167</v>
      </c>
      <c r="AS604" s="1" t="s">
        <v>11290</v>
      </c>
      <c r="AT604" s="1" t="s">
        <v>310</v>
      </c>
      <c r="AU604" s="1" t="s">
        <v>105</v>
      </c>
      <c r="AV604" s="1">
        <v>77.16</v>
      </c>
      <c r="AW604" s="1"/>
      <c r="AX604" s="1" t="s">
        <v>5523</v>
      </c>
      <c r="AY604" s="1" t="s">
        <v>11291</v>
      </c>
      <c r="AZ604" s="1" t="s">
        <v>2690</v>
      </c>
      <c r="BA604" s="1" t="s">
        <v>1714</v>
      </c>
      <c r="BB604" s="1">
        <v>66</v>
      </c>
      <c r="BC604" s="1">
        <v>7.35</v>
      </c>
      <c r="BD604" s="1"/>
      <c r="BE604" s="1"/>
      <c r="BF604" s="1"/>
      <c r="BG604" s="1"/>
      <c r="BH604" s="1"/>
      <c r="BI604" s="1"/>
      <c r="BJ604" s="1" t="s">
        <v>11292</v>
      </c>
      <c r="BK604" s="1"/>
      <c r="BL604" s="1"/>
      <c r="BM604" s="1" t="s">
        <v>11293</v>
      </c>
      <c r="BN604" s="1">
        <v>19</v>
      </c>
      <c r="BO604" s="1"/>
      <c r="BP604" s="1" t="str">
        <f>HYPERLINK("https://nconnect.nicmar.ac.in/storage/profile/ProfilePhoto_P25700565_458762.jpg","Download")</f>
        <v>0</v>
      </c>
      <c r="BQ604" s="3"/>
      <c r="BR604" s="3"/>
    </row>
    <row r="605" spans="1:70">
      <c r="A605" s="1" t="s">
        <v>70</v>
      </c>
      <c r="B605" s="1" t="s">
        <v>1269</v>
      </c>
      <c r="C605" s="1" t="s">
        <v>11294</v>
      </c>
      <c r="D605" s="1" t="s">
        <v>1271</v>
      </c>
      <c r="E605" s="1"/>
      <c r="F605" s="1" t="s">
        <v>2190</v>
      </c>
      <c r="G605" s="1" t="s">
        <v>11295</v>
      </c>
      <c r="H605" s="1" t="s">
        <v>11296</v>
      </c>
      <c r="I605" s="1" t="s">
        <v>11297</v>
      </c>
      <c r="J605" s="1">
        <v>9495192895</v>
      </c>
      <c r="K605" s="1" t="s">
        <v>79</v>
      </c>
      <c r="L605" s="1" t="s">
        <v>11298</v>
      </c>
      <c r="M605" s="1" t="s">
        <v>81</v>
      </c>
      <c r="N605" s="1" t="s">
        <v>11299</v>
      </c>
      <c r="O605" s="1"/>
      <c r="P605" s="1" t="s">
        <v>1298</v>
      </c>
      <c r="Q605" s="1" t="s">
        <v>11300</v>
      </c>
      <c r="R605" s="1" t="s">
        <v>11301</v>
      </c>
      <c r="S605" s="1">
        <v>9745444533</v>
      </c>
      <c r="T605" s="1" t="s">
        <v>11302</v>
      </c>
      <c r="U605" s="1" t="s">
        <v>11303</v>
      </c>
      <c r="V605" s="1">
        <v>9400490160</v>
      </c>
      <c r="W605" s="1" t="s">
        <v>122</v>
      </c>
      <c r="X605" s="1" t="s">
        <v>11304</v>
      </c>
      <c r="Y605" s="1" t="s">
        <v>3988</v>
      </c>
      <c r="Z605" s="1" t="s">
        <v>125</v>
      </c>
      <c r="AA605" s="1" t="s">
        <v>11304</v>
      </c>
      <c r="AB605" s="1" t="s">
        <v>3988</v>
      </c>
      <c r="AC605" s="1" t="s">
        <v>125</v>
      </c>
      <c r="AD605" s="1">
        <v>9.21</v>
      </c>
      <c r="AE605" s="1" t="s">
        <v>93</v>
      </c>
      <c r="AF605" s="1" t="s">
        <v>11305</v>
      </c>
      <c r="AG605" s="1" t="s">
        <v>11306</v>
      </c>
      <c r="AH605" s="1" t="s">
        <v>1197</v>
      </c>
      <c r="AI605" s="1" t="s">
        <v>131</v>
      </c>
      <c r="AJ605" s="1">
        <v>95</v>
      </c>
      <c r="AK605" s="1">
        <v>10</v>
      </c>
      <c r="AL605" s="1" t="s">
        <v>11305</v>
      </c>
      <c r="AM605" s="1" t="s">
        <v>11306</v>
      </c>
      <c r="AN605" s="1" t="s">
        <v>131</v>
      </c>
      <c r="AO605" s="1" t="s">
        <v>479</v>
      </c>
      <c r="AP605" s="1">
        <v>86.4</v>
      </c>
      <c r="AQ605" s="1"/>
      <c r="AR605" s="1"/>
      <c r="AS605" s="1"/>
      <c r="AT605" s="1"/>
      <c r="AU605" s="1"/>
      <c r="AV605" s="1"/>
      <c r="AW605" s="1"/>
      <c r="AX605" s="1" t="s">
        <v>11307</v>
      </c>
      <c r="AY605" s="1" t="s">
        <v>11308</v>
      </c>
      <c r="AZ605" s="1" t="s">
        <v>225</v>
      </c>
      <c r="BA605" s="1" t="s">
        <v>1051</v>
      </c>
      <c r="BB605" s="1">
        <v>80.55</v>
      </c>
      <c r="BC605" s="1">
        <v>8.43</v>
      </c>
      <c r="BD605" s="1"/>
      <c r="BE605" s="1"/>
      <c r="BF605" s="1"/>
      <c r="BG605" s="1"/>
      <c r="BH605" s="1"/>
      <c r="BI605" s="1"/>
      <c r="BJ605" s="1" t="s">
        <v>1673</v>
      </c>
      <c r="BK605" s="1" t="s">
        <v>11309</v>
      </c>
      <c r="BL605" s="1" t="s">
        <v>4917</v>
      </c>
      <c r="BM605" s="1" t="s">
        <v>11310</v>
      </c>
      <c r="BN605" s="1">
        <v>10</v>
      </c>
      <c r="BO605" s="1" t="s">
        <v>11311</v>
      </c>
      <c r="BP605" s="1" t="str">
        <f>HYPERLINK("https://nconnect.nicmar.ac.in/storage/profile/ProfilePhoto_P25700566_326841.jpg","Download")</f>
        <v>0</v>
      </c>
      <c r="BQ605" s="3"/>
      <c r="BR605" s="3"/>
    </row>
    <row r="606" spans="1:70">
      <c r="A606" s="1" t="s">
        <v>70</v>
      </c>
      <c r="B606" s="1" t="s">
        <v>1269</v>
      </c>
      <c r="C606" s="1" t="s">
        <v>11312</v>
      </c>
      <c r="D606" s="1" t="s">
        <v>11313</v>
      </c>
      <c r="E606" s="1" t="s">
        <v>3052</v>
      </c>
      <c r="F606" s="1" t="s">
        <v>2024</v>
      </c>
      <c r="G606" s="1" t="s">
        <v>11314</v>
      </c>
      <c r="H606" s="1" t="s">
        <v>11315</v>
      </c>
      <c r="I606" s="1" t="s">
        <v>11316</v>
      </c>
      <c r="J606" s="1">
        <v>8879859575</v>
      </c>
      <c r="K606" s="1" t="s">
        <v>79</v>
      </c>
      <c r="L606" s="1" t="s">
        <v>11317</v>
      </c>
      <c r="M606" s="1" t="s">
        <v>81</v>
      </c>
      <c r="N606" s="1" t="s">
        <v>2008</v>
      </c>
      <c r="O606" s="1"/>
      <c r="P606" s="1" t="s">
        <v>1298</v>
      </c>
      <c r="Q606" s="1" t="s">
        <v>11318</v>
      </c>
      <c r="R606" s="1" t="s">
        <v>11319</v>
      </c>
      <c r="S606" s="1">
        <v>9930919401</v>
      </c>
      <c r="T606" s="1" t="s">
        <v>11320</v>
      </c>
      <c r="U606" s="1" t="s">
        <v>11321</v>
      </c>
      <c r="V606" s="1">
        <v>9930919401</v>
      </c>
      <c r="W606" s="1" t="s">
        <v>156</v>
      </c>
      <c r="X606" s="1" t="s">
        <v>11322</v>
      </c>
      <c r="Y606" s="1" t="s">
        <v>995</v>
      </c>
      <c r="Z606" s="1" t="s">
        <v>92</v>
      </c>
      <c r="AA606" s="1" t="s">
        <v>11322</v>
      </c>
      <c r="AB606" s="1" t="s">
        <v>995</v>
      </c>
      <c r="AC606" s="1" t="s">
        <v>92</v>
      </c>
      <c r="AD606" s="1">
        <v>8.72</v>
      </c>
      <c r="AE606" s="1" t="s">
        <v>93</v>
      </c>
      <c r="AF606" s="1" t="s">
        <v>11323</v>
      </c>
      <c r="AG606" s="1" t="s">
        <v>11324</v>
      </c>
      <c r="AH606" s="1" t="s">
        <v>279</v>
      </c>
      <c r="AI606" s="1" t="s">
        <v>165</v>
      </c>
      <c r="AJ606" s="1">
        <v>70.3</v>
      </c>
      <c r="AK606" s="1">
        <v>7.4</v>
      </c>
      <c r="AL606" s="1"/>
      <c r="AM606" s="1"/>
      <c r="AN606" s="1"/>
      <c r="AO606" s="1"/>
      <c r="AP606" s="1"/>
      <c r="AQ606" s="1"/>
      <c r="AR606" s="1" t="s">
        <v>11325</v>
      </c>
      <c r="AS606" s="1" t="s">
        <v>11326</v>
      </c>
      <c r="AT606" s="1" t="s">
        <v>225</v>
      </c>
      <c r="AU606" s="1" t="s">
        <v>170</v>
      </c>
      <c r="AV606" s="1">
        <v>77.53</v>
      </c>
      <c r="AW606" s="1">
        <v>0</v>
      </c>
      <c r="AX606" s="1" t="s">
        <v>1024</v>
      </c>
      <c r="AY606" s="1" t="s">
        <v>11327</v>
      </c>
      <c r="AZ606" s="1" t="s">
        <v>2016</v>
      </c>
      <c r="BA606" s="1" t="s">
        <v>229</v>
      </c>
      <c r="BB606" s="1">
        <v>69.99</v>
      </c>
      <c r="BC606" s="1">
        <v>7.73</v>
      </c>
      <c r="BD606" s="1"/>
      <c r="BE606" s="1"/>
      <c r="BF606" s="1"/>
      <c r="BG606" s="1"/>
      <c r="BH606" s="1"/>
      <c r="BI606" s="1"/>
      <c r="BJ606" s="1" t="s">
        <v>364</v>
      </c>
      <c r="BK606" s="1" t="s">
        <v>11328</v>
      </c>
      <c r="BL606" s="1" t="s">
        <v>3239</v>
      </c>
      <c r="BM606" s="1" t="s">
        <v>11329</v>
      </c>
      <c r="BN606" s="1">
        <v>14</v>
      </c>
      <c r="BO606" s="1"/>
      <c r="BP606" s="1" t="str">
        <f>HYPERLINK("https://nconnect.nicmar.ac.in/storage/profile/ProfilePhoto_P25700567_194573.jpg","Download")</f>
        <v>0</v>
      </c>
      <c r="BQ606" s="3"/>
      <c r="BR606" s="3"/>
    </row>
    <row r="607" spans="1:70">
      <c r="A607" s="1" t="s">
        <v>70</v>
      </c>
      <c r="B607" s="1" t="s">
        <v>1269</v>
      </c>
      <c r="C607" s="1" t="s">
        <v>11330</v>
      </c>
      <c r="D607" s="1" t="s">
        <v>970</v>
      </c>
      <c r="E607" s="1" t="s">
        <v>344</v>
      </c>
      <c r="F607" s="1" t="s">
        <v>11331</v>
      </c>
      <c r="G607" s="1" t="s">
        <v>11332</v>
      </c>
      <c r="H607" s="1" t="s">
        <v>11333</v>
      </c>
      <c r="I607" s="1" t="s">
        <v>11334</v>
      </c>
      <c r="J607" s="1">
        <v>9146582585</v>
      </c>
      <c r="K607" s="1" t="s">
        <v>148</v>
      </c>
      <c r="L607" s="1" t="s">
        <v>11335</v>
      </c>
      <c r="M607" s="1" t="s">
        <v>81</v>
      </c>
      <c r="N607" s="1" t="s">
        <v>6195</v>
      </c>
      <c r="O607" s="1"/>
      <c r="P607" s="1" t="s">
        <v>1298</v>
      </c>
      <c r="Q607" s="1" t="s">
        <v>11336</v>
      </c>
      <c r="R607" s="1" t="s">
        <v>11337</v>
      </c>
      <c r="S607" s="1">
        <v>9823540890</v>
      </c>
      <c r="T607" s="1" t="s">
        <v>122</v>
      </c>
      <c r="U607" s="1" t="s">
        <v>11338</v>
      </c>
      <c r="V607" s="1">
        <v>8275006396</v>
      </c>
      <c r="W607" s="1" t="s">
        <v>156</v>
      </c>
      <c r="X607" s="1" t="s">
        <v>11339</v>
      </c>
      <c r="Y607" s="1" t="s">
        <v>1992</v>
      </c>
      <c r="Z607" s="1" t="s">
        <v>92</v>
      </c>
      <c r="AA607" s="1" t="s">
        <v>11339</v>
      </c>
      <c r="AB607" s="1" t="s">
        <v>1992</v>
      </c>
      <c r="AC607" s="1" t="s">
        <v>92</v>
      </c>
      <c r="AD607" s="1">
        <v>7.02</v>
      </c>
      <c r="AE607" s="1" t="s">
        <v>93</v>
      </c>
      <c r="AF607" s="1" t="s">
        <v>11340</v>
      </c>
      <c r="AG607" s="1" t="s">
        <v>160</v>
      </c>
      <c r="AH607" s="1" t="s">
        <v>1240</v>
      </c>
      <c r="AI607" s="1" t="s">
        <v>456</v>
      </c>
      <c r="AJ607" s="1">
        <v>92.2</v>
      </c>
      <c r="AK607" s="1"/>
      <c r="AL607" s="1" t="s">
        <v>1994</v>
      </c>
      <c r="AM607" s="1" t="s">
        <v>160</v>
      </c>
      <c r="AN607" s="1" t="s">
        <v>162</v>
      </c>
      <c r="AO607" s="1" t="s">
        <v>457</v>
      </c>
      <c r="AP607" s="1">
        <v>63.38</v>
      </c>
      <c r="AQ607" s="1"/>
      <c r="AR607" s="1"/>
      <c r="AS607" s="1"/>
      <c r="AT607" s="1"/>
      <c r="AU607" s="1"/>
      <c r="AV607" s="1"/>
      <c r="AW607" s="1"/>
      <c r="AX607" s="1" t="s">
        <v>11341</v>
      </c>
      <c r="AY607" s="1" t="s">
        <v>11342</v>
      </c>
      <c r="AZ607" s="1" t="s">
        <v>636</v>
      </c>
      <c r="BA607" s="1" t="s">
        <v>174</v>
      </c>
      <c r="BB607" s="1">
        <v>62.5</v>
      </c>
      <c r="BC607" s="1">
        <v>7</v>
      </c>
      <c r="BD607" s="1"/>
      <c r="BE607" s="1"/>
      <c r="BF607" s="1"/>
      <c r="BG607" s="1"/>
      <c r="BH607" s="1"/>
      <c r="BI607" s="1"/>
      <c r="BJ607" s="1" t="s">
        <v>11343</v>
      </c>
      <c r="BK607" s="1" t="s">
        <v>11344</v>
      </c>
      <c r="BL607" s="1" t="s">
        <v>1919</v>
      </c>
      <c r="BM607" s="1" t="s">
        <v>11345</v>
      </c>
      <c r="BN607" s="1">
        <v>8</v>
      </c>
      <c r="BO607" s="1" t="s">
        <v>11346</v>
      </c>
      <c r="BP607" s="1" t="str">
        <f>HYPERLINK("https://nconnect.nicmar.ac.in/storage/profile/ProfilePhoto_P25700568_126738.jpg","Download")</f>
        <v>0</v>
      </c>
      <c r="BQ607" s="3"/>
      <c r="BR607" s="3"/>
    </row>
    <row r="608" spans="1:70">
      <c r="A608" s="1" t="s">
        <v>70</v>
      </c>
      <c r="B608" s="1" t="s">
        <v>1269</v>
      </c>
      <c r="C608" s="1" t="s">
        <v>11347</v>
      </c>
      <c r="D608" s="1" t="s">
        <v>11348</v>
      </c>
      <c r="E608" s="1"/>
      <c r="F608" s="1" t="s">
        <v>835</v>
      </c>
      <c r="G608" s="1" t="s">
        <v>11349</v>
      </c>
      <c r="H608" s="1" t="s">
        <v>11350</v>
      </c>
      <c r="I608" s="1" t="s">
        <v>11351</v>
      </c>
      <c r="J608" s="1">
        <v>7003225673</v>
      </c>
      <c r="K608" s="1" t="s">
        <v>79</v>
      </c>
      <c r="L608" s="1" t="s">
        <v>11352</v>
      </c>
      <c r="M608" s="1" t="s">
        <v>81</v>
      </c>
      <c r="N608" s="1" t="s">
        <v>11353</v>
      </c>
      <c r="O608" s="1"/>
      <c r="P608" s="1" t="s">
        <v>1323</v>
      </c>
      <c r="Q608" s="1" t="s">
        <v>11354</v>
      </c>
      <c r="R608" s="1" t="s">
        <v>11355</v>
      </c>
      <c r="S608" s="1">
        <v>9088855877</v>
      </c>
      <c r="T608" s="1" t="s">
        <v>216</v>
      </c>
      <c r="U608" s="1" t="s">
        <v>11356</v>
      </c>
      <c r="V608" s="1">
        <v>9088855877</v>
      </c>
      <c r="W608" s="1" t="s">
        <v>7257</v>
      </c>
      <c r="X608" s="1" t="s">
        <v>11357</v>
      </c>
      <c r="Y608" s="1" t="s">
        <v>782</v>
      </c>
      <c r="Z608" s="1" t="s">
        <v>783</v>
      </c>
      <c r="AA608" s="1" t="s">
        <v>11357</v>
      </c>
      <c r="AB608" s="1" t="s">
        <v>782</v>
      </c>
      <c r="AC608" s="1" t="s">
        <v>783</v>
      </c>
      <c r="AD608" s="1">
        <v>9.34</v>
      </c>
      <c r="AE608" s="1" t="s">
        <v>93</v>
      </c>
      <c r="AF608" s="1" t="s">
        <v>11358</v>
      </c>
      <c r="AG608" s="1" t="s">
        <v>11359</v>
      </c>
      <c r="AH608" s="1" t="s">
        <v>477</v>
      </c>
      <c r="AI608" s="1" t="s">
        <v>131</v>
      </c>
      <c r="AJ608" s="1">
        <v>93.83</v>
      </c>
      <c r="AK608" s="1"/>
      <c r="AL608" s="1" t="s">
        <v>11358</v>
      </c>
      <c r="AM608" s="1" t="s">
        <v>11359</v>
      </c>
      <c r="AN608" s="1" t="s">
        <v>279</v>
      </c>
      <c r="AO608" s="1" t="s">
        <v>479</v>
      </c>
      <c r="AP608" s="1">
        <v>88.33</v>
      </c>
      <c r="AQ608" s="1"/>
      <c r="AR608" s="1"/>
      <c r="AS608" s="1"/>
      <c r="AT608" s="1"/>
      <c r="AU608" s="1"/>
      <c r="AV608" s="1"/>
      <c r="AW608" s="1"/>
      <c r="AX608" s="1" t="s">
        <v>1088</v>
      </c>
      <c r="AY608" s="1" t="s">
        <v>11360</v>
      </c>
      <c r="AZ608" s="1" t="s">
        <v>636</v>
      </c>
      <c r="BA608" s="1" t="s">
        <v>105</v>
      </c>
      <c r="BB608" s="1">
        <v>73.6</v>
      </c>
      <c r="BC608" s="1">
        <v>8.11</v>
      </c>
      <c r="BD608" s="1"/>
      <c r="BE608" s="1"/>
      <c r="BF608" s="1"/>
      <c r="BG608" s="1"/>
      <c r="BH608" s="1"/>
      <c r="BI608" s="1"/>
      <c r="BJ608" s="1" t="s">
        <v>364</v>
      </c>
      <c r="BK608" s="1" t="s">
        <v>11361</v>
      </c>
      <c r="BL608" s="1" t="s">
        <v>619</v>
      </c>
      <c r="BM608" s="1" t="s">
        <v>11362</v>
      </c>
      <c r="BN608" s="1">
        <v>8</v>
      </c>
      <c r="BO608" s="1"/>
      <c r="BP608" s="1" t="str">
        <f>HYPERLINK("https://nconnect.nicmar.ac.in/storage/profile/ProfilePhoto_P25700569_579436.jpg","Download")</f>
        <v>0</v>
      </c>
      <c r="BQ608" s="3"/>
      <c r="BR608" s="3"/>
    </row>
    <row r="609" spans="1:70">
      <c r="A609" s="1" t="s">
        <v>70</v>
      </c>
      <c r="B609" s="1" t="s">
        <v>1269</v>
      </c>
      <c r="C609" s="1" t="s">
        <v>11363</v>
      </c>
      <c r="D609" s="1" t="s">
        <v>2024</v>
      </c>
      <c r="E609" s="1" t="s">
        <v>10400</v>
      </c>
      <c r="F609" s="1" t="s">
        <v>5393</v>
      </c>
      <c r="G609" s="1" t="s">
        <v>11364</v>
      </c>
      <c r="H609" s="1" t="s">
        <v>11365</v>
      </c>
      <c r="I609" s="1" t="s">
        <v>11366</v>
      </c>
      <c r="J609" s="1">
        <v>7887430542</v>
      </c>
      <c r="K609" s="1" t="s">
        <v>79</v>
      </c>
      <c r="L609" s="1" t="s">
        <v>11367</v>
      </c>
      <c r="M609" s="1" t="s">
        <v>81</v>
      </c>
      <c r="N609" s="1" t="s">
        <v>1418</v>
      </c>
      <c r="O609" s="1"/>
      <c r="P609" s="1"/>
      <c r="Q609" s="1" t="s">
        <v>11368</v>
      </c>
      <c r="R609" s="1" t="s">
        <v>11369</v>
      </c>
      <c r="S609" s="1">
        <v>9325066663</v>
      </c>
      <c r="T609" s="1" t="s">
        <v>8374</v>
      </c>
      <c r="U609" s="1" t="s">
        <v>11370</v>
      </c>
      <c r="V609" s="1">
        <v>9168899240</v>
      </c>
      <c r="W609" s="1" t="s">
        <v>156</v>
      </c>
      <c r="X609" s="1" t="s">
        <v>11371</v>
      </c>
      <c r="Y609" s="1" t="s">
        <v>8567</v>
      </c>
      <c r="Z609" s="1" t="s">
        <v>92</v>
      </c>
      <c r="AA609" s="1" t="s">
        <v>11371</v>
      </c>
      <c r="AB609" s="1" t="s">
        <v>8567</v>
      </c>
      <c r="AC609" s="1" t="s">
        <v>92</v>
      </c>
      <c r="AD609" s="1">
        <v>6.66</v>
      </c>
      <c r="AE609" s="1" t="s">
        <v>93</v>
      </c>
      <c r="AF609" s="1" t="s">
        <v>11372</v>
      </c>
      <c r="AG609" s="1" t="s">
        <v>4438</v>
      </c>
      <c r="AH609" s="1" t="s">
        <v>161</v>
      </c>
      <c r="AI609" s="1" t="s">
        <v>162</v>
      </c>
      <c r="AJ609" s="1">
        <v>77.6</v>
      </c>
      <c r="AK609" s="1"/>
      <c r="AL609" s="1" t="s">
        <v>11373</v>
      </c>
      <c r="AM609" s="1" t="s">
        <v>160</v>
      </c>
      <c r="AN609" s="1" t="s">
        <v>1332</v>
      </c>
      <c r="AO609" s="1" t="s">
        <v>457</v>
      </c>
      <c r="AP609" s="1">
        <v>62.62</v>
      </c>
      <c r="AQ609" s="1"/>
      <c r="AR609" s="1" t="s">
        <v>98</v>
      </c>
      <c r="AS609" s="1" t="s">
        <v>11374</v>
      </c>
      <c r="AT609" s="1" t="s">
        <v>433</v>
      </c>
      <c r="AU609" s="1" t="s">
        <v>436</v>
      </c>
      <c r="AV609" s="1">
        <v>77.37</v>
      </c>
      <c r="AW609" s="1"/>
      <c r="AX609" s="1" t="s">
        <v>11375</v>
      </c>
      <c r="AY609" s="1" t="s">
        <v>11376</v>
      </c>
      <c r="AZ609" s="1" t="s">
        <v>1131</v>
      </c>
      <c r="BA609" s="1" t="s">
        <v>1938</v>
      </c>
      <c r="BB609" s="1">
        <v>68.77</v>
      </c>
      <c r="BC609" s="1">
        <v>7.47</v>
      </c>
      <c r="BD609" s="1"/>
      <c r="BE609" s="1"/>
      <c r="BF609" s="1"/>
      <c r="BG609" s="1"/>
      <c r="BH609" s="1"/>
      <c r="BI609" s="1"/>
      <c r="BJ609" s="1" t="s">
        <v>364</v>
      </c>
      <c r="BK609" s="1"/>
      <c r="BL609" s="1"/>
      <c r="BM609" s="1"/>
      <c r="BN609" s="1"/>
      <c r="BO609" s="1"/>
      <c r="BP609" s="1" t="str">
        <f>HYPERLINK("https://nconnect.nicmar.ac.in/storage/profile/ProfilePhoto_P25700570_237541.jpg","Download")</f>
        <v>0</v>
      </c>
      <c r="BQ609" s="3"/>
      <c r="BR609" s="3"/>
    </row>
    <row r="610" spans="1:70">
      <c r="A610" s="1" t="s">
        <v>70</v>
      </c>
      <c r="B610" s="1" t="s">
        <v>1269</v>
      </c>
      <c r="C610" s="1" t="s">
        <v>11377</v>
      </c>
      <c r="D610" s="1" t="s">
        <v>2892</v>
      </c>
      <c r="E610" s="1" t="s">
        <v>11378</v>
      </c>
      <c r="F610" s="1" t="s">
        <v>11379</v>
      </c>
      <c r="G610" s="1" t="s">
        <v>11380</v>
      </c>
      <c r="H610" s="1" t="s">
        <v>11381</v>
      </c>
      <c r="I610" s="1" t="s">
        <v>11382</v>
      </c>
      <c r="J610" s="1">
        <v>9156028208</v>
      </c>
      <c r="K610" s="1" t="s">
        <v>79</v>
      </c>
      <c r="L610" s="1" t="s">
        <v>11383</v>
      </c>
      <c r="M610" s="1" t="s">
        <v>81</v>
      </c>
      <c r="N610" s="1" t="s">
        <v>6757</v>
      </c>
      <c r="O610" s="1"/>
      <c r="P610" s="1" t="s">
        <v>1298</v>
      </c>
      <c r="Q610" s="1" t="s">
        <v>11384</v>
      </c>
      <c r="R610" s="1" t="s">
        <v>11385</v>
      </c>
      <c r="S610" s="1">
        <v>9503626399</v>
      </c>
      <c r="T610" s="1" t="s">
        <v>496</v>
      </c>
      <c r="U610" s="1" t="s">
        <v>11386</v>
      </c>
      <c r="V610" s="1">
        <v>9309591763</v>
      </c>
      <c r="W610" s="1" t="s">
        <v>651</v>
      </c>
      <c r="X610" s="1" t="s">
        <v>11387</v>
      </c>
      <c r="Y610" s="1" t="s">
        <v>219</v>
      </c>
      <c r="Z610" s="1" t="s">
        <v>92</v>
      </c>
      <c r="AA610" s="1" t="s">
        <v>11387</v>
      </c>
      <c r="AB610" s="1" t="s">
        <v>219</v>
      </c>
      <c r="AC610" s="1" t="s">
        <v>92</v>
      </c>
      <c r="AD610" s="1">
        <v>7.69</v>
      </c>
      <c r="AE610" s="1" t="s">
        <v>93</v>
      </c>
      <c r="AF610" s="1" t="s">
        <v>11388</v>
      </c>
      <c r="AG610" s="1" t="s">
        <v>11389</v>
      </c>
      <c r="AH610" s="1" t="s">
        <v>165</v>
      </c>
      <c r="AI610" s="1" t="s">
        <v>166</v>
      </c>
      <c r="AJ610" s="1">
        <v>79.8</v>
      </c>
      <c r="AK610" s="1"/>
      <c r="AL610" s="1"/>
      <c r="AM610" s="1"/>
      <c r="AN610" s="1"/>
      <c r="AO610" s="1"/>
      <c r="AP610" s="1"/>
      <c r="AQ610" s="1"/>
      <c r="AR610" s="1" t="s">
        <v>434</v>
      </c>
      <c r="AS610" s="1" t="s">
        <v>11390</v>
      </c>
      <c r="AT610" s="1" t="s">
        <v>636</v>
      </c>
      <c r="AU610" s="1" t="s">
        <v>436</v>
      </c>
      <c r="AV610" s="1">
        <v>88.89</v>
      </c>
      <c r="AW610" s="1"/>
      <c r="AX610" s="1" t="s">
        <v>9607</v>
      </c>
      <c r="AY610" s="1" t="s">
        <v>11391</v>
      </c>
      <c r="AZ610" s="1" t="s">
        <v>897</v>
      </c>
      <c r="BA610" s="1" t="s">
        <v>1938</v>
      </c>
      <c r="BB610" s="1">
        <v>70.8</v>
      </c>
      <c r="BC610" s="1">
        <v>7.08</v>
      </c>
      <c r="BD610" s="1"/>
      <c r="BE610" s="1"/>
      <c r="BF610" s="1"/>
      <c r="BG610" s="1"/>
      <c r="BH610" s="1"/>
      <c r="BI610" s="1"/>
      <c r="BJ610" s="1" t="s">
        <v>1383</v>
      </c>
      <c r="BK610" s="1"/>
      <c r="BL610" s="1"/>
      <c r="BM610" s="1" t="s">
        <v>11392</v>
      </c>
      <c r="BN610" s="1">
        <v>14</v>
      </c>
      <c r="BO610" s="1" t="s">
        <v>11393</v>
      </c>
      <c r="BP610" s="1" t="str">
        <f>HYPERLINK("https://nconnect.nicmar.ac.in/storage/profile/ProfilePhoto_P25700571_859736.jpg","Download")</f>
        <v>0</v>
      </c>
      <c r="BQ610" s="3"/>
      <c r="BR610" s="3"/>
    </row>
    <row r="611" spans="1:70">
      <c r="A611" s="1" t="s">
        <v>70</v>
      </c>
      <c r="B611" s="1" t="s">
        <v>1269</v>
      </c>
      <c r="C611" s="1" t="s">
        <v>11394</v>
      </c>
      <c r="D611" s="1" t="s">
        <v>1980</v>
      </c>
      <c r="E611" s="1" t="s">
        <v>1566</v>
      </c>
      <c r="F611" s="1" t="s">
        <v>11395</v>
      </c>
      <c r="G611" s="1" t="s">
        <v>11396</v>
      </c>
      <c r="H611" s="1" t="s">
        <v>11397</v>
      </c>
      <c r="I611" s="1" t="s">
        <v>11398</v>
      </c>
      <c r="J611" s="1">
        <v>8369748070</v>
      </c>
      <c r="K611" s="1" t="s">
        <v>79</v>
      </c>
      <c r="L611" s="1" t="s">
        <v>3543</v>
      </c>
      <c r="M611" s="1" t="s">
        <v>81</v>
      </c>
      <c r="N611" s="1" t="s">
        <v>1618</v>
      </c>
      <c r="O611" s="1"/>
      <c r="P611" s="1" t="s">
        <v>1278</v>
      </c>
      <c r="Q611" s="1" t="s">
        <v>11399</v>
      </c>
      <c r="R611" s="1" t="s">
        <v>1566</v>
      </c>
      <c r="S611" s="1">
        <v>9867615280</v>
      </c>
      <c r="T611" s="1" t="s">
        <v>932</v>
      </c>
      <c r="U611" s="1" t="s">
        <v>5816</v>
      </c>
      <c r="V611" s="1">
        <v>9769419594</v>
      </c>
      <c r="W611" s="1" t="s">
        <v>156</v>
      </c>
      <c r="X611" s="1" t="s">
        <v>11400</v>
      </c>
      <c r="Y611" s="1" t="s">
        <v>1623</v>
      </c>
      <c r="Z611" s="1" t="s">
        <v>92</v>
      </c>
      <c r="AA611" s="1" t="s">
        <v>11400</v>
      </c>
      <c r="AB611" s="1" t="s">
        <v>1623</v>
      </c>
      <c r="AC611" s="1" t="s">
        <v>92</v>
      </c>
      <c r="AD611" s="1">
        <v>8.54</v>
      </c>
      <c r="AE611" s="1" t="s">
        <v>93</v>
      </c>
      <c r="AF611" s="1" t="s">
        <v>11401</v>
      </c>
      <c r="AG611" s="1" t="s">
        <v>160</v>
      </c>
      <c r="AH611" s="1" t="s">
        <v>161</v>
      </c>
      <c r="AI611" s="1" t="s">
        <v>162</v>
      </c>
      <c r="AJ611" s="1">
        <v>85.4</v>
      </c>
      <c r="AK611" s="1"/>
      <c r="AL611" s="1"/>
      <c r="AM611" s="1"/>
      <c r="AN611" s="1"/>
      <c r="AO611" s="1"/>
      <c r="AP611" s="1"/>
      <c r="AQ611" s="1"/>
      <c r="AR611" s="1" t="s">
        <v>11402</v>
      </c>
      <c r="AS611" s="1" t="s">
        <v>11403</v>
      </c>
      <c r="AT611" s="1" t="s">
        <v>134</v>
      </c>
      <c r="AU611" s="1" t="s">
        <v>433</v>
      </c>
      <c r="AV611" s="1">
        <v>69.64</v>
      </c>
      <c r="AW611" s="1"/>
      <c r="AX611" s="1" t="s">
        <v>1024</v>
      </c>
      <c r="AY611" s="1" t="s">
        <v>11404</v>
      </c>
      <c r="AZ611" s="1" t="s">
        <v>201</v>
      </c>
      <c r="BA611" s="1" t="s">
        <v>105</v>
      </c>
      <c r="BB611" s="1">
        <v>69.08</v>
      </c>
      <c r="BC611" s="1">
        <v>7.75</v>
      </c>
      <c r="BD611" s="1"/>
      <c r="BE611" s="1"/>
      <c r="BF611" s="1"/>
      <c r="BG611" s="1"/>
      <c r="BH611" s="1"/>
      <c r="BI611" s="1"/>
      <c r="BJ611" s="1" t="s">
        <v>4310</v>
      </c>
      <c r="BK611" s="1" t="s">
        <v>11405</v>
      </c>
      <c r="BL611" s="1" t="s">
        <v>11406</v>
      </c>
      <c r="BM611" s="1" t="s">
        <v>11407</v>
      </c>
      <c r="BN611" s="1">
        <v>13</v>
      </c>
      <c r="BO611" s="1" t="s">
        <v>11408</v>
      </c>
      <c r="BP611" s="1" t="str">
        <f>HYPERLINK("https://nconnect.nicmar.ac.in/storage/profile/ProfilePhoto_P25700572_925681.jpg","Download")</f>
        <v>0</v>
      </c>
      <c r="BQ611" s="3"/>
      <c r="BR611" s="3"/>
    </row>
    <row r="612" spans="1:70">
      <c r="A612" s="1" t="s">
        <v>70</v>
      </c>
      <c r="B612" s="1" t="s">
        <v>1269</v>
      </c>
      <c r="C612" s="1" t="s">
        <v>11409</v>
      </c>
      <c r="D612" s="1" t="s">
        <v>4328</v>
      </c>
      <c r="E612" s="1" t="s">
        <v>5072</v>
      </c>
      <c r="F612" s="1" t="s">
        <v>11410</v>
      </c>
      <c r="G612" s="1" t="s">
        <v>11411</v>
      </c>
      <c r="H612" s="1" t="s">
        <v>11412</v>
      </c>
      <c r="I612" s="1" t="s">
        <v>11413</v>
      </c>
      <c r="J612" s="1">
        <v>7558352506</v>
      </c>
      <c r="K612" s="1" t="s">
        <v>79</v>
      </c>
      <c r="L612" s="1" t="s">
        <v>8952</v>
      </c>
      <c r="M612" s="1" t="s">
        <v>81</v>
      </c>
      <c r="N612" s="1" t="s">
        <v>1950</v>
      </c>
      <c r="O612" s="1"/>
      <c r="P612" s="1" t="s">
        <v>1323</v>
      </c>
      <c r="Q612" s="1" t="s">
        <v>11414</v>
      </c>
      <c r="R612" s="1" t="s">
        <v>11415</v>
      </c>
      <c r="S612" s="1">
        <v>9307965330</v>
      </c>
      <c r="T612" s="1" t="s">
        <v>1554</v>
      </c>
      <c r="U612" s="1" t="s">
        <v>11416</v>
      </c>
      <c r="V612" s="1">
        <v>9307965330</v>
      </c>
      <c r="W612" s="1" t="s">
        <v>273</v>
      </c>
      <c r="X612" s="1" t="s">
        <v>11417</v>
      </c>
      <c r="Y612" s="1" t="s">
        <v>191</v>
      </c>
      <c r="Z612" s="1" t="s">
        <v>92</v>
      </c>
      <c r="AA612" s="1" t="s">
        <v>11418</v>
      </c>
      <c r="AB612" s="1" t="s">
        <v>5819</v>
      </c>
      <c r="AC612" s="1" t="s">
        <v>92</v>
      </c>
      <c r="AD612" s="1" t="s">
        <v>93</v>
      </c>
      <c r="AE612" s="1" t="s">
        <v>93</v>
      </c>
      <c r="AF612" s="1" t="s">
        <v>1831</v>
      </c>
      <c r="AG612" s="1" t="s">
        <v>1665</v>
      </c>
      <c r="AH612" s="1" t="s">
        <v>165</v>
      </c>
      <c r="AI612" s="1" t="s">
        <v>101</v>
      </c>
      <c r="AJ612" s="1">
        <v>75</v>
      </c>
      <c r="AK612" s="1"/>
      <c r="AL612" s="1" t="s">
        <v>11419</v>
      </c>
      <c r="AM612" s="1" t="s">
        <v>7697</v>
      </c>
      <c r="AN612" s="1" t="s">
        <v>201</v>
      </c>
      <c r="AO612" s="1" t="s">
        <v>681</v>
      </c>
      <c r="AP612" s="1">
        <v>61</v>
      </c>
      <c r="AQ612" s="1"/>
      <c r="AR612" s="1"/>
      <c r="AS612" s="1"/>
      <c r="AT612" s="1"/>
      <c r="AU612" s="1"/>
      <c r="AV612" s="1"/>
      <c r="AW612" s="1"/>
      <c r="AX612" s="1" t="s">
        <v>11420</v>
      </c>
      <c r="AY612" s="1" t="s">
        <v>11421</v>
      </c>
      <c r="AZ612" s="1" t="s">
        <v>1131</v>
      </c>
      <c r="BA612" s="1" t="s">
        <v>1714</v>
      </c>
      <c r="BB612" s="1">
        <v>73</v>
      </c>
      <c r="BC612" s="1"/>
      <c r="BD612" s="1"/>
      <c r="BE612" s="1"/>
      <c r="BF612" s="1"/>
      <c r="BG612" s="1"/>
      <c r="BH612" s="1"/>
      <c r="BI612" s="1"/>
      <c r="BJ612" s="1" t="s">
        <v>734</v>
      </c>
      <c r="BK612" s="1"/>
      <c r="BL612" s="1"/>
      <c r="BM612" s="1" t="s">
        <v>11422</v>
      </c>
      <c r="BN612" s="1">
        <v>1</v>
      </c>
      <c r="BO612" s="1"/>
      <c r="BP612" s="1" t="str">
        <f>HYPERLINK("https://nconnect.nicmar.ac.in/storage/profile/ProfilePhoto_P25700573_289415.jpg","Download")</f>
        <v>0</v>
      </c>
      <c r="BQ612" s="3"/>
      <c r="BR612" s="3"/>
    </row>
    <row r="613" spans="1:70">
      <c r="A613" s="1" t="s">
        <v>70</v>
      </c>
      <c r="B613" s="1" t="s">
        <v>1269</v>
      </c>
      <c r="C613" s="1" t="s">
        <v>11423</v>
      </c>
      <c r="D613" s="1" t="s">
        <v>11424</v>
      </c>
      <c r="E613" s="1"/>
      <c r="F613" s="1" t="s">
        <v>4768</v>
      </c>
      <c r="G613" s="1" t="s">
        <v>11425</v>
      </c>
      <c r="H613" s="1" t="s">
        <v>11426</v>
      </c>
      <c r="I613" s="1" t="s">
        <v>11427</v>
      </c>
      <c r="J613" s="1">
        <v>9945972444</v>
      </c>
      <c r="K613" s="1" t="s">
        <v>79</v>
      </c>
      <c r="L613" s="1" t="s">
        <v>11428</v>
      </c>
      <c r="M613" s="1" t="s">
        <v>81</v>
      </c>
      <c r="N613" s="1" t="s">
        <v>11429</v>
      </c>
      <c r="O613" s="1"/>
      <c r="P613" s="1" t="s">
        <v>1278</v>
      </c>
      <c r="Q613" s="1" t="s">
        <v>11430</v>
      </c>
      <c r="R613" s="1" t="s">
        <v>11431</v>
      </c>
      <c r="S613" s="1">
        <v>9845139778</v>
      </c>
      <c r="T613" s="1" t="s">
        <v>842</v>
      </c>
      <c r="U613" s="1" t="s">
        <v>11432</v>
      </c>
      <c r="V613" s="1">
        <v>9902359778</v>
      </c>
      <c r="W613" s="1" t="s">
        <v>156</v>
      </c>
      <c r="X613" s="1" t="s">
        <v>11433</v>
      </c>
      <c r="Y613" s="1" t="s">
        <v>1083</v>
      </c>
      <c r="Z613" s="1" t="s">
        <v>1084</v>
      </c>
      <c r="AA613" s="1" t="s">
        <v>11433</v>
      </c>
      <c r="AB613" s="1" t="s">
        <v>1083</v>
      </c>
      <c r="AC613" s="1" t="s">
        <v>1084</v>
      </c>
      <c r="AD613" s="1">
        <v>9.31</v>
      </c>
      <c r="AE613" s="1" t="s">
        <v>93</v>
      </c>
      <c r="AF613" s="1" t="s">
        <v>11434</v>
      </c>
      <c r="AG613" s="1" t="s">
        <v>307</v>
      </c>
      <c r="AH613" s="1" t="s">
        <v>165</v>
      </c>
      <c r="AI613" s="1" t="s">
        <v>166</v>
      </c>
      <c r="AJ613" s="1">
        <v>94</v>
      </c>
      <c r="AK613" s="1"/>
      <c r="AL613" s="1" t="s">
        <v>11435</v>
      </c>
      <c r="AM613" s="1" t="s">
        <v>11436</v>
      </c>
      <c r="AN613" s="1" t="s">
        <v>433</v>
      </c>
      <c r="AO613" s="1" t="s">
        <v>173</v>
      </c>
      <c r="AP613" s="1">
        <v>90.67</v>
      </c>
      <c r="AQ613" s="1"/>
      <c r="AR613" s="1"/>
      <c r="AS613" s="1"/>
      <c r="AT613" s="1"/>
      <c r="AU613" s="1"/>
      <c r="AV613" s="1"/>
      <c r="AW613" s="1"/>
      <c r="AX613" s="1" t="s">
        <v>1088</v>
      </c>
      <c r="AY613" s="1" t="s">
        <v>11437</v>
      </c>
      <c r="AZ613" s="1" t="s">
        <v>228</v>
      </c>
      <c r="BA613" s="1" t="s">
        <v>202</v>
      </c>
      <c r="BB613" s="1">
        <v>77</v>
      </c>
      <c r="BC613" s="1">
        <v>8.45</v>
      </c>
      <c r="BD613" s="1"/>
      <c r="BE613" s="1"/>
      <c r="BF613" s="1"/>
      <c r="BG613" s="1"/>
      <c r="BH613" s="1"/>
      <c r="BI613" s="1"/>
      <c r="BJ613" s="1" t="s">
        <v>11438</v>
      </c>
      <c r="BK613" s="1"/>
      <c r="BL613" s="1"/>
      <c r="BM613" s="1" t="s">
        <v>11439</v>
      </c>
      <c r="BN613" s="1">
        <v>63</v>
      </c>
      <c r="BO613" s="1" t="s">
        <v>11440</v>
      </c>
      <c r="BP613" s="1" t="str">
        <f>HYPERLINK("https://nconnect.nicmar.ac.in/storage/profile/ProfilePhoto_P25700574_937814.jpg","Download")</f>
        <v>0</v>
      </c>
      <c r="BQ613" s="3"/>
      <c r="BR613" s="3"/>
    </row>
    <row r="614" spans="1:70">
      <c r="A614" s="1" t="s">
        <v>70</v>
      </c>
      <c r="B614" s="1" t="s">
        <v>1269</v>
      </c>
      <c r="C614" s="1" t="s">
        <v>11441</v>
      </c>
      <c r="D614" s="1" t="s">
        <v>2692</v>
      </c>
      <c r="E614" s="1" t="s">
        <v>11442</v>
      </c>
      <c r="F614" s="1" t="s">
        <v>11443</v>
      </c>
      <c r="G614" s="1" t="s">
        <v>11444</v>
      </c>
      <c r="H614" s="1" t="s">
        <v>11445</v>
      </c>
      <c r="I614" s="1" t="s">
        <v>11446</v>
      </c>
      <c r="J614" s="1">
        <v>8600868357</v>
      </c>
      <c r="K614" s="1" t="s">
        <v>79</v>
      </c>
      <c r="L614" s="1" t="s">
        <v>11447</v>
      </c>
      <c r="M614" s="1" t="s">
        <v>81</v>
      </c>
      <c r="N614" s="1" t="s">
        <v>11448</v>
      </c>
      <c r="O614" s="1"/>
      <c r="P614" s="1" t="s">
        <v>1323</v>
      </c>
      <c r="Q614" s="1" t="s">
        <v>11449</v>
      </c>
      <c r="R614" s="1" t="s">
        <v>11442</v>
      </c>
      <c r="S614" s="1">
        <v>9766268452</v>
      </c>
      <c r="T614" s="1" t="s">
        <v>122</v>
      </c>
      <c r="U614" s="1" t="s">
        <v>11450</v>
      </c>
      <c r="V614" s="1">
        <v>9766268452</v>
      </c>
      <c r="W614" s="1" t="s">
        <v>156</v>
      </c>
      <c r="X614" s="1" t="s">
        <v>11451</v>
      </c>
      <c r="Y614" s="1" t="s">
        <v>158</v>
      </c>
      <c r="Z614" s="1" t="s">
        <v>92</v>
      </c>
      <c r="AA614" s="1" t="s">
        <v>11451</v>
      </c>
      <c r="AB614" s="1" t="s">
        <v>158</v>
      </c>
      <c r="AC614" s="1" t="s">
        <v>92</v>
      </c>
      <c r="AD614" s="1">
        <v>7.57</v>
      </c>
      <c r="AE614" s="1" t="s">
        <v>93</v>
      </c>
      <c r="AF614" s="1" t="s">
        <v>11452</v>
      </c>
      <c r="AG614" s="1" t="s">
        <v>11453</v>
      </c>
      <c r="AH614" s="1" t="s">
        <v>162</v>
      </c>
      <c r="AI614" s="1" t="s">
        <v>165</v>
      </c>
      <c r="AJ614" s="1">
        <v>78.6</v>
      </c>
      <c r="AK614" s="1"/>
      <c r="AL614" s="1" t="s">
        <v>11454</v>
      </c>
      <c r="AM614" s="1" t="s">
        <v>11453</v>
      </c>
      <c r="AN614" s="1" t="s">
        <v>169</v>
      </c>
      <c r="AO614" s="1" t="s">
        <v>308</v>
      </c>
      <c r="AP614" s="1">
        <v>73.54</v>
      </c>
      <c r="AQ614" s="1"/>
      <c r="AR614" s="1"/>
      <c r="AS614" s="1"/>
      <c r="AT614" s="1"/>
      <c r="AU614" s="1"/>
      <c r="AV614" s="1"/>
      <c r="AW614" s="1"/>
      <c r="AX614" s="1" t="s">
        <v>437</v>
      </c>
      <c r="AY614" s="1" t="s">
        <v>11455</v>
      </c>
      <c r="AZ614" s="1" t="s">
        <v>201</v>
      </c>
      <c r="BA614" s="1" t="s">
        <v>174</v>
      </c>
      <c r="BB614" s="1">
        <v>70.43</v>
      </c>
      <c r="BC614" s="1">
        <v>8.32</v>
      </c>
      <c r="BD614" s="1"/>
      <c r="BE614" s="1"/>
      <c r="BF614" s="1"/>
      <c r="BG614" s="1"/>
      <c r="BH614" s="1"/>
      <c r="BI614" s="1"/>
      <c r="BJ614" s="1" t="s">
        <v>11456</v>
      </c>
      <c r="BK614" s="1"/>
      <c r="BL614" s="1"/>
      <c r="BM614" s="1" t="s">
        <v>11457</v>
      </c>
      <c r="BN614" s="1">
        <v>41</v>
      </c>
      <c r="BO614" s="1"/>
      <c r="BP614" s="1" t="str">
        <f>HYPERLINK("https://nconnect.nicmar.ac.in/storage/profile/ProfilePhoto_P25700575_561478.jpg","Download")</f>
        <v>0</v>
      </c>
      <c r="BQ614" s="3"/>
      <c r="BR614" s="3"/>
    </row>
    <row r="615" spans="1:70">
      <c r="A615" s="1" t="s">
        <v>70</v>
      </c>
      <c r="B615" s="1" t="s">
        <v>1269</v>
      </c>
      <c r="C615" s="1" t="s">
        <v>11458</v>
      </c>
      <c r="D615" s="1" t="s">
        <v>6701</v>
      </c>
      <c r="E615" s="1" t="s">
        <v>10369</v>
      </c>
      <c r="F615" s="1" t="s">
        <v>11459</v>
      </c>
      <c r="G615" s="1" t="s">
        <v>11460</v>
      </c>
      <c r="H615" s="1" t="s">
        <v>11461</v>
      </c>
      <c r="I615" s="1" t="s">
        <v>11462</v>
      </c>
      <c r="J615" s="1">
        <v>7058974553</v>
      </c>
      <c r="K615" s="1" t="s">
        <v>79</v>
      </c>
      <c r="L615" s="1" t="s">
        <v>10948</v>
      </c>
      <c r="M615" s="1" t="s">
        <v>81</v>
      </c>
      <c r="N615" s="1" t="s">
        <v>2008</v>
      </c>
      <c r="O615" s="1"/>
      <c r="P615" s="1" t="s">
        <v>1278</v>
      </c>
      <c r="Q615" s="1" t="s">
        <v>11463</v>
      </c>
      <c r="R615" s="1" t="s">
        <v>11464</v>
      </c>
      <c r="S615" s="1">
        <v>8805424938</v>
      </c>
      <c r="T615" s="1" t="s">
        <v>496</v>
      </c>
      <c r="U615" s="1" t="s">
        <v>11465</v>
      </c>
      <c r="V615" s="1">
        <v>8530017722</v>
      </c>
      <c r="W615" s="1" t="s">
        <v>156</v>
      </c>
      <c r="X615" s="1" t="s">
        <v>11466</v>
      </c>
      <c r="Y615" s="1" t="s">
        <v>191</v>
      </c>
      <c r="Z615" s="1" t="s">
        <v>92</v>
      </c>
      <c r="AA615" s="1" t="s">
        <v>11466</v>
      </c>
      <c r="AB615" s="1" t="s">
        <v>191</v>
      </c>
      <c r="AC615" s="1" t="s">
        <v>92</v>
      </c>
      <c r="AD615" s="1">
        <v>7.82</v>
      </c>
      <c r="AE615" s="1" t="s">
        <v>93</v>
      </c>
      <c r="AF615" s="1" t="s">
        <v>11467</v>
      </c>
      <c r="AG615" s="1" t="s">
        <v>307</v>
      </c>
      <c r="AH615" s="1" t="s">
        <v>1307</v>
      </c>
      <c r="AI615" s="1" t="s">
        <v>198</v>
      </c>
      <c r="AJ615" s="1">
        <v>80.6</v>
      </c>
      <c r="AK615" s="1"/>
      <c r="AL615" s="1" t="s">
        <v>11468</v>
      </c>
      <c r="AM615" s="1" t="s">
        <v>11469</v>
      </c>
      <c r="AN615" s="1" t="s">
        <v>433</v>
      </c>
      <c r="AO615" s="1" t="s">
        <v>1712</v>
      </c>
      <c r="AP615" s="1">
        <v>83</v>
      </c>
      <c r="AQ615" s="1"/>
      <c r="AR615" s="1"/>
      <c r="AS615" s="1"/>
      <c r="AT615" s="1"/>
      <c r="AU615" s="1"/>
      <c r="AV615" s="1"/>
      <c r="AW615" s="1"/>
      <c r="AX615" s="1" t="s">
        <v>361</v>
      </c>
      <c r="AY615" s="1" t="s">
        <v>11470</v>
      </c>
      <c r="AZ615" s="1" t="s">
        <v>897</v>
      </c>
      <c r="BA615" s="1" t="s">
        <v>1714</v>
      </c>
      <c r="BB615" s="1">
        <v>66.1</v>
      </c>
      <c r="BC615" s="1">
        <v>7.36</v>
      </c>
      <c r="BD615" s="1"/>
      <c r="BE615" s="1"/>
      <c r="BF615" s="1"/>
      <c r="BG615" s="1"/>
      <c r="BH615" s="1"/>
      <c r="BI615" s="1"/>
      <c r="BJ615" s="1" t="s">
        <v>1383</v>
      </c>
      <c r="BK615" s="1"/>
      <c r="BL615" s="1"/>
      <c r="BM615" s="1" t="s">
        <v>11471</v>
      </c>
      <c r="BN615" s="1">
        <v>4</v>
      </c>
      <c r="BO615" s="1" t="s">
        <v>11472</v>
      </c>
      <c r="BP615" s="1" t="str">
        <f>HYPERLINK("https://nconnect.nicmar.ac.in/storage/profile/ProfilePhoto_P25700576_435176.jpg","Download")</f>
        <v>0</v>
      </c>
      <c r="BQ615" s="3"/>
      <c r="BR615" s="3"/>
    </row>
    <row r="616" spans="1:70">
      <c r="A616" s="1" t="s">
        <v>70</v>
      </c>
      <c r="B616" s="1" t="s">
        <v>1269</v>
      </c>
      <c r="C616" s="1" t="s">
        <v>11473</v>
      </c>
      <c r="D616" s="1" t="s">
        <v>11474</v>
      </c>
      <c r="E616" s="1" t="s">
        <v>7539</v>
      </c>
      <c r="F616" s="1" t="s">
        <v>11475</v>
      </c>
      <c r="G616" s="1" t="s">
        <v>11476</v>
      </c>
      <c r="H616" s="1" t="s">
        <v>11477</v>
      </c>
      <c r="I616" s="1" t="s">
        <v>11478</v>
      </c>
      <c r="J616" s="1">
        <v>7378390992</v>
      </c>
      <c r="K616" s="1" t="s">
        <v>79</v>
      </c>
      <c r="L616" s="1" t="s">
        <v>11479</v>
      </c>
      <c r="M616" s="1" t="s">
        <v>81</v>
      </c>
      <c r="N616" s="1" t="s">
        <v>1765</v>
      </c>
      <c r="O616" s="1"/>
      <c r="P616" s="1" t="s">
        <v>1278</v>
      </c>
      <c r="Q616" s="1" t="s">
        <v>11480</v>
      </c>
      <c r="R616" s="1" t="s">
        <v>11481</v>
      </c>
      <c r="S616" s="1">
        <v>9403014432</v>
      </c>
      <c r="T616" s="1" t="s">
        <v>1351</v>
      </c>
      <c r="U616" s="1" t="s">
        <v>11482</v>
      </c>
      <c r="V616" s="1">
        <v>9403014429</v>
      </c>
      <c r="W616" s="1" t="s">
        <v>89</v>
      </c>
      <c r="X616" s="1" t="s">
        <v>11483</v>
      </c>
      <c r="Y616" s="1" t="s">
        <v>405</v>
      </c>
      <c r="Z616" s="1" t="s">
        <v>92</v>
      </c>
      <c r="AA616" s="1" t="s">
        <v>11483</v>
      </c>
      <c r="AB616" s="1" t="s">
        <v>405</v>
      </c>
      <c r="AC616" s="1" t="s">
        <v>92</v>
      </c>
      <c r="AD616" s="1">
        <v>8.28</v>
      </c>
      <c r="AE616" s="1" t="s">
        <v>93</v>
      </c>
      <c r="AF616" s="1" t="s">
        <v>11484</v>
      </c>
      <c r="AG616" s="1" t="s">
        <v>6006</v>
      </c>
      <c r="AH616" s="1" t="s">
        <v>1666</v>
      </c>
      <c r="AI616" s="1" t="s">
        <v>166</v>
      </c>
      <c r="AJ616" s="1">
        <v>92.6</v>
      </c>
      <c r="AK616" s="1">
        <v>0</v>
      </c>
      <c r="AL616" s="1" t="s">
        <v>11485</v>
      </c>
      <c r="AM616" s="1" t="s">
        <v>6006</v>
      </c>
      <c r="AN616" s="1" t="s">
        <v>169</v>
      </c>
      <c r="AO616" s="1" t="s">
        <v>173</v>
      </c>
      <c r="AP616" s="1">
        <v>76</v>
      </c>
      <c r="AQ616" s="1">
        <v>0</v>
      </c>
      <c r="AR616" s="1"/>
      <c r="AS616" s="1"/>
      <c r="AT616" s="1"/>
      <c r="AU616" s="1"/>
      <c r="AV616" s="1"/>
      <c r="AW616" s="1"/>
      <c r="AX616" s="1" t="s">
        <v>410</v>
      </c>
      <c r="AY616" s="1" t="s">
        <v>11486</v>
      </c>
      <c r="AZ616" s="1" t="s">
        <v>2016</v>
      </c>
      <c r="BA616" s="1" t="s">
        <v>202</v>
      </c>
      <c r="BB616" s="1">
        <v>83.5</v>
      </c>
      <c r="BC616" s="1">
        <v>8.35</v>
      </c>
      <c r="BD616" s="1"/>
      <c r="BE616" s="1"/>
      <c r="BF616" s="1"/>
      <c r="BG616" s="1"/>
      <c r="BH616" s="1"/>
      <c r="BI616" s="1"/>
      <c r="BJ616" s="1" t="s">
        <v>11487</v>
      </c>
      <c r="BK616" s="1"/>
      <c r="BL616" s="1"/>
      <c r="BM616" s="1" t="s">
        <v>11488</v>
      </c>
      <c r="BN616" s="1">
        <v>36</v>
      </c>
      <c r="BO616" s="1"/>
      <c r="BP616" s="1" t="str">
        <f>HYPERLINK("https://nconnect.nicmar.ac.in/storage/profile/ProfilePhoto_P25700577_523498.jpg","Download")</f>
        <v>0</v>
      </c>
      <c r="BQ616" s="3"/>
      <c r="BR616" s="3"/>
    </row>
    <row r="617" spans="1:70">
      <c r="A617" s="1" t="s">
        <v>70</v>
      </c>
      <c r="B617" s="1" t="s">
        <v>1269</v>
      </c>
      <c r="C617" s="1" t="s">
        <v>11489</v>
      </c>
      <c r="D617" s="1" t="s">
        <v>11490</v>
      </c>
      <c r="E617" s="1" t="s">
        <v>3201</v>
      </c>
      <c r="F617" s="1" t="s">
        <v>3901</v>
      </c>
      <c r="G617" s="1" t="s">
        <v>11491</v>
      </c>
      <c r="H617" s="1" t="s">
        <v>11492</v>
      </c>
      <c r="I617" s="1" t="s">
        <v>11493</v>
      </c>
      <c r="J617" s="1">
        <v>9356706658</v>
      </c>
      <c r="K617" s="1" t="s">
        <v>148</v>
      </c>
      <c r="L617" s="1" t="s">
        <v>11494</v>
      </c>
      <c r="M617" s="1" t="s">
        <v>81</v>
      </c>
      <c r="N617" s="1" t="s">
        <v>1418</v>
      </c>
      <c r="O617" s="1"/>
      <c r="P617" s="1" t="s">
        <v>1323</v>
      </c>
      <c r="Q617" s="1" t="s">
        <v>11495</v>
      </c>
      <c r="R617" s="1" t="s">
        <v>11496</v>
      </c>
      <c r="S617" s="1">
        <v>9822306522</v>
      </c>
      <c r="T617" s="1" t="s">
        <v>154</v>
      </c>
      <c r="U617" s="1" t="s">
        <v>11497</v>
      </c>
      <c r="V617" s="1">
        <v>9028232927</v>
      </c>
      <c r="W617" s="1" t="s">
        <v>651</v>
      </c>
      <c r="X617" s="1" t="s">
        <v>11498</v>
      </c>
      <c r="Y617" s="1" t="s">
        <v>328</v>
      </c>
      <c r="Z617" s="1" t="s">
        <v>92</v>
      </c>
      <c r="AA617" s="1" t="s">
        <v>11498</v>
      </c>
      <c r="AB617" s="1" t="s">
        <v>328</v>
      </c>
      <c r="AC617" s="1" t="s">
        <v>92</v>
      </c>
      <c r="AD617" s="1">
        <v>8.13</v>
      </c>
      <c r="AE617" s="1" t="s">
        <v>93</v>
      </c>
      <c r="AF617" s="1" t="s">
        <v>11499</v>
      </c>
      <c r="AG617" s="1" t="s">
        <v>11500</v>
      </c>
      <c r="AH617" s="1" t="s">
        <v>162</v>
      </c>
      <c r="AI617" s="1" t="s">
        <v>433</v>
      </c>
      <c r="AJ617" s="1">
        <v>82.8</v>
      </c>
      <c r="AK617" s="1"/>
      <c r="AL617" s="1" t="s">
        <v>11501</v>
      </c>
      <c r="AM617" s="1" t="s">
        <v>7385</v>
      </c>
      <c r="AN617" s="1" t="s">
        <v>310</v>
      </c>
      <c r="AO617" s="1" t="s">
        <v>506</v>
      </c>
      <c r="AP617" s="1">
        <v>90.33</v>
      </c>
      <c r="AQ617" s="1"/>
      <c r="AR617" s="1"/>
      <c r="AS617" s="1"/>
      <c r="AT617" s="1"/>
      <c r="AU617" s="1"/>
      <c r="AV617" s="1"/>
      <c r="AW617" s="1"/>
      <c r="AX617" s="1" t="s">
        <v>361</v>
      </c>
      <c r="AY617" s="1" t="s">
        <v>11502</v>
      </c>
      <c r="AZ617" s="1" t="s">
        <v>897</v>
      </c>
      <c r="BA617" s="1" t="s">
        <v>1714</v>
      </c>
      <c r="BB617" s="1">
        <v>71.4</v>
      </c>
      <c r="BC617" s="1">
        <v>7.86</v>
      </c>
      <c r="BD617" s="1"/>
      <c r="BE617" s="1"/>
      <c r="BF617" s="1"/>
      <c r="BG617" s="1"/>
      <c r="BH617" s="1"/>
      <c r="BI617" s="1"/>
      <c r="BJ617" s="1" t="s">
        <v>11503</v>
      </c>
      <c r="BK617" s="1"/>
      <c r="BL617" s="1"/>
      <c r="BM617" s="1" t="s">
        <v>11504</v>
      </c>
      <c r="BN617" s="1">
        <v>32</v>
      </c>
      <c r="BO617" s="1"/>
      <c r="BP617" s="1" t="str">
        <f>HYPERLINK("https://nconnect.nicmar.ac.in/storage/profile/ProfilePhoto_P25700578_347951.jpg","Download")</f>
        <v>0</v>
      </c>
      <c r="BQ617" s="3"/>
      <c r="BR617" s="3"/>
    </row>
    <row r="618" spans="1:70">
      <c r="A618" s="1" t="s">
        <v>70</v>
      </c>
      <c r="B618" s="1" t="s">
        <v>1269</v>
      </c>
      <c r="C618" s="1" t="s">
        <v>11505</v>
      </c>
      <c r="D618" s="1" t="s">
        <v>11506</v>
      </c>
      <c r="E618" s="1"/>
      <c r="F618" s="1" t="s">
        <v>11507</v>
      </c>
      <c r="G618" s="1" t="s">
        <v>11508</v>
      </c>
      <c r="H618" s="1" t="s">
        <v>11509</v>
      </c>
      <c r="I618" s="1" t="s">
        <v>11510</v>
      </c>
      <c r="J618" s="1">
        <v>9538487535</v>
      </c>
      <c r="K618" s="1" t="s">
        <v>148</v>
      </c>
      <c r="L618" s="1" t="s">
        <v>11511</v>
      </c>
      <c r="M618" s="1" t="s">
        <v>81</v>
      </c>
      <c r="N618" s="1" t="s">
        <v>11512</v>
      </c>
      <c r="O618" s="1"/>
      <c r="P618" s="1" t="s">
        <v>1278</v>
      </c>
      <c r="Q618" s="1" t="s">
        <v>11513</v>
      </c>
      <c r="R618" s="1" t="s">
        <v>11514</v>
      </c>
      <c r="S618" s="1">
        <v>9844309756</v>
      </c>
      <c r="T618" s="1" t="s">
        <v>11515</v>
      </c>
      <c r="U618" s="1" t="s">
        <v>11516</v>
      </c>
      <c r="V618" s="1">
        <v>8088735595</v>
      </c>
      <c r="W618" s="1" t="s">
        <v>651</v>
      </c>
      <c r="X618" s="1" t="s">
        <v>11517</v>
      </c>
      <c r="Y618" s="1" t="s">
        <v>1083</v>
      </c>
      <c r="Z618" s="1" t="s">
        <v>1084</v>
      </c>
      <c r="AA618" s="1" t="s">
        <v>11517</v>
      </c>
      <c r="AB618" s="1" t="s">
        <v>1083</v>
      </c>
      <c r="AC618" s="1" t="s">
        <v>1084</v>
      </c>
      <c r="AD618" s="1">
        <v>8.68</v>
      </c>
      <c r="AE618" s="1" t="s">
        <v>93</v>
      </c>
      <c r="AF618" s="1" t="s">
        <v>11518</v>
      </c>
      <c r="AG618" s="1" t="s">
        <v>307</v>
      </c>
      <c r="AH618" s="1" t="s">
        <v>4212</v>
      </c>
      <c r="AI618" s="1" t="s">
        <v>1197</v>
      </c>
      <c r="AJ618" s="1">
        <v>85.5</v>
      </c>
      <c r="AK618" s="1">
        <v>9</v>
      </c>
      <c r="AL618" s="1" t="s">
        <v>11518</v>
      </c>
      <c r="AM618" s="1" t="s">
        <v>307</v>
      </c>
      <c r="AN618" s="1" t="s">
        <v>503</v>
      </c>
      <c r="AO618" s="1" t="s">
        <v>527</v>
      </c>
      <c r="AP618" s="1">
        <v>78.6</v>
      </c>
      <c r="AQ618" s="1"/>
      <c r="AR618" s="1"/>
      <c r="AS618" s="1"/>
      <c r="AT618" s="1"/>
      <c r="AU618" s="1"/>
      <c r="AV618" s="1"/>
      <c r="AW618" s="1"/>
      <c r="AX618" s="1" t="s">
        <v>11519</v>
      </c>
      <c r="AY618" s="1" t="s">
        <v>11520</v>
      </c>
      <c r="AZ618" s="1" t="s">
        <v>134</v>
      </c>
      <c r="BA618" s="1" t="s">
        <v>436</v>
      </c>
      <c r="BB618" s="1">
        <v>62</v>
      </c>
      <c r="BC618" s="1">
        <v>6.95</v>
      </c>
      <c r="BD618" s="1"/>
      <c r="BE618" s="1"/>
      <c r="BF618" s="1"/>
      <c r="BG618" s="1"/>
      <c r="BH618" s="1"/>
      <c r="BI618" s="1"/>
      <c r="BJ618" s="1" t="s">
        <v>11521</v>
      </c>
      <c r="BK618" s="1" t="s">
        <v>11522</v>
      </c>
      <c r="BL618" s="1" t="s">
        <v>11406</v>
      </c>
      <c r="BM618" s="1" t="s">
        <v>11523</v>
      </c>
      <c r="BN618" s="1">
        <v>34</v>
      </c>
      <c r="BO618" s="1"/>
      <c r="BP618" s="1" t="str">
        <f>HYPERLINK("https://nconnect.nicmar.ac.in/storage/profile/ProfilePhoto_P25700579_237859.jpg","Download")</f>
        <v>0</v>
      </c>
      <c r="BQ618" s="3"/>
      <c r="BR618" s="3"/>
    </row>
    <row r="619" spans="1:70">
      <c r="A619" s="1" t="s">
        <v>70</v>
      </c>
      <c r="B619" s="1" t="s">
        <v>1269</v>
      </c>
      <c r="C619" s="1" t="s">
        <v>11524</v>
      </c>
      <c r="D619" s="1" t="s">
        <v>11525</v>
      </c>
      <c r="E619" s="1" t="s">
        <v>11526</v>
      </c>
      <c r="F619" s="1" t="s">
        <v>11527</v>
      </c>
      <c r="G619" s="1" t="s">
        <v>11528</v>
      </c>
      <c r="H619" s="1" t="s">
        <v>11529</v>
      </c>
      <c r="I619" s="1" t="s">
        <v>11530</v>
      </c>
      <c r="J619" s="1">
        <v>7558618682</v>
      </c>
      <c r="K619" s="1" t="s">
        <v>79</v>
      </c>
      <c r="L619" s="1" t="s">
        <v>11531</v>
      </c>
      <c r="M619" s="1" t="s">
        <v>81</v>
      </c>
      <c r="N619" s="1" t="s">
        <v>1986</v>
      </c>
      <c r="O619" s="1"/>
      <c r="P619" s="1" t="s">
        <v>1278</v>
      </c>
      <c r="Q619" s="1" t="s">
        <v>11532</v>
      </c>
      <c r="R619" s="1" t="s">
        <v>11527</v>
      </c>
      <c r="S619" s="1">
        <v>9271359295</v>
      </c>
      <c r="T619" s="1" t="s">
        <v>11533</v>
      </c>
      <c r="U619" s="1" t="s">
        <v>11534</v>
      </c>
      <c r="V619" s="1">
        <v>8830255877</v>
      </c>
      <c r="W619" s="1" t="s">
        <v>122</v>
      </c>
      <c r="X619" s="1" t="s">
        <v>11535</v>
      </c>
      <c r="Y619" s="1" t="s">
        <v>6375</v>
      </c>
      <c r="Z619" s="1" t="s">
        <v>92</v>
      </c>
      <c r="AA619" s="1" t="s">
        <v>11535</v>
      </c>
      <c r="AB619" s="1" t="s">
        <v>6375</v>
      </c>
      <c r="AC619" s="1" t="s">
        <v>92</v>
      </c>
      <c r="AD619" s="1">
        <v>8.13</v>
      </c>
      <c r="AE619" s="1" t="s">
        <v>93</v>
      </c>
      <c r="AF619" s="1" t="s">
        <v>11536</v>
      </c>
      <c r="AG619" s="1" t="s">
        <v>11537</v>
      </c>
      <c r="AH619" s="1" t="s">
        <v>281</v>
      </c>
      <c r="AI619" s="1" t="s">
        <v>409</v>
      </c>
      <c r="AJ619" s="1">
        <v>71.4</v>
      </c>
      <c r="AK619" s="1"/>
      <c r="AL619" s="1" t="s">
        <v>5736</v>
      </c>
      <c r="AM619" s="1" t="s">
        <v>9483</v>
      </c>
      <c r="AN619" s="1" t="s">
        <v>409</v>
      </c>
      <c r="AO619" s="1" t="s">
        <v>504</v>
      </c>
      <c r="AP619" s="1">
        <v>85.33</v>
      </c>
      <c r="AQ619" s="1"/>
      <c r="AR619" s="1"/>
      <c r="AS619" s="1"/>
      <c r="AT619" s="1"/>
      <c r="AU619" s="1"/>
      <c r="AV619" s="1"/>
      <c r="AW619" s="1"/>
      <c r="AX619" s="1" t="s">
        <v>102</v>
      </c>
      <c r="AY619" s="1" t="s">
        <v>11538</v>
      </c>
      <c r="AZ619" s="1" t="s">
        <v>1051</v>
      </c>
      <c r="BA619" s="1" t="s">
        <v>1584</v>
      </c>
      <c r="BB619" s="1">
        <v>62.7</v>
      </c>
      <c r="BC619" s="1">
        <v>6.77</v>
      </c>
      <c r="BD619" s="1"/>
      <c r="BE619" s="1"/>
      <c r="BF619" s="1"/>
      <c r="BG619" s="1"/>
      <c r="BH619" s="1"/>
      <c r="BI619" s="1"/>
      <c r="BJ619" s="1" t="s">
        <v>11539</v>
      </c>
      <c r="BK619" s="1"/>
      <c r="BL619" s="1"/>
      <c r="BM619" s="1" t="s">
        <v>11540</v>
      </c>
      <c r="BN619" s="1">
        <v>21</v>
      </c>
      <c r="BO619" s="1" t="s">
        <v>11541</v>
      </c>
      <c r="BP619" s="1" t="str">
        <f>HYPERLINK("https://nconnect.nicmar.ac.in/storage/profile/ProfilePhoto_P25700580_295186.jpg","Download")</f>
        <v>0</v>
      </c>
      <c r="BQ619" s="3"/>
      <c r="BR619" s="3"/>
    </row>
    <row r="620" spans="1:70">
      <c r="A620" s="1" t="s">
        <v>70</v>
      </c>
      <c r="B620" s="1" t="s">
        <v>1269</v>
      </c>
      <c r="C620" s="1" t="s">
        <v>11542</v>
      </c>
      <c r="D620" s="1" t="s">
        <v>11543</v>
      </c>
      <c r="E620" s="1" t="s">
        <v>11544</v>
      </c>
      <c r="F620" s="1" t="s">
        <v>11545</v>
      </c>
      <c r="G620" s="1" t="s">
        <v>11546</v>
      </c>
      <c r="H620" s="1" t="s">
        <v>11547</v>
      </c>
      <c r="I620" s="1" t="s">
        <v>11548</v>
      </c>
      <c r="J620" s="1">
        <v>8999391739</v>
      </c>
      <c r="K620" s="1" t="s">
        <v>148</v>
      </c>
      <c r="L620" s="1" t="s">
        <v>11549</v>
      </c>
      <c r="M620" s="1" t="s">
        <v>81</v>
      </c>
      <c r="N620" s="1" t="s">
        <v>11550</v>
      </c>
      <c r="O620" s="1"/>
      <c r="P620" s="1" t="s">
        <v>1298</v>
      </c>
      <c r="Q620" s="1" t="s">
        <v>11551</v>
      </c>
      <c r="R620" s="1" t="s">
        <v>11552</v>
      </c>
      <c r="S620" s="1">
        <v>8484086900</v>
      </c>
      <c r="T620" s="1" t="s">
        <v>496</v>
      </c>
      <c r="U620" s="1" t="s">
        <v>11553</v>
      </c>
      <c r="V620" s="1">
        <v>9096360330</v>
      </c>
      <c r="W620" s="1" t="s">
        <v>156</v>
      </c>
      <c r="X620" s="1" t="s">
        <v>11554</v>
      </c>
      <c r="Y620" s="1" t="s">
        <v>1886</v>
      </c>
      <c r="Z620" s="1" t="s">
        <v>92</v>
      </c>
      <c r="AA620" s="1" t="s">
        <v>11554</v>
      </c>
      <c r="AB620" s="1" t="s">
        <v>1886</v>
      </c>
      <c r="AC620" s="1" t="s">
        <v>92</v>
      </c>
      <c r="AD620" s="1">
        <v>8.23</v>
      </c>
      <c r="AE620" s="1" t="s">
        <v>93</v>
      </c>
      <c r="AF620" s="1" t="s">
        <v>11555</v>
      </c>
      <c r="AG620" s="1" t="s">
        <v>3476</v>
      </c>
      <c r="AH620" s="1" t="s">
        <v>281</v>
      </c>
      <c r="AI620" s="1" t="s">
        <v>409</v>
      </c>
      <c r="AJ620" s="1">
        <v>86.4</v>
      </c>
      <c r="AK620" s="1"/>
      <c r="AL620" s="1"/>
      <c r="AM620" s="1"/>
      <c r="AN620" s="1"/>
      <c r="AO620" s="1"/>
      <c r="AP620" s="1"/>
      <c r="AQ620" s="1"/>
      <c r="AR620" s="1" t="s">
        <v>98</v>
      </c>
      <c r="AS620" s="1" t="s">
        <v>11556</v>
      </c>
      <c r="AT620" s="1" t="s">
        <v>201</v>
      </c>
      <c r="AU620" s="1" t="s">
        <v>481</v>
      </c>
      <c r="AV620" s="1">
        <v>81.42</v>
      </c>
      <c r="AW620" s="1"/>
      <c r="AX620" s="1" t="s">
        <v>11557</v>
      </c>
      <c r="AY620" s="1" t="s">
        <v>11558</v>
      </c>
      <c r="AZ620" s="1" t="s">
        <v>105</v>
      </c>
      <c r="BA620" s="1" t="s">
        <v>1584</v>
      </c>
      <c r="BB620" s="1">
        <v>62.9</v>
      </c>
      <c r="BC620" s="1">
        <v>6.79</v>
      </c>
      <c r="BD620" s="1"/>
      <c r="BE620" s="1"/>
      <c r="BF620" s="1"/>
      <c r="BG620" s="1"/>
      <c r="BH620" s="1"/>
      <c r="BI620" s="1"/>
      <c r="BJ620" s="1" t="s">
        <v>11559</v>
      </c>
      <c r="BK620" s="1"/>
      <c r="BL620" s="1"/>
      <c r="BM620" s="1" t="s">
        <v>11560</v>
      </c>
      <c r="BN620" s="1">
        <v>8</v>
      </c>
      <c r="BO620" s="1" t="s">
        <v>11561</v>
      </c>
      <c r="BP620" s="1" t="str">
        <f>HYPERLINK("https://nconnect.nicmar.ac.in/storage/profile/ProfilePhoto_P25700581_985367.jpg","Download")</f>
        <v>0</v>
      </c>
      <c r="BQ620" s="3"/>
      <c r="BR620" s="3"/>
    </row>
    <row r="621" spans="1:70">
      <c r="A621" s="1" t="s">
        <v>70</v>
      </c>
      <c r="B621" s="1" t="s">
        <v>1269</v>
      </c>
      <c r="C621" s="1" t="s">
        <v>11562</v>
      </c>
      <c r="D621" s="1" t="s">
        <v>6923</v>
      </c>
      <c r="E621" s="1" t="s">
        <v>11563</v>
      </c>
      <c r="F621" s="1" t="s">
        <v>11564</v>
      </c>
      <c r="G621" s="1" t="s">
        <v>11565</v>
      </c>
      <c r="H621" s="1" t="s">
        <v>11566</v>
      </c>
      <c r="I621" s="1" t="s">
        <v>11567</v>
      </c>
      <c r="J621" s="1">
        <v>8849148767</v>
      </c>
      <c r="K621" s="1" t="s">
        <v>79</v>
      </c>
      <c r="L621" s="1" t="s">
        <v>5710</v>
      </c>
      <c r="M621" s="1" t="s">
        <v>81</v>
      </c>
      <c r="N621" s="1" t="s">
        <v>5969</v>
      </c>
      <c r="O621" s="1"/>
      <c r="P621" s="1" t="s">
        <v>1298</v>
      </c>
      <c r="Q621" s="1" t="s">
        <v>11568</v>
      </c>
      <c r="R621" s="1" t="s">
        <v>11563</v>
      </c>
      <c r="S621" s="1">
        <v>9428489738</v>
      </c>
      <c r="T621" s="1" t="s">
        <v>7415</v>
      </c>
      <c r="U621" s="1" t="s">
        <v>11569</v>
      </c>
      <c r="V621" s="1">
        <v>7383888802</v>
      </c>
      <c r="W621" s="1" t="s">
        <v>156</v>
      </c>
      <c r="X621" s="1" t="s">
        <v>11570</v>
      </c>
      <c r="Y621" s="1" t="s">
        <v>1018</v>
      </c>
      <c r="Z621" s="1" t="s">
        <v>92</v>
      </c>
      <c r="AA621" s="1" t="s">
        <v>11570</v>
      </c>
      <c r="AB621" s="1" t="s">
        <v>1018</v>
      </c>
      <c r="AC621" s="1" t="s">
        <v>92</v>
      </c>
      <c r="AD621" s="1">
        <v>8.44</v>
      </c>
      <c r="AE621" s="1" t="s">
        <v>93</v>
      </c>
      <c r="AF621" s="1" t="s">
        <v>11571</v>
      </c>
      <c r="AG621" s="1" t="s">
        <v>11572</v>
      </c>
      <c r="AH621" s="1" t="s">
        <v>456</v>
      </c>
      <c r="AI621" s="1" t="s">
        <v>195</v>
      </c>
      <c r="AJ621" s="1">
        <v>81.7</v>
      </c>
      <c r="AK621" s="1">
        <v>8.6</v>
      </c>
      <c r="AL621" s="1" t="s">
        <v>11573</v>
      </c>
      <c r="AM621" s="1" t="s">
        <v>11572</v>
      </c>
      <c r="AN621" s="1" t="s">
        <v>479</v>
      </c>
      <c r="AO621" s="1" t="s">
        <v>308</v>
      </c>
      <c r="AP621" s="1">
        <v>68.8</v>
      </c>
      <c r="AQ621" s="1"/>
      <c r="AR621" s="1"/>
      <c r="AS621" s="1"/>
      <c r="AT621" s="1"/>
      <c r="AU621" s="1"/>
      <c r="AV621" s="1"/>
      <c r="AW621" s="1"/>
      <c r="AX621" s="1" t="s">
        <v>5304</v>
      </c>
      <c r="AY621" s="1" t="s">
        <v>11574</v>
      </c>
      <c r="AZ621" s="1" t="s">
        <v>201</v>
      </c>
      <c r="BA621" s="1" t="s">
        <v>174</v>
      </c>
      <c r="BB621" s="1">
        <v>85.14</v>
      </c>
      <c r="BC621" s="1">
        <v>9.69</v>
      </c>
      <c r="BD621" s="1"/>
      <c r="BE621" s="1"/>
      <c r="BF621" s="1"/>
      <c r="BG621" s="1"/>
      <c r="BH621" s="1"/>
      <c r="BI621" s="1"/>
      <c r="BJ621" s="1" t="s">
        <v>364</v>
      </c>
      <c r="BK621" s="1" t="s">
        <v>11575</v>
      </c>
      <c r="BL621" s="1" t="s">
        <v>639</v>
      </c>
      <c r="BM621" s="1" t="s">
        <v>11576</v>
      </c>
      <c r="BN621" s="1">
        <v>4</v>
      </c>
      <c r="BO621" s="1"/>
      <c r="BP621" s="1" t="str">
        <f>HYPERLINK("https://nconnect.nicmar.ac.in/storage/profile/ProfilePhoto_P25700582_791845.jpg","Download")</f>
        <v>0</v>
      </c>
      <c r="BQ621" s="3"/>
      <c r="BR621" s="3"/>
    </row>
    <row r="622" spans="1:70">
      <c r="A622" s="1" t="s">
        <v>70</v>
      </c>
      <c r="B622" s="1" t="s">
        <v>1269</v>
      </c>
      <c r="C622" s="1" t="s">
        <v>11577</v>
      </c>
      <c r="D622" s="1" t="s">
        <v>367</v>
      </c>
      <c r="E622" s="1" t="s">
        <v>5964</v>
      </c>
      <c r="F622" s="1" t="s">
        <v>11578</v>
      </c>
      <c r="G622" s="1" t="s">
        <v>11579</v>
      </c>
      <c r="H622" s="1" t="s">
        <v>11580</v>
      </c>
      <c r="I622" s="1" t="s">
        <v>11581</v>
      </c>
      <c r="J622" s="1">
        <v>9130974324</v>
      </c>
      <c r="K622" s="1" t="s">
        <v>79</v>
      </c>
      <c r="L622" s="1" t="s">
        <v>6370</v>
      </c>
      <c r="M622" s="1" t="s">
        <v>81</v>
      </c>
      <c r="N622" s="1" t="s">
        <v>1765</v>
      </c>
      <c r="O622" s="1"/>
      <c r="P622" s="1" t="s">
        <v>1278</v>
      </c>
      <c r="Q622" s="1" t="s">
        <v>11582</v>
      </c>
      <c r="R622" s="1" t="s">
        <v>5964</v>
      </c>
      <c r="S622" s="1">
        <v>9011512929</v>
      </c>
      <c r="T622" s="1" t="s">
        <v>496</v>
      </c>
      <c r="U622" s="1" t="s">
        <v>11583</v>
      </c>
      <c r="V622" s="1">
        <v>7776907979</v>
      </c>
      <c r="W622" s="1" t="s">
        <v>496</v>
      </c>
      <c r="X622" s="1" t="s">
        <v>11584</v>
      </c>
      <c r="Y622" s="1" t="s">
        <v>4322</v>
      </c>
      <c r="Z622" s="1" t="s">
        <v>92</v>
      </c>
      <c r="AA622" s="1" t="s">
        <v>11584</v>
      </c>
      <c r="AB622" s="1" t="s">
        <v>4322</v>
      </c>
      <c r="AC622" s="1" t="s">
        <v>92</v>
      </c>
      <c r="AD622" s="1" t="s">
        <v>93</v>
      </c>
      <c r="AE622" s="1" t="s">
        <v>93</v>
      </c>
      <c r="AF622" s="1" t="s">
        <v>11585</v>
      </c>
      <c r="AG622" s="1" t="s">
        <v>11586</v>
      </c>
      <c r="AH622" s="1" t="s">
        <v>165</v>
      </c>
      <c r="AI622" s="1" t="s">
        <v>281</v>
      </c>
      <c r="AJ622" s="1">
        <v>85</v>
      </c>
      <c r="AK622" s="1"/>
      <c r="AL622" s="1" t="s">
        <v>11587</v>
      </c>
      <c r="AM622" s="1" t="s">
        <v>11586</v>
      </c>
      <c r="AN622" s="1" t="s">
        <v>433</v>
      </c>
      <c r="AO622" s="1" t="s">
        <v>360</v>
      </c>
      <c r="AP622" s="1">
        <v>69.23</v>
      </c>
      <c r="AQ622" s="1"/>
      <c r="AR622" s="1"/>
      <c r="AS622" s="1"/>
      <c r="AT622" s="1"/>
      <c r="AU622" s="1"/>
      <c r="AV622" s="1"/>
      <c r="AW622" s="1"/>
      <c r="AX622" s="1" t="s">
        <v>361</v>
      </c>
      <c r="AY622" s="1" t="s">
        <v>11588</v>
      </c>
      <c r="AZ622" s="1" t="s">
        <v>363</v>
      </c>
      <c r="BA622" s="1" t="s">
        <v>8398</v>
      </c>
      <c r="BB622" s="1">
        <v>65.9</v>
      </c>
      <c r="BC622" s="1">
        <v>7.34</v>
      </c>
      <c r="BD622" s="1"/>
      <c r="BE622" s="1"/>
      <c r="BF622" s="1"/>
      <c r="BG622" s="1"/>
      <c r="BH622" s="1"/>
      <c r="BI622" s="1"/>
      <c r="BJ622" s="1" t="s">
        <v>11589</v>
      </c>
      <c r="BK622" s="1"/>
      <c r="BL622" s="1"/>
      <c r="BM622" s="1" t="s">
        <v>11590</v>
      </c>
      <c r="BN622" s="1">
        <v>51</v>
      </c>
      <c r="BO622" s="1"/>
      <c r="BP622" s="1" t="str">
        <f>HYPERLINK("https://nconnect.nicmar.ac.in/storage/profile/ProfilePhoto_P25700583_527169.jpg","Download")</f>
        <v>0</v>
      </c>
      <c r="BQ622" s="3"/>
      <c r="BR622" s="3"/>
    </row>
    <row r="623" spans="1:70">
      <c r="A623" s="1" t="s">
        <v>70</v>
      </c>
      <c r="B623" s="1" t="s">
        <v>1269</v>
      </c>
      <c r="C623" s="1" t="s">
        <v>11591</v>
      </c>
      <c r="D623" s="1" t="s">
        <v>1206</v>
      </c>
      <c r="E623" s="1" t="s">
        <v>2763</v>
      </c>
      <c r="F623" s="1" t="s">
        <v>11592</v>
      </c>
      <c r="G623" s="1" t="s">
        <v>11593</v>
      </c>
      <c r="H623" s="1" t="s">
        <v>11594</v>
      </c>
      <c r="I623" s="1" t="s">
        <v>11595</v>
      </c>
      <c r="J623" s="1">
        <v>6360851156</v>
      </c>
      <c r="K623" s="1" t="s">
        <v>79</v>
      </c>
      <c r="L623" s="1" t="s">
        <v>11596</v>
      </c>
      <c r="M623" s="1" t="s">
        <v>81</v>
      </c>
      <c r="N623" s="1" t="s">
        <v>11597</v>
      </c>
      <c r="O623" s="1"/>
      <c r="P623" s="1" t="s">
        <v>1323</v>
      </c>
      <c r="Q623" s="1" t="s">
        <v>11598</v>
      </c>
      <c r="R623" s="1" t="s">
        <v>11599</v>
      </c>
      <c r="S623" s="1">
        <v>9964110480</v>
      </c>
      <c r="T623" s="1" t="s">
        <v>11600</v>
      </c>
      <c r="U623" s="1" t="s">
        <v>11601</v>
      </c>
      <c r="V623" s="1">
        <v>9449551923</v>
      </c>
      <c r="W623" s="1" t="s">
        <v>156</v>
      </c>
      <c r="X623" s="1" t="s">
        <v>11602</v>
      </c>
      <c r="Y623" s="1" t="s">
        <v>5176</v>
      </c>
      <c r="Z623" s="1" t="s">
        <v>1084</v>
      </c>
      <c r="AA623" s="1" t="s">
        <v>11602</v>
      </c>
      <c r="AB623" s="1" t="s">
        <v>5176</v>
      </c>
      <c r="AC623" s="1" t="s">
        <v>1084</v>
      </c>
      <c r="AD623" s="1">
        <v>7.98</v>
      </c>
      <c r="AE623" s="1" t="s">
        <v>93</v>
      </c>
      <c r="AF623" s="1" t="s">
        <v>11603</v>
      </c>
      <c r="AG623" s="1" t="s">
        <v>11604</v>
      </c>
      <c r="AH623" s="1" t="s">
        <v>527</v>
      </c>
      <c r="AI623" s="1" t="s">
        <v>678</v>
      </c>
      <c r="AJ623" s="1">
        <v>64</v>
      </c>
      <c r="AK623" s="1"/>
      <c r="AL623" s="1"/>
      <c r="AM623" s="1"/>
      <c r="AN623" s="1"/>
      <c r="AO623" s="1"/>
      <c r="AP623" s="1"/>
      <c r="AQ623" s="1"/>
      <c r="AR623" s="1" t="s">
        <v>98</v>
      </c>
      <c r="AS623" s="1" t="s">
        <v>11605</v>
      </c>
      <c r="AT623" s="1" t="s">
        <v>6255</v>
      </c>
      <c r="AU623" s="1" t="s">
        <v>2461</v>
      </c>
      <c r="AV623" s="1">
        <v>68.7</v>
      </c>
      <c r="AW623" s="1"/>
      <c r="AX623" s="1" t="s">
        <v>1088</v>
      </c>
      <c r="AY623" s="1" t="s">
        <v>11606</v>
      </c>
      <c r="AZ623" s="1" t="s">
        <v>170</v>
      </c>
      <c r="BA623" s="1" t="s">
        <v>8398</v>
      </c>
      <c r="BB623" s="1">
        <v>70.3</v>
      </c>
      <c r="BC623" s="1">
        <v>7.78</v>
      </c>
      <c r="BD623" s="1"/>
      <c r="BE623" s="1"/>
      <c r="BF623" s="1"/>
      <c r="BG623" s="1"/>
      <c r="BH623" s="1"/>
      <c r="BI623" s="1"/>
      <c r="BJ623" s="1" t="s">
        <v>11607</v>
      </c>
      <c r="BK623" s="1"/>
      <c r="BL623" s="1"/>
      <c r="BM623" s="1" t="s">
        <v>11608</v>
      </c>
      <c r="BN623" s="1">
        <v>24</v>
      </c>
      <c r="BO623" s="1" t="s">
        <v>11609</v>
      </c>
      <c r="BP623" s="1" t="str">
        <f>HYPERLINK("https://nconnect.nicmar.ac.in/storage/profile/ProfilePhoto_P25700585_357829.jpg","Download")</f>
        <v>0</v>
      </c>
      <c r="BQ623" s="3"/>
      <c r="BR623" s="3"/>
    </row>
    <row r="624" spans="1:70">
      <c r="A624" s="1" t="s">
        <v>70</v>
      </c>
      <c r="B624" s="1" t="s">
        <v>1269</v>
      </c>
      <c r="C624" s="1" t="s">
        <v>11610</v>
      </c>
      <c r="D624" s="1" t="s">
        <v>11611</v>
      </c>
      <c r="E624" s="1" t="s">
        <v>3244</v>
      </c>
      <c r="F624" s="1" t="s">
        <v>11612</v>
      </c>
      <c r="G624" s="1" t="s">
        <v>11613</v>
      </c>
      <c r="H624" s="1" t="s">
        <v>11614</v>
      </c>
      <c r="I624" s="1" t="s">
        <v>11615</v>
      </c>
      <c r="J624" s="1">
        <v>8767204123</v>
      </c>
      <c r="K624" s="1" t="s">
        <v>148</v>
      </c>
      <c r="L624" s="1" t="s">
        <v>9821</v>
      </c>
      <c r="M624" s="1" t="s">
        <v>81</v>
      </c>
      <c r="N624" s="1" t="s">
        <v>1765</v>
      </c>
      <c r="O624" s="1"/>
      <c r="P624" s="1" t="s">
        <v>1278</v>
      </c>
      <c r="Q624" s="1" t="s">
        <v>11616</v>
      </c>
      <c r="R624" s="1" t="s">
        <v>11617</v>
      </c>
      <c r="S624" s="1">
        <v>9167759199</v>
      </c>
      <c r="T624" s="1" t="s">
        <v>120</v>
      </c>
      <c r="U624" s="1" t="s">
        <v>11618</v>
      </c>
      <c r="V624" s="1">
        <v>9167759198</v>
      </c>
      <c r="W624" s="1" t="s">
        <v>89</v>
      </c>
      <c r="X624" s="1" t="s">
        <v>11619</v>
      </c>
      <c r="Y624" s="1" t="s">
        <v>191</v>
      </c>
      <c r="Z624" s="1" t="s">
        <v>92</v>
      </c>
      <c r="AA624" s="1" t="s">
        <v>11620</v>
      </c>
      <c r="AB624" s="1" t="s">
        <v>1623</v>
      </c>
      <c r="AC624" s="1" t="s">
        <v>92</v>
      </c>
      <c r="AD624" s="1">
        <v>8.08</v>
      </c>
      <c r="AE624" s="1" t="s">
        <v>93</v>
      </c>
      <c r="AF624" s="1" t="s">
        <v>11621</v>
      </c>
      <c r="AG624" s="1" t="s">
        <v>8031</v>
      </c>
      <c r="AH624" s="1" t="s">
        <v>162</v>
      </c>
      <c r="AI624" s="1" t="s">
        <v>195</v>
      </c>
      <c r="AJ624" s="1">
        <v>95</v>
      </c>
      <c r="AK624" s="1"/>
      <c r="AL624" s="1" t="s">
        <v>11622</v>
      </c>
      <c r="AM624" s="1" t="s">
        <v>8031</v>
      </c>
      <c r="AN624" s="1" t="s">
        <v>165</v>
      </c>
      <c r="AO624" s="1" t="s">
        <v>198</v>
      </c>
      <c r="AP624" s="1">
        <v>73.23</v>
      </c>
      <c r="AQ624" s="1"/>
      <c r="AR624" s="1"/>
      <c r="AS624" s="1"/>
      <c r="AT624" s="1"/>
      <c r="AU624" s="1"/>
      <c r="AV624" s="1"/>
      <c r="AW624" s="1"/>
      <c r="AX624" s="1" t="s">
        <v>253</v>
      </c>
      <c r="AY624" s="1" t="s">
        <v>11623</v>
      </c>
      <c r="AZ624" s="1" t="s">
        <v>310</v>
      </c>
      <c r="BA624" s="1" t="s">
        <v>413</v>
      </c>
      <c r="BB624" s="1">
        <v>74.01</v>
      </c>
      <c r="BC624" s="1">
        <v>8.38</v>
      </c>
      <c r="BD624" s="1"/>
      <c r="BE624" s="1"/>
      <c r="BF624" s="1"/>
      <c r="BG624" s="1"/>
      <c r="BH624" s="1"/>
      <c r="BI624" s="1"/>
      <c r="BJ624" s="1" t="s">
        <v>11624</v>
      </c>
      <c r="BK624" s="1"/>
      <c r="BL624" s="1"/>
      <c r="BM624" s="1" t="s">
        <v>11625</v>
      </c>
      <c r="BN624" s="1">
        <v>15</v>
      </c>
      <c r="BO624" s="1" t="s">
        <v>11626</v>
      </c>
      <c r="BP624" s="1" t="str">
        <f>HYPERLINK("https://nconnect.nicmar.ac.in/storage/profile/ProfilePhoto_P25700586_826451.jpg","Download")</f>
        <v>0</v>
      </c>
      <c r="BQ624" s="3"/>
      <c r="BR624" s="3"/>
    </row>
    <row r="625" spans="1:70">
      <c r="A625" s="1" t="s">
        <v>70</v>
      </c>
      <c r="B625" s="1" t="s">
        <v>1269</v>
      </c>
      <c r="C625" s="1" t="s">
        <v>11627</v>
      </c>
      <c r="D625" s="1" t="s">
        <v>11628</v>
      </c>
      <c r="E625" s="1" t="s">
        <v>11629</v>
      </c>
      <c r="F625" s="1" t="s">
        <v>3901</v>
      </c>
      <c r="G625" s="1" t="s">
        <v>11630</v>
      </c>
      <c r="H625" s="1" t="s">
        <v>11631</v>
      </c>
      <c r="I625" s="1" t="s">
        <v>11632</v>
      </c>
      <c r="J625" s="1">
        <v>8788278658</v>
      </c>
      <c r="K625" s="1" t="s">
        <v>79</v>
      </c>
      <c r="L625" s="1" t="s">
        <v>11633</v>
      </c>
      <c r="M625" s="1" t="s">
        <v>81</v>
      </c>
      <c r="N625" s="1" t="s">
        <v>1929</v>
      </c>
      <c r="O625" s="1"/>
      <c r="P625" s="1" t="s">
        <v>1323</v>
      </c>
      <c r="Q625" s="1" t="s">
        <v>11634</v>
      </c>
      <c r="R625" s="1" t="s">
        <v>11635</v>
      </c>
      <c r="S625" s="1">
        <v>9822923991</v>
      </c>
      <c r="T625" s="1" t="s">
        <v>154</v>
      </c>
      <c r="U625" s="1" t="s">
        <v>11636</v>
      </c>
      <c r="V625" s="1">
        <v>9404509307</v>
      </c>
      <c r="W625" s="1" t="s">
        <v>156</v>
      </c>
      <c r="X625" s="1" t="s">
        <v>11637</v>
      </c>
      <c r="Y625" s="1" t="s">
        <v>328</v>
      </c>
      <c r="Z625" s="1" t="s">
        <v>92</v>
      </c>
      <c r="AA625" s="1" t="s">
        <v>11637</v>
      </c>
      <c r="AB625" s="1" t="s">
        <v>328</v>
      </c>
      <c r="AC625" s="1" t="s">
        <v>92</v>
      </c>
      <c r="AD625" s="1">
        <v>8.01</v>
      </c>
      <c r="AE625" s="1" t="s">
        <v>93</v>
      </c>
      <c r="AF625" s="1" t="s">
        <v>11638</v>
      </c>
      <c r="AG625" s="1" t="s">
        <v>160</v>
      </c>
      <c r="AH625" s="1" t="s">
        <v>165</v>
      </c>
      <c r="AI625" s="1" t="s">
        <v>281</v>
      </c>
      <c r="AJ625" s="1">
        <v>75.8</v>
      </c>
      <c r="AK625" s="1"/>
      <c r="AL625" s="1" t="s">
        <v>11639</v>
      </c>
      <c r="AM625" s="1" t="s">
        <v>160</v>
      </c>
      <c r="AN625" s="1" t="s">
        <v>198</v>
      </c>
      <c r="AO625" s="1" t="s">
        <v>360</v>
      </c>
      <c r="AP625" s="1">
        <v>73.85</v>
      </c>
      <c r="AQ625" s="1"/>
      <c r="AR625" s="1"/>
      <c r="AS625" s="1"/>
      <c r="AT625" s="1"/>
      <c r="AU625" s="1"/>
      <c r="AV625" s="1"/>
      <c r="AW625" s="1"/>
      <c r="AX625" s="1" t="s">
        <v>11640</v>
      </c>
      <c r="AY625" s="1" t="s">
        <v>11641</v>
      </c>
      <c r="AZ625" s="1" t="s">
        <v>699</v>
      </c>
      <c r="BA625" s="1" t="s">
        <v>202</v>
      </c>
      <c r="BB625" s="1">
        <v>68.9</v>
      </c>
      <c r="BC625" s="1">
        <v>7.64</v>
      </c>
      <c r="BD625" s="1"/>
      <c r="BE625" s="1"/>
      <c r="BF625" s="1"/>
      <c r="BG625" s="1"/>
      <c r="BH625" s="1"/>
      <c r="BI625" s="1"/>
      <c r="BJ625" s="1" t="s">
        <v>11642</v>
      </c>
      <c r="BK625" s="1"/>
      <c r="BL625" s="1"/>
      <c r="BM625" s="1" t="s">
        <v>11643</v>
      </c>
      <c r="BN625" s="1">
        <v>33</v>
      </c>
      <c r="BO625" s="1"/>
      <c r="BP625" s="1" t="str">
        <f>HYPERLINK("https://nconnect.nicmar.ac.in/storage/profile/ProfilePhoto_P25700587_216584.jpg","Download")</f>
        <v>0</v>
      </c>
      <c r="BQ625" s="3"/>
      <c r="BR625" s="3"/>
    </row>
    <row r="626" spans="1:70">
      <c r="A626" s="1" t="s">
        <v>70</v>
      </c>
      <c r="B626" s="1" t="s">
        <v>1269</v>
      </c>
      <c r="C626" s="1" t="s">
        <v>11644</v>
      </c>
      <c r="D626" s="1" t="s">
        <v>11645</v>
      </c>
      <c r="E626" s="1"/>
      <c r="F626" s="1" t="s">
        <v>11646</v>
      </c>
      <c r="G626" s="1" t="s">
        <v>11647</v>
      </c>
      <c r="H626" s="1" t="s">
        <v>11648</v>
      </c>
      <c r="I626" s="1" t="s">
        <v>11649</v>
      </c>
      <c r="J626" s="1">
        <v>9686028662</v>
      </c>
      <c r="K626" s="1" t="s">
        <v>148</v>
      </c>
      <c r="L626" s="1" t="s">
        <v>11650</v>
      </c>
      <c r="M626" s="1" t="s">
        <v>81</v>
      </c>
      <c r="N626" s="1" t="s">
        <v>4946</v>
      </c>
      <c r="O626" s="1"/>
      <c r="P626" s="1" t="s">
        <v>1298</v>
      </c>
      <c r="Q626" s="1" t="s">
        <v>11651</v>
      </c>
      <c r="R626" s="1" t="s">
        <v>11652</v>
      </c>
      <c r="S626" s="1">
        <v>9844658446</v>
      </c>
      <c r="T626" s="1" t="s">
        <v>520</v>
      </c>
      <c r="U626" s="1" t="s">
        <v>11653</v>
      </c>
      <c r="V626" s="1">
        <v>9900314017</v>
      </c>
      <c r="W626" s="1" t="s">
        <v>89</v>
      </c>
      <c r="X626" s="1" t="s">
        <v>11654</v>
      </c>
      <c r="Y626" s="1" t="s">
        <v>1083</v>
      </c>
      <c r="Z626" s="1" t="s">
        <v>1084</v>
      </c>
      <c r="AA626" s="1" t="s">
        <v>11654</v>
      </c>
      <c r="AB626" s="1" t="s">
        <v>1083</v>
      </c>
      <c r="AC626" s="1" t="s">
        <v>1084</v>
      </c>
      <c r="AD626" s="1">
        <v>9.1</v>
      </c>
      <c r="AE626" s="1" t="s">
        <v>93</v>
      </c>
      <c r="AF626" s="1" t="s">
        <v>11655</v>
      </c>
      <c r="AG626" s="1" t="s">
        <v>307</v>
      </c>
      <c r="AH626" s="1" t="s">
        <v>162</v>
      </c>
      <c r="AI626" s="1" t="s">
        <v>165</v>
      </c>
      <c r="AJ626" s="1">
        <v>85.5</v>
      </c>
      <c r="AK626" s="1">
        <v>9</v>
      </c>
      <c r="AL626" s="1" t="s">
        <v>11656</v>
      </c>
      <c r="AM626" s="1" t="s">
        <v>11657</v>
      </c>
      <c r="AN626" s="1" t="s">
        <v>101</v>
      </c>
      <c r="AO626" s="1" t="s">
        <v>1065</v>
      </c>
      <c r="AP626" s="1">
        <v>79</v>
      </c>
      <c r="AQ626" s="1"/>
      <c r="AR626" s="1"/>
      <c r="AS626" s="1"/>
      <c r="AT626" s="1"/>
      <c r="AU626" s="1"/>
      <c r="AV626" s="1"/>
      <c r="AW626" s="1"/>
      <c r="AX626" s="1" t="s">
        <v>4953</v>
      </c>
      <c r="AY626" s="1" t="s">
        <v>11658</v>
      </c>
      <c r="AZ626" s="1" t="s">
        <v>201</v>
      </c>
      <c r="BA626" s="1" t="s">
        <v>1938</v>
      </c>
      <c r="BB626" s="1">
        <v>68.8</v>
      </c>
      <c r="BC626" s="1">
        <v>7.63</v>
      </c>
      <c r="BD626" s="1"/>
      <c r="BE626" s="1"/>
      <c r="BF626" s="1"/>
      <c r="BG626" s="1"/>
      <c r="BH626" s="1"/>
      <c r="BI626" s="1"/>
      <c r="BJ626" s="1" t="s">
        <v>11659</v>
      </c>
      <c r="BK626" s="1" t="s">
        <v>11660</v>
      </c>
      <c r="BL626" s="1" t="s">
        <v>619</v>
      </c>
      <c r="BM626" s="1" t="s">
        <v>11661</v>
      </c>
      <c r="BN626" s="1">
        <v>15</v>
      </c>
      <c r="BO626" s="1" t="s">
        <v>11662</v>
      </c>
      <c r="BP626" s="1" t="str">
        <f>HYPERLINK("https://nconnect.nicmar.ac.in/storage/profile/ProfilePhoto_P25700588_849236.jpg","Download")</f>
        <v>0</v>
      </c>
      <c r="BQ626" s="3"/>
      <c r="BR626" s="3"/>
    </row>
    <row r="627" spans="1:70">
      <c r="A627" s="1" t="s">
        <v>70</v>
      </c>
      <c r="B627" s="1" t="s">
        <v>1269</v>
      </c>
      <c r="C627" s="1" t="s">
        <v>11663</v>
      </c>
      <c r="D627" s="1" t="s">
        <v>643</v>
      </c>
      <c r="E627" s="1"/>
      <c r="F627" s="1" t="s">
        <v>11664</v>
      </c>
      <c r="G627" s="1" t="s">
        <v>11665</v>
      </c>
      <c r="H627" s="1" t="s">
        <v>11666</v>
      </c>
      <c r="I627" s="1" t="s">
        <v>11667</v>
      </c>
      <c r="J627" s="1">
        <v>8890169699</v>
      </c>
      <c r="K627" s="1" t="s">
        <v>79</v>
      </c>
      <c r="L627" s="1" t="s">
        <v>11668</v>
      </c>
      <c r="M627" s="1" t="s">
        <v>81</v>
      </c>
      <c r="N627" s="1" t="s">
        <v>2876</v>
      </c>
      <c r="O627" s="1"/>
      <c r="P627" s="1" t="s">
        <v>1323</v>
      </c>
      <c r="Q627" s="1" t="s">
        <v>11669</v>
      </c>
      <c r="R627" s="1" t="s">
        <v>11670</v>
      </c>
      <c r="S627" s="1">
        <v>8619349481</v>
      </c>
      <c r="T627" s="1" t="s">
        <v>120</v>
      </c>
      <c r="U627" s="1" t="s">
        <v>11671</v>
      </c>
      <c r="V627" s="1">
        <v>9413764080</v>
      </c>
      <c r="W627" s="1" t="s">
        <v>89</v>
      </c>
      <c r="X627" s="1" t="s">
        <v>11672</v>
      </c>
      <c r="Y627" s="1" t="s">
        <v>866</v>
      </c>
      <c r="Z627" s="1" t="s">
        <v>867</v>
      </c>
      <c r="AA627" s="1" t="s">
        <v>11672</v>
      </c>
      <c r="AB627" s="1" t="s">
        <v>866</v>
      </c>
      <c r="AC627" s="1" t="s">
        <v>867</v>
      </c>
      <c r="AD627" s="1">
        <v>8.24</v>
      </c>
      <c r="AE627" s="1" t="s">
        <v>93</v>
      </c>
      <c r="AF627" s="1" t="s">
        <v>11673</v>
      </c>
      <c r="AG627" s="1" t="s">
        <v>11674</v>
      </c>
      <c r="AH627" s="1" t="s">
        <v>131</v>
      </c>
      <c r="AI627" s="1" t="s">
        <v>527</v>
      </c>
      <c r="AJ627" s="1">
        <v>89.3</v>
      </c>
      <c r="AK627" s="1">
        <v>9.4</v>
      </c>
      <c r="AL627" s="1" t="s">
        <v>11675</v>
      </c>
      <c r="AM627" s="1" t="s">
        <v>11676</v>
      </c>
      <c r="AN627" s="1" t="s">
        <v>479</v>
      </c>
      <c r="AO627" s="1" t="s">
        <v>166</v>
      </c>
      <c r="AP627" s="1">
        <v>68.8</v>
      </c>
      <c r="AQ627" s="1"/>
      <c r="AR627" s="1"/>
      <c r="AS627" s="1"/>
      <c r="AT627" s="1"/>
      <c r="AU627" s="1"/>
      <c r="AV627" s="1"/>
      <c r="AW627" s="1"/>
      <c r="AX627" s="1" t="s">
        <v>4550</v>
      </c>
      <c r="AY627" s="1" t="s">
        <v>11677</v>
      </c>
      <c r="AZ627" s="1" t="s">
        <v>169</v>
      </c>
      <c r="BA627" s="1" t="s">
        <v>481</v>
      </c>
      <c r="BB627" s="1">
        <v>84.6</v>
      </c>
      <c r="BC627" s="1">
        <v>8.46</v>
      </c>
      <c r="BD627" s="1"/>
      <c r="BE627" s="1"/>
      <c r="BF627" s="1"/>
      <c r="BG627" s="1"/>
      <c r="BH627" s="1"/>
      <c r="BI627" s="1"/>
      <c r="BJ627" s="1" t="s">
        <v>11678</v>
      </c>
      <c r="BK627" s="1" t="s">
        <v>11679</v>
      </c>
      <c r="BL627" s="1" t="s">
        <v>1919</v>
      </c>
      <c r="BM627" s="1" t="s">
        <v>11680</v>
      </c>
      <c r="BN627" s="1">
        <v>16</v>
      </c>
      <c r="BO627" s="1"/>
      <c r="BP627" s="1" t="str">
        <f>HYPERLINK("https://nconnect.nicmar.ac.in/storage/profile/ProfilePhoto_P25700589_315784.jpg","Download")</f>
        <v>0</v>
      </c>
      <c r="BQ627" s="3"/>
      <c r="BR627" s="3"/>
    </row>
    <row r="628" spans="1:70">
      <c r="A628" s="1" t="s">
        <v>70</v>
      </c>
      <c r="B628" s="1" t="s">
        <v>1269</v>
      </c>
      <c r="C628" s="1" t="s">
        <v>11681</v>
      </c>
      <c r="D628" s="1" t="s">
        <v>10001</v>
      </c>
      <c r="E628" s="1" t="s">
        <v>596</v>
      </c>
      <c r="F628" s="1" t="s">
        <v>4684</v>
      </c>
      <c r="G628" s="1" t="s">
        <v>11682</v>
      </c>
      <c r="H628" s="1" t="s">
        <v>11683</v>
      </c>
      <c r="I628" s="1" t="s">
        <v>11684</v>
      </c>
      <c r="J628" s="1">
        <v>9778888438</v>
      </c>
      <c r="K628" s="1" t="s">
        <v>79</v>
      </c>
      <c r="L628" s="1" t="s">
        <v>11685</v>
      </c>
      <c r="M628" s="1" t="s">
        <v>81</v>
      </c>
      <c r="N628" s="1" t="s">
        <v>1724</v>
      </c>
      <c r="O628" s="1"/>
      <c r="P628" s="1" t="s">
        <v>1766</v>
      </c>
      <c r="Q628" s="1" t="s">
        <v>11686</v>
      </c>
      <c r="R628" s="1" t="s">
        <v>11687</v>
      </c>
      <c r="S628" s="1">
        <v>9556882551</v>
      </c>
      <c r="T628" s="1" t="s">
        <v>87</v>
      </c>
      <c r="U628" s="1" t="s">
        <v>11688</v>
      </c>
      <c r="V628" s="1">
        <v>9348985862</v>
      </c>
      <c r="W628" s="1" t="s">
        <v>156</v>
      </c>
      <c r="X628" s="1" t="s">
        <v>11689</v>
      </c>
      <c r="Y628" s="1" t="s">
        <v>11690</v>
      </c>
      <c r="Z628" s="1" t="s">
        <v>1731</v>
      </c>
      <c r="AA628" s="1" t="s">
        <v>11689</v>
      </c>
      <c r="AB628" s="1" t="s">
        <v>11690</v>
      </c>
      <c r="AC628" s="1" t="s">
        <v>1731</v>
      </c>
      <c r="AD628" s="1">
        <v>8.54</v>
      </c>
      <c r="AE628" s="1" t="s">
        <v>93</v>
      </c>
      <c r="AF628" s="1" t="s">
        <v>11691</v>
      </c>
      <c r="AG628" s="1" t="s">
        <v>11692</v>
      </c>
      <c r="AH628" s="1" t="s">
        <v>131</v>
      </c>
      <c r="AI628" s="1" t="s">
        <v>527</v>
      </c>
      <c r="AJ628" s="1">
        <v>91.2</v>
      </c>
      <c r="AK628" s="1">
        <v>9.6</v>
      </c>
      <c r="AL628" s="1" t="s">
        <v>11691</v>
      </c>
      <c r="AM628" s="1" t="s">
        <v>11692</v>
      </c>
      <c r="AN628" s="1" t="s">
        <v>479</v>
      </c>
      <c r="AO628" s="1" t="s">
        <v>101</v>
      </c>
      <c r="AP628" s="1">
        <v>80.6</v>
      </c>
      <c r="AQ628" s="1"/>
      <c r="AR628" s="1"/>
      <c r="AS628" s="1"/>
      <c r="AT628" s="1"/>
      <c r="AU628" s="1"/>
      <c r="AV628" s="1"/>
      <c r="AW628" s="1"/>
      <c r="AX628" s="1" t="s">
        <v>5198</v>
      </c>
      <c r="AY628" s="1" t="s">
        <v>11693</v>
      </c>
      <c r="AZ628" s="1" t="s">
        <v>173</v>
      </c>
      <c r="BA628" s="1" t="s">
        <v>944</v>
      </c>
      <c r="BB628" s="1">
        <v>65.8</v>
      </c>
      <c r="BC628" s="1">
        <v>7.08</v>
      </c>
      <c r="BD628" s="1"/>
      <c r="BE628" s="1"/>
      <c r="BF628" s="1"/>
      <c r="BG628" s="1"/>
      <c r="BH628" s="1"/>
      <c r="BI628" s="1"/>
      <c r="BJ628" s="1" t="s">
        <v>1383</v>
      </c>
      <c r="BK628" s="1"/>
      <c r="BL628" s="1"/>
      <c r="BM628" s="1" t="s">
        <v>11694</v>
      </c>
      <c r="BN628" s="1">
        <v>13</v>
      </c>
      <c r="BO628" s="1" t="s">
        <v>11695</v>
      </c>
      <c r="BP628" s="1" t="str">
        <f>HYPERLINK("https://nconnect.nicmar.ac.in/storage/profile/ProfilePhoto_P25700590_136924.jpg","Download")</f>
        <v>0</v>
      </c>
      <c r="BQ628" s="3"/>
      <c r="BR628" s="3"/>
    </row>
    <row r="629" spans="1:70">
      <c r="A629" s="1" t="s">
        <v>70</v>
      </c>
      <c r="B629" s="1" t="s">
        <v>1269</v>
      </c>
      <c r="C629" s="1" t="s">
        <v>11696</v>
      </c>
      <c r="D629" s="1" t="s">
        <v>11697</v>
      </c>
      <c r="E629" s="1" t="s">
        <v>11698</v>
      </c>
      <c r="F629" s="1" t="s">
        <v>11699</v>
      </c>
      <c r="G629" s="1" t="s">
        <v>11700</v>
      </c>
      <c r="H629" s="1" t="s">
        <v>11701</v>
      </c>
      <c r="I629" s="1" t="s">
        <v>11702</v>
      </c>
      <c r="J629" s="1">
        <v>7058619818</v>
      </c>
      <c r="K629" s="1" t="s">
        <v>79</v>
      </c>
      <c r="L629" s="1" t="s">
        <v>11703</v>
      </c>
      <c r="M629" s="1" t="s">
        <v>81</v>
      </c>
      <c r="N629" s="1" t="s">
        <v>11704</v>
      </c>
      <c r="O629" s="1"/>
      <c r="P629" s="1" t="s">
        <v>1278</v>
      </c>
      <c r="Q629" s="1" t="s">
        <v>11705</v>
      </c>
      <c r="R629" s="1" t="s">
        <v>11706</v>
      </c>
      <c r="S629" s="1">
        <v>8806477198</v>
      </c>
      <c r="T629" s="1" t="s">
        <v>11707</v>
      </c>
      <c r="U629" s="1" t="s">
        <v>11708</v>
      </c>
      <c r="V629" s="1">
        <v>7058375013</v>
      </c>
      <c r="W629" s="1" t="s">
        <v>11709</v>
      </c>
      <c r="X629" s="1" t="s">
        <v>11710</v>
      </c>
      <c r="Y629" s="1" t="s">
        <v>2786</v>
      </c>
      <c r="Z629" s="1" t="s">
        <v>92</v>
      </c>
      <c r="AA629" s="1" t="s">
        <v>11710</v>
      </c>
      <c r="AB629" s="1" t="s">
        <v>2786</v>
      </c>
      <c r="AC629" s="1" t="s">
        <v>92</v>
      </c>
      <c r="AD629" s="1">
        <v>8.54</v>
      </c>
      <c r="AE629" s="1" t="s">
        <v>93</v>
      </c>
      <c r="AF629" s="1" t="s">
        <v>11711</v>
      </c>
      <c r="AG629" s="1" t="s">
        <v>160</v>
      </c>
      <c r="AH629" s="1" t="s">
        <v>162</v>
      </c>
      <c r="AI629" s="1" t="s">
        <v>383</v>
      </c>
      <c r="AJ629" s="1">
        <v>90.8</v>
      </c>
      <c r="AK629" s="1">
        <v>0</v>
      </c>
      <c r="AL629" s="1" t="s">
        <v>11712</v>
      </c>
      <c r="AM629" s="1" t="s">
        <v>160</v>
      </c>
      <c r="AN629" s="1" t="s">
        <v>101</v>
      </c>
      <c r="AO629" s="1" t="s">
        <v>198</v>
      </c>
      <c r="AP629" s="1">
        <v>58</v>
      </c>
      <c r="AQ629" s="1">
        <v>0</v>
      </c>
      <c r="AR629" s="1" t="s">
        <v>98</v>
      </c>
      <c r="AS629" s="1" t="s">
        <v>11713</v>
      </c>
      <c r="AT629" s="1" t="s">
        <v>433</v>
      </c>
      <c r="AU629" s="1" t="s">
        <v>436</v>
      </c>
      <c r="AV629" s="1">
        <v>87.47</v>
      </c>
      <c r="AW629" s="1">
        <v>0</v>
      </c>
      <c r="AX629" s="1" t="s">
        <v>4491</v>
      </c>
      <c r="AY629" s="1" t="s">
        <v>11714</v>
      </c>
      <c r="AZ629" s="1" t="s">
        <v>897</v>
      </c>
      <c r="BA629" s="1" t="s">
        <v>202</v>
      </c>
      <c r="BB629" s="1">
        <v>70.5</v>
      </c>
      <c r="BC629" s="1">
        <v>7.8</v>
      </c>
      <c r="BD629" s="1"/>
      <c r="BE629" s="1"/>
      <c r="BF629" s="1"/>
      <c r="BG629" s="1"/>
      <c r="BH629" s="1"/>
      <c r="BI629" s="1"/>
      <c r="BJ629" s="1" t="s">
        <v>11715</v>
      </c>
      <c r="BK629" s="1" t="s">
        <v>11716</v>
      </c>
      <c r="BL629" s="1" t="s">
        <v>1475</v>
      </c>
      <c r="BM629" s="1" t="s">
        <v>11717</v>
      </c>
      <c r="BN629" s="1">
        <v>21</v>
      </c>
      <c r="BO629" s="1"/>
      <c r="BP629" s="1" t="str">
        <f>HYPERLINK("https://nconnect.nicmar.ac.in/storage/profile/ProfilePhoto_P25700591_413927.jpg","Download")</f>
        <v>0</v>
      </c>
      <c r="BQ629" s="3"/>
      <c r="BR629" s="3"/>
    </row>
    <row r="630" spans="1:70">
      <c r="A630" s="1" t="s">
        <v>70</v>
      </c>
      <c r="B630" s="1" t="s">
        <v>1269</v>
      </c>
      <c r="C630" s="1" t="s">
        <v>11718</v>
      </c>
      <c r="D630" s="1" t="s">
        <v>580</v>
      </c>
      <c r="E630" s="1"/>
      <c r="F630" s="1" t="s">
        <v>835</v>
      </c>
      <c r="G630" s="1" t="s">
        <v>11719</v>
      </c>
      <c r="H630" s="1" t="s">
        <v>11720</v>
      </c>
      <c r="I630" s="1" t="s">
        <v>11721</v>
      </c>
      <c r="J630" s="1">
        <v>7876584754</v>
      </c>
      <c r="K630" s="1" t="s">
        <v>79</v>
      </c>
      <c r="L630" s="1" t="s">
        <v>11722</v>
      </c>
      <c r="M630" s="1" t="s">
        <v>81</v>
      </c>
      <c r="N630" s="1" t="s">
        <v>493</v>
      </c>
      <c r="O630" s="1"/>
      <c r="P630" s="1" t="s">
        <v>1298</v>
      </c>
      <c r="Q630" s="1" t="s">
        <v>11723</v>
      </c>
      <c r="R630" s="1" t="s">
        <v>11724</v>
      </c>
      <c r="S630" s="1">
        <v>9418893004</v>
      </c>
      <c r="T630" s="1" t="s">
        <v>2395</v>
      </c>
      <c r="U630" s="1" t="s">
        <v>11725</v>
      </c>
      <c r="V630" s="1">
        <v>9418421722</v>
      </c>
      <c r="W630" s="1" t="s">
        <v>11726</v>
      </c>
      <c r="X630" s="1" t="s">
        <v>11727</v>
      </c>
      <c r="Y630" s="1" t="s">
        <v>191</v>
      </c>
      <c r="Z630" s="1" t="s">
        <v>92</v>
      </c>
      <c r="AA630" s="1" t="s">
        <v>11728</v>
      </c>
      <c r="AB630" s="1" t="s">
        <v>3418</v>
      </c>
      <c r="AC630" s="1" t="s">
        <v>3419</v>
      </c>
      <c r="AD630" s="1">
        <v>8.62</v>
      </c>
      <c r="AE630" s="1" t="s">
        <v>93</v>
      </c>
      <c r="AF630" s="1" t="s">
        <v>11729</v>
      </c>
      <c r="AG630" s="1" t="s">
        <v>2947</v>
      </c>
      <c r="AH630" s="1" t="s">
        <v>162</v>
      </c>
      <c r="AI630" s="1" t="s">
        <v>165</v>
      </c>
      <c r="AJ630" s="1">
        <v>91.2</v>
      </c>
      <c r="AK630" s="1">
        <v>9.6</v>
      </c>
      <c r="AL630" s="1" t="s">
        <v>11729</v>
      </c>
      <c r="AM630" s="1" t="s">
        <v>2947</v>
      </c>
      <c r="AN630" s="1" t="s">
        <v>1307</v>
      </c>
      <c r="AO630" s="1" t="s">
        <v>308</v>
      </c>
      <c r="AP630" s="1">
        <v>83.2</v>
      </c>
      <c r="AQ630" s="1">
        <v>8.7</v>
      </c>
      <c r="AR630" s="1"/>
      <c r="AS630" s="1"/>
      <c r="AT630" s="1"/>
      <c r="AU630" s="1"/>
      <c r="AV630" s="1"/>
      <c r="AW630" s="1"/>
      <c r="AX630" s="1" t="s">
        <v>11730</v>
      </c>
      <c r="AY630" s="1" t="s">
        <v>11731</v>
      </c>
      <c r="AZ630" s="1" t="s">
        <v>201</v>
      </c>
      <c r="BA630" s="1" t="s">
        <v>682</v>
      </c>
      <c r="BB630" s="1">
        <v>64.98</v>
      </c>
      <c r="BC630" s="1">
        <v>6.84</v>
      </c>
      <c r="BD630" s="1"/>
      <c r="BE630" s="1"/>
      <c r="BF630" s="1"/>
      <c r="BG630" s="1"/>
      <c r="BH630" s="1"/>
      <c r="BI630" s="1"/>
      <c r="BJ630" s="1" t="s">
        <v>1383</v>
      </c>
      <c r="BK630" s="1"/>
      <c r="BL630" s="1"/>
      <c r="BM630" s="1" t="s">
        <v>11732</v>
      </c>
      <c r="BN630" s="1">
        <v>21</v>
      </c>
      <c r="BO630" s="1"/>
      <c r="BP630" s="1" t="str">
        <f>HYPERLINK("https://nconnect.nicmar.ac.in/storage/profile/ProfilePhoto_P25700592_416579.jpg","Download")</f>
        <v>0</v>
      </c>
      <c r="BQ630" s="3"/>
      <c r="BR630" s="3"/>
    </row>
    <row r="631" spans="1:70">
      <c r="A631" s="1" t="s">
        <v>70</v>
      </c>
      <c r="B631" s="1" t="s">
        <v>1269</v>
      </c>
      <c r="C631" s="1" t="s">
        <v>11733</v>
      </c>
      <c r="D631" s="1" t="s">
        <v>11734</v>
      </c>
      <c r="E631" s="1" t="s">
        <v>6466</v>
      </c>
      <c r="F631" s="1" t="s">
        <v>11735</v>
      </c>
      <c r="G631" s="1" t="s">
        <v>11736</v>
      </c>
      <c r="H631" s="1" t="s">
        <v>11737</v>
      </c>
      <c r="I631" s="1" t="s">
        <v>11738</v>
      </c>
      <c r="J631" s="1">
        <v>9403058818</v>
      </c>
      <c r="K631" s="1" t="s">
        <v>79</v>
      </c>
      <c r="L631" s="1" t="s">
        <v>11739</v>
      </c>
      <c r="M631" s="1" t="s">
        <v>81</v>
      </c>
      <c r="N631" s="1" t="s">
        <v>11740</v>
      </c>
      <c r="O631" s="1"/>
      <c r="P631" s="1" t="s">
        <v>1323</v>
      </c>
      <c r="Q631" s="1" t="s">
        <v>11741</v>
      </c>
      <c r="R631" s="1" t="s">
        <v>11742</v>
      </c>
      <c r="S631" s="1">
        <v>1234567890</v>
      </c>
      <c r="T631" s="1" t="s">
        <v>93</v>
      </c>
      <c r="U631" s="1" t="s">
        <v>11743</v>
      </c>
      <c r="V631" s="1">
        <v>9423778073</v>
      </c>
      <c r="W631" s="1" t="s">
        <v>11744</v>
      </c>
      <c r="X631" s="1" t="s">
        <v>11745</v>
      </c>
      <c r="Y631" s="1" t="s">
        <v>191</v>
      </c>
      <c r="Z631" s="1" t="s">
        <v>92</v>
      </c>
      <c r="AA631" s="1" t="s">
        <v>11745</v>
      </c>
      <c r="AB631" s="1" t="s">
        <v>191</v>
      </c>
      <c r="AC631" s="1" t="s">
        <v>92</v>
      </c>
      <c r="AD631" s="1">
        <v>8.64</v>
      </c>
      <c r="AE631" s="1" t="s">
        <v>93</v>
      </c>
      <c r="AF631" s="1" t="s">
        <v>11746</v>
      </c>
      <c r="AG631" s="1" t="s">
        <v>11747</v>
      </c>
      <c r="AH631" s="1" t="s">
        <v>129</v>
      </c>
      <c r="AI631" s="1" t="s">
        <v>166</v>
      </c>
      <c r="AJ631" s="1">
        <v>79.8</v>
      </c>
      <c r="AK631" s="1">
        <v>7.98</v>
      </c>
      <c r="AL631" s="1" t="s">
        <v>11748</v>
      </c>
      <c r="AM631" s="1" t="s">
        <v>11747</v>
      </c>
      <c r="AN631" s="1" t="s">
        <v>166</v>
      </c>
      <c r="AO631" s="1" t="s">
        <v>173</v>
      </c>
      <c r="AP631" s="1">
        <v>73.85</v>
      </c>
      <c r="AQ631" s="1">
        <v>7.38</v>
      </c>
      <c r="AR631" s="1"/>
      <c r="AS631" s="1"/>
      <c r="AT631" s="1"/>
      <c r="AU631" s="1"/>
      <c r="AV631" s="1"/>
      <c r="AW631" s="1"/>
      <c r="AX631" s="1" t="s">
        <v>10157</v>
      </c>
      <c r="AY631" s="1" t="s">
        <v>11749</v>
      </c>
      <c r="AZ631" s="1" t="s">
        <v>941</v>
      </c>
      <c r="BA631" s="1" t="s">
        <v>1714</v>
      </c>
      <c r="BB631" s="1">
        <v>67.64</v>
      </c>
      <c r="BC631" s="1">
        <v>7.12</v>
      </c>
      <c r="BD631" s="1"/>
      <c r="BE631" s="1"/>
      <c r="BF631" s="1"/>
      <c r="BG631" s="1"/>
      <c r="BH631" s="1"/>
      <c r="BI631" s="1"/>
      <c r="BJ631" s="1" t="s">
        <v>11750</v>
      </c>
      <c r="BK631" s="1"/>
      <c r="BL631" s="1"/>
      <c r="BM631" s="1" t="s">
        <v>11751</v>
      </c>
      <c r="BN631" s="1">
        <v>26</v>
      </c>
      <c r="BO631" s="1" t="s">
        <v>11752</v>
      </c>
      <c r="BP631" s="1" t="str">
        <f>HYPERLINK("https://nconnect.nicmar.ac.in/storage/profile/ProfilePhoto_P25700593_914835.jpg","Download")</f>
        <v>0</v>
      </c>
      <c r="BQ631" s="3"/>
      <c r="BR631" s="3"/>
    </row>
    <row r="632" spans="1:70">
      <c r="A632" s="1" t="s">
        <v>70</v>
      </c>
      <c r="B632" s="1" t="s">
        <v>1269</v>
      </c>
      <c r="C632" s="1" t="s">
        <v>11753</v>
      </c>
      <c r="D632" s="1" t="s">
        <v>11754</v>
      </c>
      <c r="E632" s="1"/>
      <c r="F632" s="1" t="s">
        <v>11755</v>
      </c>
      <c r="G632" s="1" t="s">
        <v>11756</v>
      </c>
      <c r="H632" s="1" t="s">
        <v>11757</v>
      </c>
      <c r="I632" s="1" t="s">
        <v>11758</v>
      </c>
      <c r="J632" s="1">
        <v>8827043777</v>
      </c>
      <c r="K632" s="1" t="s">
        <v>148</v>
      </c>
      <c r="L632" s="1" t="s">
        <v>11759</v>
      </c>
      <c r="M632" s="1" t="s">
        <v>81</v>
      </c>
      <c r="N632" s="1" t="s">
        <v>5040</v>
      </c>
      <c r="O632" s="1"/>
      <c r="P632" s="1" t="s">
        <v>1278</v>
      </c>
      <c r="Q632" s="1" t="s">
        <v>11760</v>
      </c>
      <c r="R632" s="1" t="s">
        <v>11761</v>
      </c>
      <c r="S632" s="1">
        <v>9425224720</v>
      </c>
      <c r="T632" s="1" t="s">
        <v>842</v>
      </c>
      <c r="U632" s="1" t="s">
        <v>11762</v>
      </c>
      <c r="V632" s="1">
        <v>9589902131</v>
      </c>
      <c r="W632" s="1" t="s">
        <v>156</v>
      </c>
      <c r="X632" s="1" t="s">
        <v>11763</v>
      </c>
      <c r="Y632" s="1" t="s">
        <v>11764</v>
      </c>
      <c r="Z632" s="1" t="s">
        <v>1237</v>
      </c>
      <c r="AA632" s="1" t="s">
        <v>11763</v>
      </c>
      <c r="AB632" s="1" t="s">
        <v>11764</v>
      </c>
      <c r="AC632" s="1" t="s">
        <v>1237</v>
      </c>
      <c r="AD632" s="1">
        <v>8.05</v>
      </c>
      <c r="AE632" s="1" t="s">
        <v>93</v>
      </c>
      <c r="AF632" s="1" t="s">
        <v>11765</v>
      </c>
      <c r="AG632" s="1" t="s">
        <v>894</v>
      </c>
      <c r="AH632" s="1" t="s">
        <v>503</v>
      </c>
      <c r="AI632" s="1" t="s">
        <v>527</v>
      </c>
      <c r="AJ632" s="1">
        <v>91.2</v>
      </c>
      <c r="AK632" s="1">
        <v>9.6</v>
      </c>
      <c r="AL632" s="1" t="s">
        <v>11765</v>
      </c>
      <c r="AM632" s="1" t="s">
        <v>894</v>
      </c>
      <c r="AN632" s="1" t="s">
        <v>678</v>
      </c>
      <c r="AO632" s="1" t="s">
        <v>166</v>
      </c>
      <c r="AP632" s="1">
        <v>71.8</v>
      </c>
      <c r="AQ632" s="1"/>
      <c r="AR632" s="1"/>
      <c r="AS632" s="1"/>
      <c r="AT632" s="1"/>
      <c r="AU632" s="1"/>
      <c r="AV632" s="1"/>
      <c r="AW632" s="1"/>
      <c r="AX632" s="1" t="s">
        <v>410</v>
      </c>
      <c r="AY632" s="1" t="s">
        <v>11766</v>
      </c>
      <c r="AZ632" s="1" t="s">
        <v>636</v>
      </c>
      <c r="BA632" s="1" t="s">
        <v>229</v>
      </c>
      <c r="BB632" s="1">
        <v>66.3</v>
      </c>
      <c r="BC632" s="1">
        <v>7.38</v>
      </c>
      <c r="BD632" s="1"/>
      <c r="BE632" s="1"/>
      <c r="BF632" s="1"/>
      <c r="BG632" s="1"/>
      <c r="BH632" s="1"/>
      <c r="BI632" s="1"/>
      <c r="BJ632" s="1" t="s">
        <v>11767</v>
      </c>
      <c r="BK632" s="1" t="s">
        <v>11768</v>
      </c>
      <c r="BL632" s="1" t="s">
        <v>2888</v>
      </c>
      <c r="BM632" s="1" t="s">
        <v>11769</v>
      </c>
      <c r="BN632" s="1">
        <v>27</v>
      </c>
      <c r="BO632" s="1"/>
      <c r="BP632" s="1" t="str">
        <f>HYPERLINK("https://nconnect.nicmar.ac.in/storage/profile/ProfilePhoto_P25700594_156829.jpg","Download")</f>
        <v>0</v>
      </c>
      <c r="BQ632" s="3"/>
      <c r="BR632" s="3"/>
    </row>
    <row r="633" spans="1:70">
      <c r="A633" s="1" t="s">
        <v>70</v>
      </c>
      <c r="B633" s="1" t="s">
        <v>1269</v>
      </c>
      <c r="C633" s="1" t="s">
        <v>11770</v>
      </c>
      <c r="D633" s="1" t="s">
        <v>11771</v>
      </c>
      <c r="E633" s="1" t="s">
        <v>1566</v>
      </c>
      <c r="F633" s="1" t="s">
        <v>11772</v>
      </c>
      <c r="G633" s="1" t="s">
        <v>11773</v>
      </c>
      <c r="H633" s="1" t="s">
        <v>11774</v>
      </c>
      <c r="I633" s="1" t="s">
        <v>11775</v>
      </c>
      <c r="J633" s="1">
        <v>9975404883</v>
      </c>
      <c r="K633" s="1" t="s">
        <v>148</v>
      </c>
      <c r="L633" s="1" t="s">
        <v>6370</v>
      </c>
      <c r="M633" s="1" t="s">
        <v>81</v>
      </c>
      <c r="N633" s="1" t="s">
        <v>11776</v>
      </c>
      <c r="O633" s="1"/>
      <c r="P633" s="1" t="s">
        <v>1323</v>
      </c>
      <c r="Q633" s="1" t="s">
        <v>11777</v>
      </c>
      <c r="R633" s="1" t="s">
        <v>11778</v>
      </c>
      <c r="S633" s="1">
        <v>9975403456</v>
      </c>
      <c r="T633" s="1" t="s">
        <v>1256</v>
      </c>
      <c r="U633" s="1" t="s">
        <v>11779</v>
      </c>
      <c r="V633" s="1">
        <v>9881348474</v>
      </c>
      <c r="W633" s="1" t="s">
        <v>89</v>
      </c>
      <c r="X633" s="1" t="s">
        <v>11780</v>
      </c>
      <c r="Y633" s="1" t="s">
        <v>499</v>
      </c>
      <c r="Z633" s="1" t="s">
        <v>500</v>
      </c>
      <c r="AA633" s="1" t="s">
        <v>11780</v>
      </c>
      <c r="AB633" s="1" t="s">
        <v>499</v>
      </c>
      <c r="AC633" s="1" t="s">
        <v>500</v>
      </c>
      <c r="AD633" s="1">
        <v>8.46</v>
      </c>
      <c r="AE633" s="1" t="s">
        <v>93</v>
      </c>
      <c r="AF633" s="1" t="s">
        <v>11781</v>
      </c>
      <c r="AG633" s="1" t="s">
        <v>11782</v>
      </c>
      <c r="AH633" s="1" t="s">
        <v>165</v>
      </c>
      <c r="AI633" s="1" t="s">
        <v>101</v>
      </c>
      <c r="AJ633" s="1">
        <v>82.66</v>
      </c>
      <c r="AK633" s="1"/>
      <c r="AL633" s="1" t="s">
        <v>11783</v>
      </c>
      <c r="AM633" s="1" t="s">
        <v>11782</v>
      </c>
      <c r="AN633" s="1" t="s">
        <v>433</v>
      </c>
      <c r="AO633" s="1" t="s">
        <v>699</v>
      </c>
      <c r="AP633" s="1">
        <v>67.17</v>
      </c>
      <c r="AQ633" s="1"/>
      <c r="AR633" s="1"/>
      <c r="AS633" s="1"/>
      <c r="AT633" s="1"/>
      <c r="AU633" s="1"/>
      <c r="AV633" s="1"/>
      <c r="AW633" s="1"/>
      <c r="AX633" s="1" t="s">
        <v>11784</v>
      </c>
      <c r="AY633" s="1" t="s">
        <v>11785</v>
      </c>
      <c r="AZ633" s="1" t="s">
        <v>681</v>
      </c>
      <c r="BA633" s="1" t="s">
        <v>2103</v>
      </c>
      <c r="BB633" s="1">
        <v>79</v>
      </c>
      <c r="BC633" s="1">
        <v>8.65</v>
      </c>
      <c r="BD633" s="1"/>
      <c r="BE633" s="1"/>
      <c r="BF633" s="1"/>
      <c r="BG633" s="1"/>
      <c r="BH633" s="1"/>
      <c r="BI633" s="1"/>
      <c r="BJ633" s="1" t="s">
        <v>9112</v>
      </c>
      <c r="BK633" s="1"/>
      <c r="BL633" s="1"/>
      <c r="BM633" s="1" t="s">
        <v>11786</v>
      </c>
      <c r="BN633" s="1">
        <v>16</v>
      </c>
      <c r="BO633" s="1" t="s">
        <v>11787</v>
      </c>
      <c r="BP633" s="1" t="str">
        <f>HYPERLINK("https://nconnect.nicmar.ac.in/storage/profile/ProfilePhoto_P25700595_861492.jpg","Download")</f>
        <v>0</v>
      </c>
      <c r="BQ633" s="3"/>
      <c r="BR633" s="3"/>
    </row>
    <row r="634" spans="1:70">
      <c r="A634" s="1" t="s">
        <v>70</v>
      </c>
      <c r="B634" s="1" t="s">
        <v>1269</v>
      </c>
      <c r="C634" s="1" t="s">
        <v>11788</v>
      </c>
      <c r="D634" s="1" t="s">
        <v>11789</v>
      </c>
      <c r="E634" s="1" t="s">
        <v>1039</v>
      </c>
      <c r="F634" s="1" t="s">
        <v>8110</v>
      </c>
      <c r="G634" s="1" t="s">
        <v>11790</v>
      </c>
      <c r="H634" s="1" t="s">
        <v>11791</v>
      </c>
      <c r="I634" s="1" t="s">
        <v>11792</v>
      </c>
      <c r="J634" s="1">
        <v>9922401880</v>
      </c>
      <c r="K634" s="1" t="s">
        <v>148</v>
      </c>
      <c r="L634" s="1" t="s">
        <v>3167</v>
      </c>
      <c r="M634" s="1" t="s">
        <v>81</v>
      </c>
      <c r="N634" s="1" t="s">
        <v>11448</v>
      </c>
      <c r="O634" s="1"/>
      <c r="P634" s="1" t="s">
        <v>1298</v>
      </c>
      <c r="Q634" s="1" t="s">
        <v>11793</v>
      </c>
      <c r="R634" s="1" t="s">
        <v>11794</v>
      </c>
      <c r="S634" s="1">
        <v>7230953999</v>
      </c>
      <c r="T634" s="1" t="s">
        <v>763</v>
      </c>
      <c r="U634" s="1" t="s">
        <v>11795</v>
      </c>
      <c r="V634" s="1">
        <v>7231953999</v>
      </c>
      <c r="W634" s="1" t="s">
        <v>89</v>
      </c>
      <c r="X634" s="1" t="s">
        <v>11796</v>
      </c>
      <c r="Y634" s="1" t="s">
        <v>191</v>
      </c>
      <c r="Z634" s="1" t="s">
        <v>92</v>
      </c>
      <c r="AA634" s="1" t="s">
        <v>11796</v>
      </c>
      <c r="AB634" s="1" t="s">
        <v>191</v>
      </c>
      <c r="AC634" s="1" t="s">
        <v>92</v>
      </c>
      <c r="AD634" s="1">
        <v>8.87</v>
      </c>
      <c r="AE634" s="1" t="s">
        <v>93</v>
      </c>
      <c r="AF634" s="1" t="s">
        <v>11797</v>
      </c>
      <c r="AG634" s="1" t="s">
        <v>11798</v>
      </c>
      <c r="AH634" s="1" t="s">
        <v>161</v>
      </c>
      <c r="AI634" s="1" t="s">
        <v>456</v>
      </c>
      <c r="AJ634" s="1">
        <v>91.2</v>
      </c>
      <c r="AK634" s="1"/>
      <c r="AL634" s="1" t="s">
        <v>11799</v>
      </c>
      <c r="AM634" s="1" t="s">
        <v>307</v>
      </c>
      <c r="AN634" s="1" t="s">
        <v>678</v>
      </c>
      <c r="AO634" s="1" t="s">
        <v>166</v>
      </c>
      <c r="AP634" s="1">
        <v>79.4</v>
      </c>
      <c r="AQ634" s="1"/>
      <c r="AR634" s="1"/>
      <c r="AS634" s="1"/>
      <c r="AT634" s="1"/>
      <c r="AU634" s="1"/>
      <c r="AV634" s="1"/>
      <c r="AW634" s="1"/>
      <c r="AX634" s="1" t="s">
        <v>361</v>
      </c>
      <c r="AY634" s="1" t="s">
        <v>11800</v>
      </c>
      <c r="AZ634" s="1" t="s">
        <v>636</v>
      </c>
      <c r="BA634" s="1" t="s">
        <v>590</v>
      </c>
      <c r="BB634" s="1">
        <v>84.93</v>
      </c>
      <c r="BC634" s="1">
        <v>9.54</v>
      </c>
      <c r="BD634" s="1"/>
      <c r="BE634" s="1"/>
      <c r="BF634" s="1"/>
      <c r="BG634" s="1"/>
      <c r="BH634" s="1"/>
      <c r="BI634" s="1"/>
      <c r="BJ634" s="1" t="s">
        <v>11801</v>
      </c>
      <c r="BK634" s="1" t="s">
        <v>11802</v>
      </c>
      <c r="BL634" s="1" t="s">
        <v>1385</v>
      </c>
      <c r="BM634" s="1" t="s">
        <v>11803</v>
      </c>
      <c r="BN634" s="1">
        <v>35</v>
      </c>
      <c r="BO634" s="1" t="s">
        <v>11804</v>
      </c>
      <c r="BP634" s="1" t="str">
        <f>HYPERLINK("https://nconnect.nicmar.ac.in/storage/profile/ProfilePhoto_P25700596_394516.jpg","Download")</f>
        <v>0</v>
      </c>
      <c r="BQ634" s="3"/>
      <c r="BR634" s="3"/>
    </row>
    <row r="635" spans="1:70">
      <c r="A635" s="1" t="s">
        <v>70</v>
      </c>
      <c r="B635" s="1" t="s">
        <v>1269</v>
      </c>
      <c r="C635" s="1" t="s">
        <v>11805</v>
      </c>
      <c r="D635" s="1" t="s">
        <v>11806</v>
      </c>
      <c r="E635" s="1" t="s">
        <v>11807</v>
      </c>
      <c r="F635" s="1" t="s">
        <v>11808</v>
      </c>
      <c r="G635" s="1" t="s">
        <v>11809</v>
      </c>
      <c r="H635" s="1" t="s">
        <v>11810</v>
      </c>
      <c r="I635" s="1" t="s">
        <v>11811</v>
      </c>
      <c r="J635" s="1">
        <v>9606531866</v>
      </c>
      <c r="K635" s="1" t="s">
        <v>148</v>
      </c>
      <c r="L635" s="1" t="s">
        <v>11812</v>
      </c>
      <c r="M635" s="1" t="s">
        <v>81</v>
      </c>
      <c r="N635" s="1" t="s">
        <v>2046</v>
      </c>
      <c r="O635" s="1"/>
      <c r="P635" s="1" t="s">
        <v>1323</v>
      </c>
      <c r="Q635" s="1" t="s">
        <v>11813</v>
      </c>
      <c r="R635" s="1" t="s">
        <v>11807</v>
      </c>
      <c r="S635" s="1">
        <v>9342951866</v>
      </c>
      <c r="T635" s="1" t="s">
        <v>11814</v>
      </c>
      <c r="U635" s="1" t="s">
        <v>11815</v>
      </c>
      <c r="V635" s="1">
        <v>9535198077</v>
      </c>
      <c r="W635" s="1" t="s">
        <v>89</v>
      </c>
      <c r="X635" s="1" t="s">
        <v>11816</v>
      </c>
      <c r="Y635" s="1" t="s">
        <v>4755</v>
      </c>
      <c r="Z635" s="1" t="s">
        <v>1084</v>
      </c>
      <c r="AA635" s="1" t="s">
        <v>11816</v>
      </c>
      <c r="AB635" s="1" t="s">
        <v>4755</v>
      </c>
      <c r="AC635" s="1" t="s">
        <v>1084</v>
      </c>
      <c r="AD635" s="1">
        <v>8.49</v>
      </c>
      <c r="AE635" s="1" t="s">
        <v>93</v>
      </c>
      <c r="AF635" s="1" t="s">
        <v>11817</v>
      </c>
      <c r="AG635" s="1" t="s">
        <v>11818</v>
      </c>
      <c r="AH635" s="1" t="s">
        <v>161</v>
      </c>
      <c r="AI635" s="1" t="s">
        <v>527</v>
      </c>
      <c r="AJ635" s="1">
        <v>89.44</v>
      </c>
      <c r="AK635" s="1"/>
      <c r="AL635" s="1" t="s">
        <v>11819</v>
      </c>
      <c r="AM635" s="1" t="s">
        <v>11820</v>
      </c>
      <c r="AN635" s="1" t="s">
        <v>165</v>
      </c>
      <c r="AO635" s="1" t="s">
        <v>166</v>
      </c>
      <c r="AP635" s="1">
        <v>75</v>
      </c>
      <c r="AQ635" s="1"/>
      <c r="AR635" s="1"/>
      <c r="AS635" s="1"/>
      <c r="AT635" s="1"/>
      <c r="AU635" s="1"/>
      <c r="AV635" s="1"/>
      <c r="AW635" s="1"/>
      <c r="AX635" s="1" t="s">
        <v>1519</v>
      </c>
      <c r="AY635" s="1" t="s">
        <v>11821</v>
      </c>
      <c r="AZ635" s="1" t="s">
        <v>101</v>
      </c>
      <c r="BA635" s="1" t="s">
        <v>229</v>
      </c>
      <c r="BB635" s="1">
        <v>71.3</v>
      </c>
      <c r="BC635" s="1">
        <v>7.88</v>
      </c>
      <c r="BD635" s="1"/>
      <c r="BE635" s="1"/>
      <c r="BF635" s="1"/>
      <c r="BG635" s="1"/>
      <c r="BH635" s="1"/>
      <c r="BI635" s="1"/>
      <c r="BJ635" s="1" t="s">
        <v>11822</v>
      </c>
      <c r="BK635" s="1" t="s">
        <v>11823</v>
      </c>
      <c r="BL635" s="1" t="s">
        <v>2186</v>
      </c>
      <c r="BM635" s="1" t="s">
        <v>11824</v>
      </c>
      <c r="BN635" s="1">
        <v>18</v>
      </c>
      <c r="BO635" s="1"/>
      <c r="BP635" s="1" t="str">
        <f>HYPERLINK("https://nconnect.nicmar.ac.in/storage/profile/ProfilePhoto_P25700597_285793.jpg","Download")</f>
        <v>0</v>
      </c>
      <c r="BQ635" s="3"/>
      <c r="BR635" s="3"/>
    </row>
    <row r="636" spans="1:70">
      <c r="A636" s="1" t="s">
        <v>70</v>
      </c>
      <c r="B636" s="1" t="s">
        <v>1269</v>
      </c>
      <c r="C636" s="1" t="s">
        <v>11825</v>
      </c>
      <c r="D636" s="1" t="s">
        <v>11826</v>
      </c>
      <c r="E636" s="1" t="s">
        <v>1924</v>
      </c>
      <c r="F636" s="1" t="s">
        <v>11827</v>
      </c>
      <c r="G636" s="1" t="s">
        <v>11828</v>
      </c>
      <c r="H636" s="1" t="s">
        <v>11829</v>
      </c>
      <c r="I636" s="1" t="s">
        <v>11830</v>
      </c>
      <c r="J636" s="1">
        <v>9822359165</v>
      </c>
      <c r="K636" s="1" t="s">
        <v>79</v>
      </c>
      <c r="L636" s="1" t="s">
        <v>6740</v>
      </c>
      <c r="M636" s="1" t="s">
        <v>81</v>
      </c>
      <c r="N636" s="1" t="s">
        <v>1765</v>
      </c>
      <c r="O636" s="1"/>
      <c r="P636" s="1" t="s">
        <v>1278</v>
      </c>
      <c r="Q636" s="1" t="s">
        <v>11831</v>
      </c>
      <c r="R636" s="1" t="s">
        <v>1924</v>
      </c>
      <c r="S636" s="1">
        <v>9960745082</v>
      </c>
      <c r="T636" s="1" t="s">
        <v>11832</v>
      </c>
      <c r="U636" s="1" t="s">
        <v>693</v>
      </c>
      <c r="V636" s="1">
        <v>9890658542</v>
      </c>
      <c r="W636" s="1" t="s">
        <v>976</v>
      </c>
      <c r="X636" s="1" t="s">
        <v>11833</v>
      </c>
      <c r="Y636" s="1" t="s">
        <v>379</v>
      </c>
      <c r="Z636" s="1" t="s">
        <v>92</v>
      </c>
      <c r="AA636" s="1" t="s">
        <v>11833</v>
      </c>
      <c r="AB636" s="1" t="s">
        <v>379</v>
      </c>
      <c r="AC636" s="1" t="s">
        <v>92</v>
      </c>
      <c r="AD636" s="1">
        <v>8.41</v>
      </c>
      <c r="AE636" s="1" t="s">
        <v>93</v>
      </c>
      <c r="AF636" s="1" t="s">
        <v>11834</v>
      </c>
      <c r="AG636" s="1" t="s">
        <v>11835</v>
      </c>
      <c r="AH636" s="1" t="s">
        <v>96</v>
      </c>
      <c r="AI636" s="1" t="s">
        <v>97</v>
      </c>
      <c r="AJ636" s="1">
        <v>89.8</v>
      </c>
      <c r="AK636" s="1"/>
      <c r="AL636" s="1" t="s">
        <v>11836</v>
      </c>
      <c r="AM636" s="1" t="s">
        <v>11837</v>
      </c>
      <c r="AN636" s="1" t="s">
        <v>162</v>
      </c>
      <c r="AO636" s="1" t="s">
        <v>1332</v>
      </c>
      <c r="AP636" s="1">
        <v>64.77</v>
      </c>
      <c r="AQ636" s="1"/>
      <c r="AR636" s="1"/>
      <c r="AS636" s="1"/>
      <c r="AT636" s="1"/>
      <c r="AU636" s="1"/>
      <c r="AV636" s="1"/>
      <c r="AW636" s="1"/>
      <c r="AX636" s="1" t="s">
        <v>11838</v>
      </c>
      <c r="AY636" s="1" t="s">
        <v>11839</v>
      </c>
      <c r="AZ636" s="1" t="s">
        <v>383</v>
      </c>
      <c r="BA636" s="1" t="s">
        <v>3081</v>
      </c>
      <c r="BB636" s="1">
        <v>77.6</v>
      </c>
      <c r="BC636" s="1">
        <v>8.26</v>
      </c>
      <c r="BD636" s="1"/>
      <c r="BE636" s="1"/>
      <c r="BF636" s="1"/>
      <c r="BG636" s="1"/>
      <c r="BH636" s="1"/>
      <c r="BI636" s="1"/>
      <c r="BJ636" s="1" t="s">
        <v>2080</v>
      </c>
      <c r="BK636" s="1"/>
      <c r="BL636" s="1"/>
      <c r="BM636" s="1"/>
      <c r="BN636" s="1"/>
      <c r="BO636" s="1"/>
      <c r="BP636" s="1" t="str">
        <f>HYPERLINK("https://nconnect.nicmar.ac.in/storage/profile/ProfilePhoto_P25700598_387159.jpg","Download")</f>
        <v>0</v>
      </c>
      <c r="BQ636" s="3"/>
      <c r="BR636" s="3"/>
    </row>
    <row r="637" spans="1:70">
      <c r="A637" s="1" t="s">
        <v>70</v>
      </c>
      <c r="B637" s="1" t="s">
        <v>1269</v>
      </c>
      <c r="C637" s="1" t="s">
        <v>11840</v>
      </c>
      <c r="D637" s="1" t="s">
        <v>11841</v>
      </c>
      <c r="E637" s="1"/>
      <c r="F637" s="1" t="s">
        <v>4329</v>
      </c>
      <c r="G637" s="1" t="s">
        <v>11842</v>
      </c>
      <c r="H637" s="1" t="s">
        <v>11843</v>
      </c>
      <c r="I637" s="1" t="s">
        <v>11844</v>
      </c>
      <c r="J637" s="1">
        <v>9778364400</v>
      </c>
      <c r="K637" s="1" t="s">
        <v>148</v>
      </c>
      <c r="L637" s="1" t="s">
        <v>4793</v>
      </c>
      <c r="M637" s="1" t="s">
        <v>81</v>
      </c>
      <c r="N637" s="1" t="s">
        <v>11845</v>
      </c>
      <c r="O637" s="1"/>
      <c r="P637" s="1" t="s">
        <v>1766</v>
      </c>
      <c r="Q637" s="1" t="s">
        <v>11846</v>
      </c>
      <c r="R637" s="1" t="s">
        <v>11847</v>
      </c>
      <c r="S637" s="1">
        <v>9434777343</v>
      </c>
      <c r="T637" s="1" t="s">
        <v>763</v>
      </c>
      <c r="U637" s="1" t="s">
        <v>11848</v>
      </c>
      <c r="V637" s="1">
        <v>9434986538</v>
      </c>
      <c r="W637" s="1" t="s">
        <v>122</v>
      </c>
      <c r="X637" s="1" t="s">
        <v>11849</v>
      </c>
      <c r="Y637" s="1" t="s">
        <v>191</v>
      </c>
      <c r="Z637" s="1" t="s">
        <v>92</v>
      </c>
      <c r="AA637" s="1" t="s">
        <v>11850</v>
      </c>
      <c r="AB637" s="1" t="s">
        <v>11851</v>
      </c>
      <c r="AC637" s="1" t="s">
        <v>783</v>
      </c>
      <c r="AD637" s="1">
        <v>9.0</v>
      </c>
      <c r="AE637" s="1" t="s">
        <v>93</v>
      </c>
      <c r="AF637" s="1" t="s">
        <v>11852</v>
      </c>
      <c r="AG637" s="1" t="s">
        <v>11853</v>
      </c>
      <c r="AH637" s="1" t="s">
        <v>162</v>
      </c>
      <c r="AI637" s="1" t="s">
        <v>165</v>
      </c>
      <c r="AJ637" s="1">
        <v>95</v>
      </c>
      <c r="AK637" s="1">
        <v>10</v>
      </c>
      <c r="AL637" s="1" t="s">
        <v>11852</v>
      </c>
      <c r="AM637" s="1" t="s">
        <v>11853</v>
      </c>
      <c r="AN637" s="1" t="s">
        <v>166</v>
      </c>
      <c r="AO637" s="1" t="s">
        <v>308</v>
      </c>
      <c r="AP637" s="1">
        <v>76.66</v>
      </c>
      <c r="AQ637" s="1"/>
      <c r="AR637" s="1"/>
      <c r="AS637" s="1"/>
      <c r="AT637" s="1"/>
      <c r="AU637" s="1"/>
      <c r="AV637" s="1"/>
      <c r="AW637" s="1"/>
      <c r="AX637" s="1" t="s">
        <v>2378</v>
      </c>
      <c r="AY637" s="1" t="s">
        <v>11854</v>
      </c>
      <c r="AZ637" s="1" t="s">
        <v>170</v>
      </c>
      <c r="BA637" s="1" t="s">
        <v>1584</v>
      </c>
      <c r="BB637" s="1">
        <v>73.1</v>
      </c>
      <c r="BC637" s="1">
        <v>7.31</v>
      </c>
      <c r="BD637" s="1"/>
      <c r="BE637" s="1"/>
      <c r="BF637" s="1"/>
      <c r="BG637" s="1"/>
      <c r="BH637" s="1"/>
      <c r="BI637" s="1"/>
      <c r="BJ637" s="1" t="s">
        <v>11855</v>
      </c>
      <c r="BK637" s="1"/>
      <c r="BL637" s="1"/>
      <c r="BM637" s="1" t="s">
        <v>11856</v>
      </c>
      <c r="BN637" s="1">
        <v>33</v>
      </c>
      <c r="BO637" s="1"/>
      <c r="BP637" s="1" t="str">
        <f>HYPERLINK("https://nconnect.nicmar.ac.in/storage/profile/ProfilePhoto_P25700599_658143.jpg","Download")</f>
        <v>0</v>
      </c>
      <c r="BQ637" s="3"/>
      <c r="BR637" s="3"/>
    </row>
    <row r="638" spans="1:70">
      <c r="A638" s="1" t="s">
        <v>70</v>
      </c>
      <c r="B638" s="1" t="s">
        <v>1269</v>
      </c>
      <c r="C638" s="1" t="s">
        <v>11857</v>
      </c>
      <c r="D638" s="1" t="s">
        <v>11858</v>
      </c>
      <c r="E638" s="1" t="s">
        <v>11859</v>
      </c>
      <c r="F638" s="1" t="s">
        <v>1741</v>
      </c>
      <c r="G638" s="1" t="s">
        <v>11860</v>
      </c>
      <c r="H638" s="1" t="s">
        <v>11861</v>
      </c>
      <c r="I638" s="1" t="s">
        <v>11862</v>
      </c>
      <c r="J638" s="1">
        <v>7337288598</v>
      </c>
      <c r="K638" s="1" t="s">
        <v>79</v>
      </c>
      <c r="L638" s="1" t="s">
        <v>537</v>
      </c>
      <c r="M638" s="1" t="s">
        <v>81</v>
      </c>
      <c r="N638" s="1" t="s">
        <v>3883</v>
      </c>
      <c r="O638" s="1"/>
      <c r="P638" s="1" t="s">
        <v>1323</v>
      </c>
      <c r="Q638" s="1" t="s">
        <v>11863</v>
      </c>
      <c r="R638" s="1" t="s">
        <v>11864</v>
      </c>
      <c r="S638" s="1">
        <v>7337288598</v>
      </c>
      <c r="T638" s="1" t="s">
        <v>11865</v>
      </c>
      <c r="U638" s="1" t="s">
        <v>11866</v>
      </c>
      <c r="V638" s="1">
        <v>9396420765</v>
      </c>
      <c r="W638" s="1" t="s">
        <v>651</v>
      </c>
      <c r="X638" s="1" t="s">
        <v>11867</v>
      </c>
      <c r="Y638" s="1" t="s">
        <v>11868</v>
      </c>
      <c r="Z638" s="1" t="s">
        <v>276</v>
      </c>
      <c r="AA638" s="1" t="s">
        <v>11867</v>
      </c>
      <c r="AB638" s="1" t="s">
        <v>11868</v>
      </c>
      <c r="AC638" s="1" t="s">
        <v>276</v>
      </c>
      <c r="AD638" s="1">
        <v>8.51</v>
      </c>
      <c r="AE638" s="1" t="s">
        <v>93</v>
      </c>
      <c r="AF638" s="1" t="s">
        <v>11869</v>
      </c>
      <c r="AG638" s="1" t="s">
        <v>2243</v>
      </c>
      <c r="AH638" s="1" t="s">
        <v>134</v>
      </c>
      <c r="AI638" s="1" t="s">
        <v>479</v>
      </c>
      <c r="AJ638" s="1">
        <v>93</v>
      </c>
      <c r="AK638" s="1">
        <v>9.3</v>
      </c>
      <c r="AL638" s="1" t="s">
        <v>11870</v>
      </c>
      <c r="AM638" s="1" t="s">
        <v>2245</v>
      </c>
      <c r="AN638" s="1" t="s">
        <v>225</v>
      </c>
      <c r="AO638" s="1" t="s">
        <v>1065</v>
      </c>
      <c r="AP638" s="1">
        <v>86.01</v>
      </c>
      <c r="AQ638" s="1">
        <v>8.61</v>
      </c>
      <c r="AR638" s="1"/>
      <c r="AS638" s="1"/>
      <c r="AT638" s="1"/>
      <c r="AU638" s="1"/>
      <c r="AV638" s="1"/>
      <c r="AW638" s="1"/>
      <c r="AX638" s="1" t="s">
        <v>7932</v>
      </c>
      <c r="AY638" s="1" t="s">
        <v>11871</v>
      </c>
      <c r="AZ638" s="1" t="s">
        <v>201</v>
      </c>
      <c r="BA638" s="1" t="s">
        <v>682</v>
      </c>
      <c r="BB638" s="1">
        <v>63.5</v>
      </c>
      <c r="BC638" s="1">
        <v>6.85</v>
      </c>
      <c r="BD638" s="1"/>
      <c r="BE638" s="1"/>
      <c r="BF638" s="1"/>
      <c r="BG638" s="1"/>
      <c r="BH638" s="1"/>
      <c r="BI638" s="1"/>
      <c r="BJ638" s="1" t="s">
        <v>11872</v>
      </c>
      <c r="BK638" s="1"/>
      <c r="BL638" s="1"/>
      <c r="BM638" s="1" t="s">
        <v>11873</v>
      </c>
      <c r="BN638" s="1">
        <v>7</v>
      </c>
      <c r="BO638" s="1"/>
      <c r="BP638" s="1" t="str">
        <f>HYPERLINK("https://nconnect.nicmar.ac.in/storage/profile/ProfilePhoto_P25700600_762981.jpg","Download")</f>
        <v>0</v>
      </c>
      <c r="BQ638" s="3"/>
      <c r="BR638" s="3"/>
    </row>
    <row r="639" spans="1:70">
      <c r="A639" s="1" t="s">
        <v>70</v>
      </c>
      <c r="B639" s="1" t="s">
        <v>1269</v>
      </c>
      <c r="C639" s="1" t="s">
        <v>11874</v>
      </c>
      <c r="D639" s="1" t="s">
        <v>11875</v>
      </c>
      <c r="E639" s="1"/>
      <c r="F639" s="1" t="s">
        <v>11876</v>
      </c>
      <c r="G639" s="1" t="s">
        <v>11877</v>
      </c>
      <c r="H639" s="1" t="s">
        <v>11878</v>
      </c>
      <c r="I639" s="1" t="s">
        <v>11879</v>
      </c>
      <c r="J639" s="1">
        <v>9315683290</v>
      </c>
      <c r="K639" s="1" t="s">
        <v>79</v>
      </c>
      <c r="L639" s="1" t="s">
        <v>11880</v>
      </c>
      <c r="M639" s="1" t="s">
        <v>81</v>
      </c>
      <c r="N639" s="1" t="s">
        <v>1950</v>
      </c>
      <c r="O639" s="1"/>
      <c r="P639" s="1" t="s">
        <v>1462</v>
      </c>
      <c r="Q639" s="1" t="s">
        <v>11881</v>
      </c>
      <c r="R639" s="1" t="s">
        <v>11882</v>
      </c>
      <c r="S639" s="1">
        <v>9350290844</v>
      </c>
      <c r="T639" s="1" t="s">
        <v>11883</v>
      </c>
      <c r="U639" s="1" t="s">
        <v>11884</v>
      </c>
      <c r="V639" s="1">
        <v>9810549827</v>
      </c>
      <c r="W639" s="1" t="s">
        <v>520</v>
      </c>
      <c r="X639" s="1" t="s">
        <v>11885</v>
      </c>
      <c r="Y639" s="1" t="s">
        <v>721</v>
      </c>
      <c r="Z639" s="1" t="s">
        <v>722</v>
      </c>
      <c r="AA639" s="1" t="s">
        <v>11885</v>
      </c>
      <c r="AB639" s="1" t="s">
        <v>721</v>
      </c>
      <c r="AC639" s="1" t="s">
        <v>722</v>
      </c>
      <c r="AD639" s="1">
        <v>9.18</v>
      </c>
      <c r="AE639" s="1" t="s">
        <v>93</v>
      </c>
      <c r="AF639" s="1" t="s">
        <v>11886</v>
      </c>
      <c r="AG639" s="1" t="s">
        <v>894</v>
      </c>
      <c r="AH639" s="1" t="s">
        <v>678</v>
      </c>
      <c r="AI639" s="1" t="s">
        <v>166</v>
      </c>
      <c r="AJ639" s="1">
        <v>73.4</v>
      </c>
      <c r="AK639" s="1"/>
      <c r="AL639" s="1" t="s">
        <v>11887</v>
      </c>
      <c r="AM639" s="1" t="s">
        <v>894</v>
      </c>
      <c r="AN639" s="1" t="s">
        <v>1065</v>
      </c>
      <c r="AO639" s="1" t="s">
        <v>173</v>
      </c>
      <c r="AP639" s="1">
        <v>84.2</v>
      </c>
      <c r="AQ639" s="1"/>
      <c r="AR639" s="1"/>
      <c r="AS639" s="1"/>
      <c r="AT639" s="1"/>
      <c r="AU639" s="1"/>
      <c r="AV639" s="1"/>
      <c r="AW639" s="1"/>
      <c r="AX639" s="1" t="s">
        <v>11888</v>
      </c>
      <c r="AY639" s="1" t="s">
        <v>11889</v>
      </c>
      <c r="AZ639" s="1" t="s">
        <v>681</v>
      </c>
      <c r="BA639" s="1" t="s">
        <v>1938</v>
      </c>
      <c r="BB639" s="1">
        <v>93.9</v>
      </c>
      <c r="BC639" s="1">
        <v>9.39</v>
      </c>
      <c r="BD639" s="1"/>
      <c r="BE639" s="1"/>
      <c r="BF639" s="1"/>
      <c r="BG639" s="1"/>
      <c r="BH639" s="1"/>
      <c r="BI639" s="1"/>
      <c r="BJ639" s="1" t="s">
        <v>11890</v>
      </c>
      <c r="BK639" s="1"/>
      <c r="BL639" s="1"/>
      <c r="BM639" s="1" t="s">
        <v>11891</v>
      </c>
      <c r="BN639" s="1">
        <v>33</v>
      </c>
      <c r="BO639" s="1" t="s">
        <v>11892</v>
      </c>
      <c r="BP639" s="1" t="str">
        <f>HYPERLINK("https://nconnect.nicmar.ac.in/storage/profile/ProfilePhoto_P25700601_924578.jpg","Download")</f>
        <v>0</v>
      </c>
      <c r="BQ639" s="3"/>
      <c r="BR639" s="3"/>
    </row>
    <row r="640" spans="1:70">
      <c r="A640" s="1" t="s">
        <v>70</v>
      </c>
      <c r="B640" s="1" t="s">
        <v>1269</v>
      </c>
      <c r="C640" s="1" t="s">
        <v>11893</v>
      </c>
      <c r="D640" s="1" t="s">
        <v>5510</v>
      </c>
      <c r="E640" s="1"/>
      <c r="F640" s="1" t="s">
        <v>835</v>
      </c>
      <c r="G640" s="1" t="s">
        <v>11894</v>
      </c>
      <c r="H640" s="1" t="s">
        <v>11895</v>
      </c>
      <c r="I640" s="1" t="s">
        <v>11896</v>
      </c>
      <c r="J640" s="1">
        <v>8103718673</v>
      </c>
      <c r="K640" s="1" t="s">
        <v>148</v>
      </c>
      <c r="L640" s="1" t="s">
        <v>11897</v>
      </c>
      <c r="M640" s="1" t="s">
        <v>81</v>
      </c>
      <c r="N640" s="1" t="s">
        <v>11898</v>
      </c>
      <c r="O640" s="1"/>
      <c r="P640" s="1" t="s">
        <v>1278</v>
      </c>
      <c r="Q640" s="1" t="s">
        <v>11899</v>
      </c>
      <c r="R640" s="1" t="s">
        <v>11900</v>
      </c>
      <c r="S640" s="1">
        <v>9406741911</v>
      </c>
      <c r="T640" s="1" t="s">
        <v>4566</v>
      </c>
      <c r="U640" s="1" t="s">
        <v>11901</v>
      </c>
      <c r="V640" s="1">
        <v>8450038475</v>
      </c>
      <c r="W640" s="1" t="s">
        <v>273</v>
      </c>
      <c r="X640" s="1" t="s">
        <v>11902</v>
      </c>
      <c r="Y640" s="1" t="s">
        <v>191</v>
      </c>
      <c r="Z640" s="1" t="s">
        <v>92</v>
      </c>
      <c r="AA640" s="1" t="s">
        <v>11903</v>
      </c>
      <c r="AB640" s="1" t="s">
        <v>10853</v>
      </c>
      <c r="AC640" s="1" t="s">
        <v>936</v>
      </c>
      <c r="AD640" s="1">
        <v>8.54</v>
      </c>
      <c r="AE640" s="1" t="s">
        <v>93</v>
      </c>
      <c r="AF640" s="1" t="s">
        <v>11904</v>
      </c>
      <c r="AG640" s="1" t="s">
        <v>11905</v>
      </c>
      <c r="AH640" s="1" t="s">
        <v>456</v>
      </c>
      <c r="AI640" s="1" t="s">
        <v>195</v>
      </c>
      <c r="AJ640" s="1">
        <v>64</v>
      </c>
      <c r="AK640" s="1"/>
      <c r="AL640" s="1" t="s">
        <v>11906</v>
      </c>
      <c r="AM640" s="1" t="s">
        <v>307</v>
      </c>
      <c r="AN640" s="1" t="s">
        <v>281</v>
      </c>
      <c r="AO640" s="1" t="s">
        <v>308</v>
      </c>
      <c r="AP640" s="1">
        <v>71</v>
      </c>
      <c r="AQ640" s="1"/>
      <c r="AR640" s="1"/>
      <c r="AS640" s="1"/>
      <c r="AT640" s="1"/>
      <c r="AU640" s="1"/>
      <c r="AV640" s="1"/>
      <c r="AW640" s="1"/>
      <c r="AX640" s="1" t="s">
        <v>2994</v>
      </c>
      <c r="AY640" s="1" t="s">
        <v>11907</v>
      </c>
      <c r="AZ640" s="1" t="s">
        <v>201</v>
      </c>
      <c r="BA640" s="1" t="s">
        <v>682</v>
      </c>
      <c r="BB640" s="1">
        <v>85.2</v>
      </c>
      <c r="BC640" s="1"/>
      <c r="BD640" s="1"/>
      <c r="BE640" s="1"/>
      <c r="BF640" s="1"/>
      <c r="BG640" s="1"/>
      <c r="BH640" s="1"/>
      <c r="BI640" s="1"/>
      <c r="BJ640" s="1" t="s">
        <v>11908</v>
      </c>
      <c r="BK640" s="1" t="s">
        <v>11909</v>
      </c>
      <c r="BL640" s="1" t="s">
        <v>4917</v>
      </c>
      <c r="BM640" s="1"/>
      <c r="BN640" s="1"/>
      <c r="BO640" s="1"/>
      <c r="BP640" s="1" t="str">
        <f>HYPERLINK("https://nconnect.nicmar.ac.in/storage/profile/ProfilePhoto_P25700602_218567.jpg","Download")</f>
        <v>0</v>
      </c>
      <c r="BQ640" s="3"/>
      <c r="BR640" s="3"/>
    </row>
    <row r="641" spans="1:70">
      <c r="A641" s="1" t="s">
        <v>70</v>
      </c>
      <c r="B641" s="1" t="s">
        <v>1269</v>
      </c>
      <c r="C641" s="1" t="s">
        <v>11910</v>
      </c>
      <c r="D641" s="1" t="s">
        <v>11911</v>
      </c>
      <c r="E641" s="1"/>
      <c r="F641" s="1" t="s">
        <v>3031</v>
      </c>
      <c r="G641" s="1" t="s">
        <v>11912</v>
      </c>
      <c r="H641" s="1" t="s">
        <v>11913</v>
      </c>
      <c r="I641" s="1" t="s">
        <v>11914</v>
      </c>
      <c r="J641" s="1">
        <v>7024373533</v>
      </c>
      <c r="K641" s="1" t="s">
        <v>79</v>
      </c>
      <c r="L641" s="1" t="s">
        <v>11915</v>
      </c>
      <c r="M641" s="1" t="s">
        <v>81</v>
      </c>
      <c r="N641" s="1" t="s">
        <v>5040</v>
      </c>
      <c r="O641" s="1"/>
      <c r="P641" s="1" t="s">
        <v>1298</v>
      </c>
      <c r="Q641" s="1" t="s">
        <v>11916</v>
      </c>
      <c r="R641" s="1" t="s">
        <v>11917</v>
      </c>
      <c r="S641" s="1">
        <v>7999628047</v>
      </c>
      <c r="T641" s="1" t="s">
        <v>7641</v>
      </c>
      <c r="U641" s="1" t="s">
        <v>11918</v>
      </c>
      <c r="V641" s="1">
        <v>9165549327</v>
      </c>
      <c r="W641" s="1" t="s">
        <v>156</v>
      </c>
      <c r="X641" s="1" t="s">
        <v>11919</v>
      </c>
      <c r="Y641" s="1" t="s">
        <v>11920</v>
      </c>
      <c r="Z641" s="1" t="s">
        <v>936</v>
      </c>
      <c r="AA641" s="1" t="s">
        <v>11919</v>
      </c>
      <c r="AB641" s="1" t="s">
        <v>11920</v>
      </c>
      <c r="AC641" s="1" t="s">
        <v>936</v>
      </c>
      <c r="AD641" s="1">
        <v>8.23</v>
      </c>
      <c r="AE641" s="1" t="s">
        <v>93</v>
      </c>
      <c r="AF641" s="1" t="s">
        <v>11921</v>
      </c>
      <c r="AG641" s="1" t="s">
        <v>11922</v>
      </c>
      <c r="AH641" s="1" t="s">
        <v>503</v>
      </c>
      <c r="AI641" s="1" t="s">
        <v>456</v>
      </c>
      <c r="AJ641" s="1">
        <v>77.9</v>
      </c>
      <c r="AK641" s="1">
        <v>8.2</v>
      </c>
      <c r="AL641" s="1" t="s">
        <v>11921</v>
      </c>
      <c r="AM641" s="1" t="s">
        <v>11922</v>
      </c>
      <c r="AN641" s="1" t="s">
        <v>678</v>
      </c>
      <c r="AO641" s="1" t="s">
        <v>281</v>
      </c>
      <c r="AP641" s="1">
        <v>72.2</v>
      </c>
      <c r="AQ641" s="1"/>
      <c r="AR641" s="1"/>
      <c r="AS641" s="1"/>
      <c r="AT641" s="1"/>
      <c r="AU641" s="1"/>
      <c r="AV641" s="1"/>
      <c r="AW641" s="1"/>
      <c r="AX641" s="1" t="s">
        <v>11923</v>
      </c>
      <c r="AY641" s="1" t="s">
        <v>11923</v>
      </c>
      <c r="AZ641" s="1" t="s">
        <v>636</v>
      </c>
      <c r="BA641" s="1" t="s">
        <v>1003</v>
      </c>
      <c r="BB641" s="1">
        <v>78.5</v>
      </c>
      <c r="BC641" s="1">
        <v>7.85</v>
      </c>
      <c r="BD641" s="1"/>
      <c r="BE641" s="1"/>
      <c r="BF641" s="1"/>
      <c r="BG641" s="1"/>
      <c r="BH641" s="1"/>
      <c r="BI641" s="1"/>
      <c r="BJ641" s="1" t="s">
        <v>364</v>
      </c>
      <c r="BK641" s="1"/>
      <c r="BL641" s="1"/>
      <c r="BM641" s="1" t="s">
        <v>11924</v>
      </c>
      <c r="BN641" s="1">
        <v>71</v>
      </c>
      <c r="BO641" s="1"/>
      <c r="BP641" s="1" t="str">
        <f>HYPERLINK("https://nconnect.nicmar.ac.in/storage/profile/ProfilePhoto_P25700603_281359.jpg","Download")</f>
        <v>0</v>
      </c>
      <c r="BQ641" s="3"/>
      <c r="BR641" s="3"/>
    </row>
    <row r="642" spans="1:70">
      <c r="A642" s="1" t="s">
        <v>70</v>
      </c>
      <c r="B642" s="1" t="s">
        <v>1269</v>
      </c>
      <c r="C642" s="1" t="s">
        <v>11925</v>
      </c>
      <c r="D642" s="1" t="s">
        <v>11926</v>
      </c>
      <c r="E642" s="1"/>
      <c r="F642" s="1" t="s">
        <v>11927</v>
      </c>
      <c r="G642" s="1" t="s">
        <v>11928</v>
      </c>
      <c r="H642" s="1" t="s">
        <v>11929</v>
      </c>
      <c r="I642" s="1" t="s">
        <v>11930</v>
      </c>
      <c r="J642" s="1">
        <v>9881552934</v>
      </c>
      <c r="K642" s="1" t="s">
        <v>148</v>
      </c>
      <c r="L642" s="1" t="s">
        <v>4945</v>
      </c>
      <c r="M642" s="1" t="s">
        <v>81</v>
      </c>
      <c r="N642" s="1" t="s">
        <v>6195</v>
      </c>
      <c r="O642" s="1"/>
      <c r="P642" s="1" t="s">
        <v>1298</v>
      </c>
      <c r="Q642" s="1" t="s">
        <v>11931</v>
      </c>
      <c r="R642" s="1" t="s">
        <v>11932</v>
      </c>
      <c r="S642" s="1">
        <v>8668851926</v>
      </c>
      <c r="T642" s="1" t="s">
        <v>122</v>
      </c>
      <c r="U642" s="1" t="s">
        <v>11933</v>
      </c>
      <c r="V642" s="1">
        <v>9850257734</v>
      </c>
      <c r="W642" s="1" t="s">
        <v>156</v>
      </c>
      <c r="X642" s="1" t="s">
        <v>11934</v>
      </c>
      <c r="Y642" s="1" t="s">
        <v>6375</v>
      </c>
      <c r="Z642" s="1" t="s">
        <v>92</v>
      </c>
      <c r="AA642" s="1" t="s">
        <v>11935</v>
      </c>
      <c r="AB642" s="1" t="s">
        <v>6375</v>
      </c>
      <c r="AC642" s="1" t="s">
        <v>92</v>
      </c>
      <c r="AD642" s="1">
        <v>8.8</v>
      </c>
      <c r="AE642" s="1" t="s">
        <v>93</v>
      </c>
      <c r="AF642" s="1" t="s">
        <v>11936</v>
      </c>
      <c r="AG642" s="1" t="s">
        <v>160</v>
      </c>
      <c r="AH642" s="1" t="s">
        <v>162</v>
      </c>
      <c r="AI642" s="1" t="s">
        <v>165</v>
      </c>
      <c r="AJ642" s="1">
        <v>96.4</v>
      </c>
      <c r="AK642" s="1"/>
      <c r="AL642" s="1" t="s">
        <v>11937</v>
      </c>
      <c r="AM642" s="1" t="s">
        <v>160</v>
      </c>
      <c r="AN642" s="1" t="s">
        <v>101</v>
      </c>
      <c r="AO642" s="1" t="s">
        <v>308</v>
      </c>
      <c r="AP642" s="1">
        <v>77.85</v>
      </c>
      <c r="AQ642" s="1"/>
      <c r="AR642" s="1"/>
      <c r="AS642" s="1"/>
      <c r="AT642" s="1"/>
      <c r="AU642" s="1"/>
      <c r="AV642" s="1"/>
      <c r="AW642" s="1"/>
      <c r="AX642" s="1" t="s">
        <v>253</v>
      </c>
      <c r="AY642" s="1" t="s">
        <v>11938</v>
      </c>
      <c r="AZ642" s="1" t="s">
        <v>310</v>
      </c>
      <c r="BA642" s="1" t="s">
        <v>682</v>
      </c>
      <c r="BB642" s="1">
        <v>67.7</v>
      </c>
      <c r="BC642" s="1">
        <v>7.52</v>
      </c>
      <c r="BD642" s="1"/>
      <c r="BE642" s="1"/>
      <c r="BF642" s="1"/>
      <c r="BG642" s="1"/>
      <c r="BH642" s="1"/>
      <c r="BI642" s="1"/>
      <c r="BJ642" s="1" t="s">
        <v>364</v>
      </c>
      <c r="BK642" s="1" t="s">
        <v>11939</v>
      </c>
      <c r="BL642" s="1" t="s">
        <v>2186</v>
      </c>
      <c r="BM642" s="1" t="s">
        <v>11940</v>
      </c>
      <c r="BN642" s="1">
        <v>8</v>
      </c>
      <c r="BO642" s="1"/>
      <c r="BP642" s="1" t="str">
        <f>HYPERLINK("https://nconnect.nicmar.ac.in/storage/profile/ProfilePhoto_P25700604_461283.jpg","Download")</f>
        <v>0</v>
      </c>
      <c r="BQ642" s="3"/>
      <c r="BR642" s="3"/>
    </row>
    <row r="643" spans="1:70">
      <c r="A643" s="1" t="s">
        <v>70</v>
      </c>
      <c r="B643" s="1" t="s">
        <v>1269</v>
      </c>
      <c r="C643" s="1" t="s">
        <v>11941</v>
      </c>
      <c r="D643" s="1" t="s">
        <v>11942</v>
      </c>
      <c r="E643" s="1" t="s">
        <v>11943</v>
      </c>
      <c r="F643" s="1" t="s">
        <v>11944</v>
      </c>
      <c r="G643" s="1" t="s">
        <v>11945</v>
      </c>
      <c r="H643" s="1" t="s">
        <v>11946</v>
      </c>
      <c r="I643" s="1" t="s">
        <v>11947</v>
      </c>
      <c r="J643" s="1">
        <v>9595924024</v>
      </c>
      <c r="K643" s="1" t="s">
        <v>79</v>
      </c>
      <c r="L643" s="1" t="s">
        <v>11948</v>
      </c>
      <c r="M643" s="1" t="s">
        <v>81</v>
      </c>
      <c r="N643" s="1" t="s">
        <v>2008</v>
      </c>
      <c r="O643" s="1"/>
      <c r="P643" s="1" t="s">
        <v>1278</v>
      </c>
      <c r="Q643" s="1" t="s">
        <v>11949</v>
      </c>
      <c r="R643" s="1" t="s">
        <v>11943</v>
      </c>
      <c r="S643" s="1">
        <v>9527599777</v>
      </c>
      <c r="T643" s="1" t="s">
        <v>496</v>
      </c>
      <c r="U643" s="1" t="s">
        <v>11950</v>
      </c>
      <c r="V643" s="1">
        <v>9850490299</v>
      </c>
      <c r="W643" s="1" t="s">
        <v>89</v>
      </c>
      <c r="X643" s="1" t="s">
        <v>11951</v>
      </c>
      <c r="Y643" s="1" t="s">
        <v>1174</v>
      </c>
      <c r="Z643" s="1" t="s">
        <v>92</v>
      </c>
      <c r="AA643" s="1" t="s">
        <v>11952</v>
      </c>
      <c r="AB643" s="1" t="s">
        <v>1174</v>
      </c>
      <c r="AC643" s="1" t="s">
        <v>92</v>
      </c>
      <c r="AD643" s="1">
        <v>9.11</v>
      </c>
      <c r="AE643" s="1" t="s">
        <v>93</v>
      </c>
      <c r="AF643" s="1" t="s">
        <v>11953</v>
      </c>
      <c r="AG643" s="1" t="s">
        <v>11954</v>
      </c>
      <c r="AH643" s="1" t="s">
        <v>503</v>
      </c>
      <c r="AI643" s="1" t="s">
        <v>527</v>
      </c>
      <c r="AJ643" s="1">
        <v>90.2</v>
      </c>
      <c r="AK643" s="1">
        <v>9.6</v>
      </c>
      <c r="AL643" s="1" t="s">
        <v>11955</v>
      </c>
      <c r="AM643" s="1" t="s">
        <v>11956</v>
      </c>
      <c r="AN643" s="1" t="s">
        <v>678</v>
      </c>
      <c r="AO643" s="1" t="s">
        <v>166</v>
      </c>
      <c r="AP643" s="1">
        <v>86.92</v>
      </c>
      <c r="AQ643" s="1">
        <v>0</v>
      </c>
      <c r="AR643" s="1"/>
      <c r="AS643" s="1"/>
      <c r="AT643" s="1"/>
      <c r="AU643" s="1"/>
      <c r="AV643" s="1"/>
      <c r="AW643" s="1"/>
      <c r="AX643" s="1" t="s">
        <v>361</v>
      </c>
      <c r="AY643" s="1" t="s">
        <v>11957</v>
      </c>
      <c r="AZ643" s="1" t="s">
        <v>636</v>
      </c>
      <c r="BA643" s="1" t="s">
        <v>105</v>
      </c>
      <c r="BB643" s="1">
        <v>83.5</v>
      </c>
      <c r="BC643" s="1">
        <v>9.49</v>
      </c>
      <c r="BD643" s="1"/>
      <c r="BE643" s="1"/>
      <c r="BF643" s="1"/>
      <c r="BG643" s="1"/>
      <c r="BH643" s="1"/>
      <c r="BI643" s="1"/>
      <c r="BJ643" s="1" t="s">
        <v>11958</v>
      </c>
      <c r="BK643" s="1"/>
      <c r="BL643" s="1"/>
      <c r="BM643" s="1" t="s">
        <v>11959</v>
      </c>
      <c r="BN643" s="1">
        <v>9</v>
      </c>
      <c r="BO643" s="1" t="s">
        <v>11960</v>
      </c>
      <c r="BP643" s="1" t="str">
        <f>HYPERLINK("https://nconnect.nicmar.ac.in/storage/profile/ProfilePhoto_P25700605_372681.jpg","Download")</f>
        <v>0</v>
      </c>
      <c r="BQ643" s="3"/>
      <c r="BR643" s="3"/>
    </row>
    <row r="644" spans="1:70">
      <c r="A644" s="1" t="s">
        <v>70</v>
      </c>
      <c r="B644" s="1" t="s">
        <v>1269</v>
      </c>
      <c r="C644" s="1" t="s">
        <v>11961</v>
      </c>
      <c r="D644" s="1" t="s">
        <v>10744</v>
      </c>
      <c r="E644" s="1" t="s">
        <v>11962</v>
      </c>
      <c r="F644" s="1" t="s">
        <v>9087</v>
      </c>
      <c r="G644" s="1" t="s">
        <v>11963</v>
      </c>
      <c r="H644" s="1" t="s">
        <v>11964</v>
      </c>
      <c r="I644" s="1" t="s">
        <v>11965</v>
      </c>
      <c r="J644" s="1">
        <v>7058530997</v>
      </c>
      <c r="K644" s="1" t="s">
        <v>79</v>
      </c>
      <c r="L644" s="1" t="s">
        <v>11966</v>
      </c>
      <c r="M644" s="1" t="s">
        <v>81</v>
      </c>
      <c r="N644" s="1" t="s">
        <v>1806</v>
      </c>
      <c r="O644" s="1"/>
      <c r="P644" s="1" t="s">
        <v>1766</v>
      </c>
      <c r="Q644" s="1" t="s">
        <v>11967</v>
      </c>
      <c r="R644" s="1" t="s">
        <v>11962</v>
      </c>
      <c r="S644" s="1">
        <v>9049642030</v>
      </c>
      <c r="T644" s="1" t="s">
        <v>11968</v>
      </c>
      <c r="U644" s="1" t="s">
        <v>11969</v>
      </c>
      <c r="V644" s="1">
        <v>9373523280</v>
      </c>
      <c r="W644" s="1" t="s">
        <v>156</v>
      </c>
      <c r="X644" s="1" t="s">
        <v>11970</v>
      </c>
      <c r="Y644" s="1" t="s">
        <v>379</v>
      </c>
      <c r="Z644" s="1" t="s">
        <v>92</v>
      </c>
      <c r="AA644" s="1" t="s">
        <v>11970</v>
      </c>
      <c r="AB644" s="1" t="s">
        <v>379</v>
      </c>
      <c r="AC644" s="1" t="s">
        <v>92</v>
      </c>
      <c r="AD644" s="1">
        <v>7.59</v>
      </c>
      <c r="AE644" s="1" t="s">
        <v>93</v>
      </c>
      <c r="AF644" s="1" t="s">
        <v>11971</v>
      </c>
      <c r="AG644" s="1" t="s">
        <v>455</v>
      </c>
      <c r="AH644" s="1" t="s">
        <v>1242</v>
      </c>
      <c r="AI644" s="1" t="s">
        <v>999</v>
      </c>
      <c r="AJ644" s="1">
        <v>64.8</v>
      </c>
      <c r="AK644" s="1"/>
      <c r="AL644" s="1"/>
      <c r="AM644" s="1"/>
      <c r="AN644" s="1"/>
      <c r="AO644" s="1"/>
      <c r="AP644" s="1"/>
      <c r="AQ644" s="1"/>
      <c r="AR644" s="1" t="s">
        <v>98</v>
      </c>
      <c r="AS644" s="1" t="s">
        <v>11972</v>
      </c>
      <c r="AT644" s="1" t="s">
        <v>1197</v>
      </c>
      <c r="AU644" s="1" t="s">
        <v>165</v>
      </c>
      <c r="AV644" s="1">
        <v>76.73</v>
      </c>
      <c r="AW644" s="1"/>
      <c r="AX644" s="1" t="s">
        <v>335</v>
      </c>
      <c r="AY644" s="1" t="s">
        <v>11973</v>
      </c>
      <c r="AZ644" s="1" t="s">
        <v>383</v>
      </c>
      <c r="BA644" s="1" t="s">
        <v>170</v>
      </c>
      <c r="BB644" s="1">
        <v>82.59</v>
      </c>
      <c r="BC644" s="1">
        <v>9</v>
      </c>
      <c r="BD644" s="1"/>
      <c r="BE644" s="1"/>
      <c r="BF644" s="1"/>
      <c r="BG644" s="1"/>
      <c r="BH644" s="1"/>
      <c r="BI644" s="1"/>
      <c r="BJ644" s="1" t="s">
        <v>11974</v>
      </c>
      <c r="BK644" s="1" t="s">
        <v>11975</v>
      </c>
      <c r="BL644" s="1" t="s">
        <v>1202</v>
      </c>
      <c r="BM644" s="1"/>
      <c r="BN644" s="1"/>
      <c r="BO644" s="1"/>
      <c r="BP644" s="1" t="str">
        <f>HYPERLINK("https://nconnect.nicmar.ac.in/storage/profile/ProfilePhoto_P25700606_536718.jpg","Download")</f>
        <v>0</v>
      </c>
      <c r="BQ644" s="3"/>
      <c r="BR644" s="3"/>
    </row>
    <row r="645" spans="1:70">
      <c r="A645" s="1" t="s">
        <v>70</v>
      </c>
      <c r="B645" s="1" t="s">
        <v>1269</v>
      </c>
      <c r="C645" s="1" t="s">
        <v>11976</v>
      </c>
      <c r="D645" s="1" t="s">
        <v>11977</v>
      </c>
      <c r="E645" s="1"/>
      <c r="F645" s="1" t="s">
        <v>11978</v>
      </c>
      <c r="G645" s="1" t="s">
        <v>11979</v>
      </c>
      <c r="H645" s="1" t="s">
        <v>11980</v>
      </c>
      <c r="I645" s="1" t="s">
        <v>11981</v>
      </c>
      <c r="J645" s="1">
        <v>8072589982</v>
      </c>
      <c r="K645" s="1" t="s">
        <v>79</v>
      </c>
      <c r="L645" s="1" t="s">
        <v>11982</v>
      </c>
      <c r="M645" s="1" t="s">
        <v>81</v>
      </c>
      <c r="N645" s="1" t="s">
        <v>11983</v>
      </c>
      <c r="O645" s="1"/>
      <c r="P645" s="1" t="s">
        <v>1278</v>
      </c>
      <c r="Q645" s="1" t="s">
        <v>11984</v>
      </c>
      <c r="R645" s="1" t="s">
        <v>11985</v>
      </c>
      <c r="S645" s="1">
        <v>9344603724</v>
      </c>
      <c r="T645" s="1" t="s">
        <v>842</v>
      </c>
      <c r="U645" s="1" t="s">
        <v>11986</v>
      </c>
      <c r="V645" s="1">
        <v>9486618674</v>
      </c>
      <c r="W645" s="1" t="s">
        <v>89</v>
      </c>
      <c r="X645" s="1" t="s">
        <v>11987</v>
      </c>
      <c r="Y645" s="1" t="s">
        <v>2925</v>
      </c>
      <c r="Z645" s="1" t="s">
        <v>1377</v>
      </c>
      <c r="AA645" s="1" t="s">
        <v>11987</v>
      </c>
      <c r="AB645" s="1" t="s">
        <v>2925</v>
      </c>
      <c r="AC645" s="1" t="s">
        <v>1377</v>
      </c>
      <c r="AD645" s="1">
        <v>8.21</v>
      </c>
      <c r="AE645" s="1" t="s">
        <v>93</v>
      </c>
      <c r="AF645" s="1" t="s">
        <v>11988</v>
      </c>
      <c r="AG645" s="1" t="s">
        <v>11989</v>
      </c>
      <c r="AH645" s="1" t="s">
        <v>101</v>
      </c>
      <c r="AI645" s="1" t="s">
        <v>1065</v>
      </c>
      <c r="AJ645" s="1">
        <v>85</v>
      </c>
      <c r="AK645" s="1">
        <v>8.5</v>
      </c>
      <c r="AL645" s="1" t="s">
        <v>11988</v>
      </c>
      <c r="AM645" s="1" t="s">
        <v>11989</v>
      </c>
      <c r="AN645" s="1" t="s">
        <v>699</v>
      </c>
      <c r="AO645" s="1" t="s">
        <v>3081</v>
      </c>
      <c r="AP645" s="1">
        <v>87.14</v>
      </c>
      <c r="AQ645" s="1">
        <v>8.71</v>
      </c>
      <c r="AR645" s="1"/>
      <c r="AS645" s="1"/>
      <c r="AT645" s="1"/>
      <c r="AU645" s="1"/>
      <c r="AV645" s="1"/>
      <c r="AW645" s="1"/>
      <c r="AX645" s="1" t="s">
        <v>7614</v>
      </c>
      <c r="AY645" s="1" t="s">
        <v>11990</v>
      </c>
      <c r="AZ645" s="1" t="s">
        <v>1131</v>
      </c>
      <c r="BA645" s="1" t="s">
        <v>1361</v>
      </c>
      <c r="BB645" s="1">
        <v>69.4</v>
      </c>
      <c r="BC645" s="1">
        <v>6.94</v>
      </c>
      <c r="BD645" s="1"/>
      <c r="BE645" s="1"/>
      <c r="BF645" s="1"/>
      <c r="BG645" s="1"/>
      <c r="BH645" s="1"/>
      <c r="BI645" s="1"/>
      <c r="BJ645" s="1" t="s">
        <v>255</v>
      </c>
      <c r="BK645" s="1"/>
      <c r="BL645" s="1"/>
      <c r="BM645" s="1" t="s">
        <v>11991</v>
      </c>
      <c r="BN645" s="1">
        <v>28</v>
      </c>
      <c r="BO645" s="1" t="s">
        <v>11992</v>
      </c>
      <c r="BP645" s="1" t="str">
        <f>HYPERLINK("https://nconnect.nicmar.ac.in/storage/profile/ProfilePhoto_P25700607_719423.jpg","Download")</f>
        <v>0</v>
      </c>
      <c r="BQ645" s="3"/>
      <c r="BR645" s="3"/>
    </row>
    <row r="646" spans="1:70">
      <c r="A646" s="1" t="s">
        <v>70</v>
      </c>
      <c r="B646" s="1" t="s">
        <v>1269</v>
      </c>
      <c r="C646" s="1" t="s">
        <v>11993</v>
      </c>
      <c r="D646" s="1" t="s">
        <v>11994</v>
      </c>
      <c r="E646" s="1"/>
      <c r="F646" s="1" t="s">
        <v>11995</v>
      </c>
      <c r="G646" s="1" t="s">
        <v>11996</v>
      </c>
      <c r="H646" s="1" t="s">
        <v>11997</v>
      </c>
      <c r="I646" s="1" t="s">
        <v>11998</v>
      </c>
      <c r="J646" s="1">
        <v>9701015631</v>
      </c>
      <c r="K646" s="1" t="s">
        <v>148</v>
      </c>
      <c r="L646" s="1" t="s">
        <v>954</v>
      </c>
      <c r="M646" s="1" t="s">
        <v>81</v>
      </c>
      <c r="N646" s="1" t="s">
        <v>11999</v>
      </c>
      <c r="O646" s="1"/>
      <c r="P646" s="1" t="s">
        <v>1323</v>
      </c>
      <c r="Q646" s="1" t="s">
        <v>12000</v>
      </c>
      <c r="R646" s="1" t="s">
        <v>12001</v>
      </c>
      <c r="S646" s="1">
        <v>7013121544</v>
      </c>
      <c r="T646" s="1" t="s">
        <v>12002</v>
      </c>
      <c r="U646" s="1" t="s">
        <v>12003</v>
      </c>
      <c r="V646" s="1">
        <v>7093221478</v>
      </c>
      <c r="W646" s="1" t="s">
        <v>12004</v>
      </c>
      <c r="X646" s="1" t="s">
        <v>12005</v>
      </c>
      <c r="Y646" s="1" t="s">
        <v>1150</v>
      </c>
      <c r="Z646" s="1" t="s">
        <v>276</v>
      </c>
      <c r="AA646" s="1" t="s">
        <v>12005</v>
      </c>
      <c r="AB646" s="1" t="s">
        <v>1150</v>
      </c>
      <c r="AC646" s="1" t="s">
        <v>276</v>
      </c>
      <c r="AD646" s="1">
        <v>8.44</v>
      </c>
      <c r="AE646" s="1" t="s">
        <v>93</v>
      </c>
      <c r="AF646" s="1" t="s">
        <v>12006</v>
      </c>
      <c r="AG646" s="1" t="s">
        <v>939</v>
      </c>
      <c r="AH646" s="1" t="s">
        <v>165</v>
      </c>
      <c r="AI646" s="1" t="s">
        <v>281</v>
      </c>
      <c r="AJ646" s="1">
        <v>85</v>
      </c>
      <c r="AK646" s="1"/>
      <c r="AL646" s="1" t="s">
        <v>612</v>
      </c>
      <c r="AM646" s="1" t="s">
        <v>2245</v>
      </c>
      <c r="AN646" s="1" t="s">
        <v>101</v>
      </c>
      <c r="AO646" s="1" t="s">
        <v>941</v>
      </c>
      <c r="AP646" s="1">
        <v>71.9</v>
      </c>
      <c r="AQ646" s="1">
        <v>8.03</v>
      </c>
      <c r="AR646" s="1"/>
      <c r="AS646" s="1"/>
      <c r="AT646" s="1"/>
      <c r="AU646" s="1"/>
      <c r="AV646" s="1"/>
      <c r="AW646" s="1"/>
      <c r="AX646" s="1" t="s">
        <v>12007</v>
      </c>
      <c r="AY646" s="1" t="s">
        <v>12008</v>
      </c>
      <c r="AZ646" s="1" t="s">
        <v>228</v>
      </c>
      <c r="BA646" s="1" t="s">
        <v>202</v>
      </c>
      <c r="BB646" s="1">
        <v>82.6</v>
      </c>
      <c r="BC646" s="1">
        <v>8.26</v>
      </c>
      <c r="BD646" s="1"/>
      <c r="BE646" s="1"/>
      <c r="BF646" s="1"/>
      <c r="BG646" s="1"/>
      <c r="BH646" s="1"/>
      <c r="BI646" s="1"/>
      <c r="BJ646" s="1" t="s">
        <v>1383</v>
      </c>
      <c r="BK646" s="1"/>
      <c r="BL646" s="1"/>
      <c r="BM646" s="1" t="s">
        <v>12009</v>
      </c>
      <c r="BN646" s="1">
        <v>13</v>
      </c>
      <c r="BO646" s="1"/>
      <c r="BP646" s="1" t="str">
        <f>HYPERLINK("https://nconnect.nicmar.ac.in/storage/profile/ProfilePhoto_P25700608_264975.jpg","Download")</f>
        <v>0</v>
      </c>
      <c r="BQ646" s="3"/>
      <c r="BR646" s="3"/>
    </row>
    <row r="647" spans="1:70">
      <c r="A647" s="1" t="s">
        <v>70</v>
      </c>
      <c r="B647" s="1" t="s">
        <v>1269</v>
      </c>
      <c r="C647" s="1" t="s">
        <v>12010</v>
      </c>
      <c r="D647" s="1" t="s">
        <v>643</v>
      </c>
      <c r="E647" s="1" t="s">
        <v>12011</v>
      </c>
      <c r="F647" s="1" t="s">
        <v>1039</v>
      </c>
      <c r="G647" s="1" t="s">
        <v>12012</v>
      </c>
      <c r="H647" s="1" t="s">
        <v>12013</v>
      </c>
      <c r="I647" s="1" t="s">
        <v>12014</v>
      </c>
      <c r="J647" s="1">
        <v>8691967130</v>
      </c>
      <c r="K647" s="1" t="s">
        <v>79</v>
      </c>
      <c r="L647" s="1" t="s">
        <v>2875</v>
      </c>
      <c r="M647" s="1" t="s">
        <v>81</v>
      </c>
      <c r="N647" s="1" t="s">
        <v>1418</v>
      </c>
      <c r="O647" s="1"/>
      <c r="P647" s="1" t="s">
        <v>1298</v>
      </c>
      <c r="Q647" s="1" t="s">
        <v>12015</v>
      </c>
      <c r="R647" s="1" t="s">
        <v>12016</v>
      </c>
      <c r="S647" s="1">
        <v>9869396814</v>
      </c>
      <c r="T647" s="1" t="s">
        <v>976</v>
      </c>
      <c r="U647" s="1" t="s">
        <v>12017</v>
      </c>
      <c r="V647" s="1">
        <v>9869650711</v>
      </c>
      <c r="W647" s="1" t="s">
        <v>156</v>
      </c>
      <c r="X647" s="1" t="s">
        <v>12018</v>
      </c>
      <c r="Y647" s="1" t="s">
        <v>766</v>
      </c>
      <c r="Z647" s="1" t="s">
        <v>92</v>
      </c>
      <c r="AA647" s="1" t="s">
        <v>12018</v>
      </c>
      <c r="AB647" s="1" t="s">
        <v>766</v>
      </c>
      <c r="AC647" s="1" t="s">
        <v>92</v>
      </c>
      <c r="AD647" s="1">
        <v>8.55</v>
      </c>
      <c r="AE647" s="1" t="s">
        <v>93</v>
      </c>
      <c r="AF647" s="1" t="s">
        <v>7732</v>
      </c>
      <c r="AG647" s="1" t="s">
        <v>12019</v>
      </c>
      <c r="AH647" s="1" t="s">
        <v>479</v>
      </c>
      <c r="AI647" s="1" t="s">
        <v>166</v>
      </c>
      <c r="AJ647" s="1">
        <v>79.2</v>
      </c>
      <c r="AK647" s="1"/>
      <c r="AL647" s="1" t="s">
        <v>7732</v>
      </c>
      <c r="AM647" s="1" t="s">
        <v>12019</v>
      </c>
      <c r="AN647" s="1" t="s">
        <v>310</v>
      </c>
      <c r="AO647" s="1" t="s">
        <v>173</v>
      </c>
      <c r="AP647" s="1">
        <v>77</v>
      </c>
      <c r="AQ647" s="1"/>
      <c r="AR647" s="1"/>
      <c r="AS647" s="1"/>
      <c r="AT647" s="1"/>
      <c r="AU647" s="1"/>
      <c r="AV647" s="1"/>
      <c r="AW647" s="1"/>
      <c r="AX647" s="1" t="s">
        <v>1024</v>
      </c>
      <c r="AY647" s="1" t="s">
        <v>12020</v>
      </c>
      <c r="AZ647" s="1" t="s">
        <v>173</v>
      </c>
      <c r="BA647" s="1" t="s">
        <v>1938</v>
      </c>
      <c r="BB647" s="1">
        <v>72.61</v>
      </c>
      <c r="BC647" s="1">
        <v>8.2</v>
      </c>
      <c r="BD647" s="1"/>
      <c r="BE647" s="1"/>
      <c r="BF647" s="1"/>
      <c r="BG647" s="1"/>
      <c r="BH647" s="1"/>
      <c r="BI647" s="1"/>
      <c r="BJ647" s="1" t="s">
        <v>12021</v>
      </c>
      <c r="BK647" s="1"/>
      <c r="BL647" s="1"/>
      <c r="BM647" s="1" t="s">
        <v>12022</v>
      </c>
      <c r="BN647" s="1">
        <v>25</v>
      </c>
      <c r="BO647" s="1" t="s">
        <v>12023</v>
      </c>
      <c r="BP647" s="1" t="str">
        <f>HYPERLINK("https://nconnect.nicmar.ac.in/storage/profile/ProfilePhoto_P25700609_852341.jpg","Download")</f>
        <v>0</v>
      </c>
      <c r="BQ647" s="3"/>
      <c r="BR647" s="3"/>
    </row>
    <row r="648" spans="1:70">
      <c r="A648" s="1" t="s">
        <v>70</v>
      </c>
      <c r="B648" s="1" t="s">
        <v>1269</v>
      </c>
      <c r="C648" s="1" t="s">
        <v>12024</v>
      </c>
      <c r="D648" s="1" t="s">
        <v>12025</v>
      </c>
      <c r="E648" s="1" t="s">
        <v>12026</v>
      </c>
      <c r="F648" s="1" t="s">
        <v>12027</v>
      </c>
      <c r="G648" s="1" t="s">
        <v>12028</v>
      </c>
      <c r="H648" s="1" t="s">
        <v>12029</v>
      </c>
      <c r="I648" s="1" t="s">
        <v>12030</v>
      </c>
      <c r="J648" s="1">
        <v>9766213841</v>
      </c>
      <c r="K648" s="1" t="s">
        <v>79</v>
      </c>
      <c r="L648" s="1" t="s">
        <v>12031</v>
      </c>
      <c r="M648" s="1" t="s">
        <v>81</v>
      </c>
      <c r="N648" s="1" t="s">
        <v>1765</v>
      </c>
      <c r="O648" s="1"/>
      <c r="P648" s="1" t="s">
        <v>1298</v>
      </c>
      <c r="Q648" s="1" t="s">
        <v>12032</v>
      </c>
      <c r="R648" s="1" t="s">
        <v>12026</v>
      </c>
      <c r="S648" s="1">
        <v>1234567890</v>
      </c>
      <c r="T648" s="1" t="s">
        <v>12033</v>
      </c>
      <c r="U648" s="1" t="s">
        <v>12034</v>
      </c>
      <c r="V648" s="1">
        <v>1234567890</v>
      </c>
      <c r="W648" s="1" t="s">
        <v>12033</v>
      </c>
      <c r="X648" s="1" t="s">
        <v>12035</v>
      </c>
      <c r="Y648" s="1" t="s">
        <v>5064</v>
      </c>
      <c r="Z648" s="1" t="s">
        <v>92</v>
      </c>
      <c r="AA648" s="1" t="s">
        <v>12035</v>
      </c>
      <c r="AB648" s="1" t="s">
        <v>5064</v>
      </c>
      <c r="AC648" s="1" t="s">
        <v>92</v>
      </c>
      <c r="AD648" s="1">
        <v>8.03</v>
      </c>
      <c r="AE648" s="1" t="s">
        <v>93</v>
      </c>
      <c r="AF648" s="1" t="s">
        <v>12036</v>
      </c>
      <c r="AG648" s="1" t="s">
        <v>476</v>
      </c>
      <c r="AH648" s="1" t="s">
        <v>128</v>
      </c>
      <c r="AI648" s="1" t="s">
        <v>1242</v>
      </c>
      <c r="AJ648" s="1">
        <v>68.8</v>
      </c>
      <c r="AK648" s="1"/>
      <c r="AL648" s="1" t="s">
        <v>12037</v>
      </c>
      <c r="AM648" s="1" t="s">
        <v>476</v>
      </c>
      <c r="AN648" s="1" t="s">
        <v>96</v>
      </c>
      <c r="AO648" s="1" t="s">
        <v>12038</v>
      </c>
      <c r="AP648" s="1">
        <v>53.38</v>
      </c>
      <c r="AQ648" s="1"/>
      <c r="AR648" s="1" t="s">
        <v>98</v>
      </c>
      <c r="AS648" s="1" t="s">
        <v>12039</v>
      </c>
      <c r="AT648" s="1" t="s">
        <v>100</v>
      </c>
      <c r="AU648" s="1" t="s">
        <v>165</v>
      </c>
      <c r="AV648" s="1">
        <v>69.76</v>
      </c>
      <c r="AW648" s="1"/>
      <c r="AX648" s="1" t="s">
        <v>253</v>
      </c>
      <c r="AY648" s="1" t="s">
        <v>12039</v>
      </c>
      <c r="AZ648" s="1" t="s">
        <v>383</v>
      </c>
      <c r="BA648" s="1" t="s">
        <v>941</v>
      </c>
      <c r="BB648" s="1">
        <v>64.46</v>
      </c>
      <c r="BC648" s="1">
        <v>7.09</v>
      </c>
      <c r="BD648" s="1"/>
      <c r="BE648" s="1"/>
      <c r="BF648" s="1"/>
      <c r="BG648" s="1"/>
      <c r="BH648" s="1"/>
      <c r="BI648" s="1"/>
      <c r="BJ648" s="1" t="s">
        <v>1383</v>
      </c>
      <c r="BK648" s="1" t="s">
        <v>12040</v>
      </c>
      <c r="BL648" s="1" t="s">
        <v>12041</v>
      </c>
      <c r="BM648" s="1" t="s">
        <v>12042</v>
      </c>
      <c r="BN648" s="1">
        <v>19</v>
      </c>
      <c r="BO648" s="1" t="s">
        <v>12043</v>
      </c>
      <c r="BP648" s="1" t="str">
        <f>HYPERLINK("https://nconnect.nicmar.ac.in/storage/profile/ProfilePhoto_P25700610_143892.jpg","Download")</f>
        <v>0</v>
      </c>
      <c r="BQ648" s="3"/>
      <c r="BR648" s="3"/>
    </row>
    <row r="649" spans="1:70">
      <c r="A649" s="1" t="s">
        <v>70</v>
      </c>
      <c r="B649" s="1" t="s">
        <v>1269</v>
      </c>
      <c r="C649" s="1" t="s">
        <v>12044</v>
      </c>
      <c r="D649" s="1" t="s">
        <v>5563</v>
      </c>
      <c r="E649" s="1" t="s">
        <v>1546</v>
      </c>
      <c r="F649" s="1" t="s">
        <v>12045</v>
      </c>
      <c r="G649" s="1" t="s">
        <v>12046</v>
      </c>
      <c r="H649" s="1" t="s">
        <v>12047</v>
      </c>
      <c r="I649" s="1" t="s">
        <v>12048</v>
      </c>
      <c r="J649" s="1">
        <v>9326356991</v>
      </c>
      <c r="K649" s="1" t="s">
        <v>79</v>
      </c>
      <c r="L649" s="1" t="s">
        <v>7428</v>
      </c>
      <c r="M649" s="1" t="s">
        <v>81</v>
      </c>
      <c r="N649" s="1" t="s">
        <v>860</v>
      </c>
      <c r="O649" s="1"/>
      <c r="P649" s="1" t="s">
        <v>1278</v>
      </c>
      <c r="Q649" s="1" t="s">
        <v>12049</v>
      </c>
      <c r="R649" s="1" t="s">
        <v>12050</v>
      </c>
      <c r="S649" s="1">
        <v>9699998901</v>
      </c>
      <c r="T649" s="1" t="s">
        <v>496</v>
      </c>
      <c r="U649" s="1" t="s">
        <v>12051</v>
      </c>
      <c r="V649" s="1">
        <v>8080998901</v>
      </c>
      <c r="W649" s="1" t="s">
        <v>89</v>
      </c>
      <c r="X649" s="1" t="s">
        <v>12052</v>
      </c>
      <c r="Y649" s="1" t="s">
        <v>1623</v>
      </c>
      <c r="Z649" s="1" t="s">
        <v>92</v>
      </c>
      <c r="AA649" s="1" t="s">
        <v>12052</v>
      </c>
      <c r="AB649" s="1" t="s">
        <v>1623</v>
      </c>
      <c r="AC649" s="1" t="s">
        <v>92</v>
      </c>
      <c r="AD649" s="1">
        <v>8.93</v>
      </c>
      <c r="AE649" s="1" t="s">
        <v>93</v>
      </c>
      <c r="AF649" s="1" t="s">
        <v>12053</v>
      </c>
      <c r="AG649" s="1" t="s">
        <v>12054</v>
      </c>
      <c r="AH649" s="1" t="s">
        <v>165</v>
      </c>
      <c r="AI649" s="1" t="s">
        <v>281</v>
      </c>
      <c r="AJ649" s="1">
        <v>82.8</v>
      </c>
      <c r="AK649" s="1"/>
      <c r="AL649" s="1" t="s">
        <v>12055</v>
      </c>
      <c r="AM649" s="1" t="s">
        <v>12054</v>
      </c>
      <c r="AN649" s="1" t="s">
        <v>433</v>
      </c>
      <c r="AO649" s="1" t="s">
        <v>360</v>
      </c>
      <c r="AP649" s="1">
        <v>73.38</v>
      </c>
      <c r="AQ649" s="1"/>
      <c r="AR649" s="1"/>
      <c r="AS649" s="1"/>
      <c r="AT649" s="1"/>
      <c r="AU649" s="1"/>
      <c r="AV649" s="1"/>
      <c r="AW649" s="1"/>
      <c r="AX649" s="1" t="s">
        <v>253</v>
      </c>
      <c r="AY649" s="1" t="s">
        <v>12056</v>
      </c>
      <c r="AZ649" s="1" t="s">
        <v>681</v>
      </c>
      <c r="BA649" s="1" t="s">
        <v>413</v>
      </c>
      <c r="BB649" s="1">
        <v>74.18</v>
      </c>
      <c r="BC649" s="1">
        <v>8.14</v>
      </c>
      <c r="BD649" s="1"/>
      <c r="BE649" s="1"/>
      <c r="BF649" s="1"/>
      <c r="BG649" s="1"/>
      <c r="BH649" s="1"/>
      <c r="BI649" s="1"/>
      <c r="BJ649" s="1" t="s">
        <v>1383</v>
      </c>
      <c r="BK649" s="1" t="s">
        <v>12057</v>
      </c>
      <c r="BL649" s="1" t="s">
        <v>484</v>
      </c>
      <c r="BM649" s="1" t="s">
        <v>12058</v>
      </c>
      <c r="BN649" s="1">
        <v>4</v>
      </c>
      <c r="BO649" s="1"/>
      <c r="BP649" s="1" t="str">
        <f>HYPERLINK("https://nconnect.nicmar.ac.in/storage/profile/ProfilePhoto_P25700611_842917.jpg","Download")</f>
        <v>0</v>
      </c>
      <c r="BQ649" s="3"/>
      <c r="BR649" s="3"/>
    </row>
    <row r="650" spans="1:70">
      <c r="A650" s="1" t="s">
        <v>70</v>
      </c>
      <c r="B650" s="1" t="s">
        <v>1269</v>
      </c>
      <c r="C650" s="1" t="s">
        <v>12059</v>
      </c>
      <c r="D650" s="1" t="s">
        <v>12060</v>
      </c>
      <c r="E650" s="1" t="s">
        <v>12061</v>
      </c>
      <c r="F650" s="1" t="s">
        <v>12062</v>
      </c>
      <c r="G650" s="1" t="s">
        <v>12063</v>
      </c>
      <c r="H650" s="1" t="s">
        <v>12064</v>
      </c>
      <c r="I650" s="1" t="s">
        <v>12065</v>
      </c>
      <c r="J650" s="1">
        <v>8097090016</v>
      </c>
      <c r="K650" s="1" t="s">
        <v>79</v>
      </c>
      <c r="L650" s="1" t="s">
        <v>8148</v>
      </c>
      <c r="M650" s="1" t="s">
        <v>81</v>
      </c>
      <c r="N650" s="1" t="s">
        <v>860</v>
      </c>
      <c r="O650" s="1"/>
      <c r="P650" s="1" t="s">
        <v>1298</v>
      </c>
      <c r="Q650" s="1" t="s">
        <v>12066</v>
      </c>
      <c r="R650" s="1" t="s">
        <v>12067</v>
      </c>
      <c r="S650" s="1">
        <v>7498231439</v>
      </c>
      <c r="T650" s="1" t="s">
        <v>7415</v>
      </c>
      <c r="U650" s="1" t="s">
        <v>12068</v>
      </c>
      <c r="V650" s="1">
        <v>8830604681</v>
      </c>
      <c r="W650" s="1" t="s">
        <v>273</v>
      </c>
      <c r="X650" s="1" t="s">
        <v>12069</v>
      </c>
      <c r="Y650" s="1" t="s">
        <v>766</v>
      </c>
      <c r="Z650" s="1" t="s">
        <v>92</v>
      </c>
      <c r="AA650" s="1" t="s">
        <v>12069</v>
      </c>
      <c r="AB650" s="1" t="s">
        <v>766</v>
      </c>
      <c r="AC650" s="1" t="s">
        <v>92</v>
      </c>
      <c r="AD650" s="1">
        <v>9.17</v>
      </c>
      <c r="AE650" s="1" t="s">
        <v>93</v>
      </c>
      <c r="AF650" s="1" t="s">
        <v>12070</v>
      </c>
      <c r="AG650" s="1" t="s">
        <v>1665</v>
      </c>
      <c r="AH650" s="1" t="s">
        <v>678</v>
      </c>
      <c r="AI650" s="1" t="s">
        <v>166</v>
      </c>
      <c r="AJ650" s="1">
        <v>62</v>
      </c>
      <c r="AK650" s="1"/>
      <c r="AL650" s="1" t="s">
        <v>12071</v>
      </c>
      <c r="AM650" s="1" t="s">
        <v>1665</v>
      </c>
      <c r="AN650" s="1" t="s">
        <v>1065</v>
      </c>
      <c r="AO650" s="1" t="s">
        <v>173</v>
      </c>
      <c r="AP650" s="1">
        <v>68</v>
      </c>
      <c r="AQ650" s="1"/>
      <c r="AR650" s="1"/>
      <c r="AS650" s="1"/>
      <c r="AT650" s="1"/>
      <c r="AU650" s="1"/>
      <c r="AV650" s="1"/>
      <c r="AW650" s="1"/>
      <c r="AX650" s="1" t="s">
        <v>1024</v>
      </c>
      <c r="AY650" s="1" t="s">
        <v>12072</v>
      </c>
      <c r="AZ650" s="1" t="s">
        <v>363</v>
      </c>
      <c r="BA650" s="1" t="s">
        <v>1938</v>
      </c>
      <c r="BB650" s="1">
        <v>73.97</v>
      </c>
      <c r="BC650" s="1">
        <v>8.22</v>
      </c>
      <c r="BD650" s="1"/>
      <c r="BE650" s="1"/>
      <c r="BF650" s="1"/>
      <c r="BG650" s="1"/>
      <c r="BH650" s="1"/>
      <c r="BI650" s="1"/>
      <c r="BJ650" s="1" t="s">
        <v>12073</v>
      </c>
      <c r="BK650" s="1"/>
      <c r="BL650" s="1"/>
      <c r="BM650" s="1" t="s">
        <v>12074</v>
      </c>
      <c r="BN650" s="1">
        <v>121</v>
      </c>
      <c r="BO650" s="1" t="s">
        <v>12075</v>
      </c>
      <c r="BP650" s="1" t="str">
        <f>HYPERLINK("https://nconnect.nicmar.ac.in/storage/profile/ProfilePhoto_P25700612_964275.jpg","Download")</f>
        <v>0</v>
      </c>
      <c r="BQ650" s="3"/>
      <c r="BR650" s="3"/>
    </row>
    <row r="651" spans="1:70">
      <c r="A651" s="1" t="s">
        <v>70</v>
      </c>
      <c r="B651" s="1" t="s">
        <v>1269</v>
      </c>
      <c r="C651" s="1" t="s">
        <v>12076</v>
      </c>
      <c r="D651" s="1" t="s">
        <v>12077</v>
      </c>
      <c r="E651" s="1"/>
      <c r="F651" s="1" t="s">
        <v>3575</v>
      </c>
      <c r="G651" s="1" t="s">
        <v>12078</v>
      </c>
      <c r="H651" s="1" t="s">
        <v>12079</v>
      </c>
      <c r="I651" s="1" t="s">
        <v>12080</v>
      </c>
      <c r="J651" s="1">
        <v>9345734480</v>
      </c>
      <c r="K651" s="1" t="s">
        <v>148</v>
      </c>
      <c r="L651" s="1" t="s">
        <v>6810</v>
      </c>
      <c r="M651" s="1" t="s">
        <v>81</v>
      </c>
      <c r="N651" s="1" t="s">
        <v>12081</v>
      </c>
      <c r="O651" s="1"/>
      <c r="P651" s="1" t="s">
        <v>1323</v>
      </c>
      <c r="Q651" s="1" t="s">
        <v>12082</v>
      </c>
      <c r="R651" s="1" t="s">
        <v>12083</v>
      </c>
      <c r="S651" s="1">
        <v>9443622246</v>
      </c>
      <c r="T651" s="1" t="s">
        <v>1398</v>
      </c>
      <c r="U651" s="1" t="s">
        <v>12084</v>
      </c>
      <c r="V651" s="1">
        <v>8072537791</v>
      </c>
      <c r="W651" s="1" t="s">
        <v>651</v>
      </c>
      <c r="X651" s="1" t="s">
        <v>12085</v>
      </c>
      <c r="Y651" s="1" t="s">
        <v>9642</v>
      </c>
      <c r="Z651" s="1" t="s">
        <v>1377</v>
      </c>
      <c r="AA651" s="1" t="s">
        <v>12085</v>
      </c>
      <c r="AB651" s="1" t="s">
        <v>9642</v>
      </c>
      <c r="AC651" s="1" t="s">
        <v>1377</v>
      </c>
      <c r="AD651" s="1">
        <v>9.08</v>
      </c>
      <c r="AE651" s="1" t="s">
        <v>93</v>
      </c>
      <c r="AF651" s="1" t="s">
        <v>12086</v>
      </c>
      <c r="AG651" s="1" t="s">
        <v>12087</v>
      </c>
      <c r="AH651" s="1" t="s">
        <v>165</v>
      </c>
      <c r="AI651" s="1" t="s">
        <v>166</v>
      </c>
      <c r="AJ651" s="1">
        <v>92.2</v>
      </c>
      <c r="AK651" s="1"/>
      <c r="AL651" s="1" t="s">
        <v>12086</v>
      </c>
      <c r="AM651" s="1" t="s">
        <v>12087</v>
      </c>
      <c r="AN651" s="1" t="s">
        <v>433</v>
      </c>
      <c r="AO651" s="1" t="s">
        <v>941</v>
      </c>
      <c r="AP651" s="1">
        <v>74.83</v>
      </c>
      <c r="AQ651" s="1"/>
      <c r="AR651" s="1"/>
      <c r="AS651" s="1"/>
      <c r="AT651" s="1"/>
      <c r="AU651" s="1"/>
      <c r="AV651" s="1"/>
      <c r="AW651" s="1"/>
      <c r="AX651" s="1" t="s">
        <v>12088</v>
      </c>
      <c r="AY651" s="1" t="s">
        <v>12088</v>
      </c>
      <c r="AZ651" s="1" t="s">
        <v>2461</v>
      </c>
      <c r="BA651" s="1" t="s">
        <v>1938</v>
      </c>
      <c r="BB651" s="1">
        <v>73.8</v>
      </c>
      <c r="BC651" s="1">
        <v>7.38</v>
      </c>
      <c r="BD651" s="1"/>
      <c r="BE651" s="1"/>
      <c r="BF651" s="1"/>
      <c r="BG651" s="1"/>
      <c r="BH651" s="1"/>
      <c r="BI651" s="1"/>
      <c r="BJ651" s="1" t="s">
        <v>12089</v>
      </c>
      <c r="BK651" s="1" t="s">
        <v>12090</v>
      </c>
      <c r="BL651" s="1" t="s">
        <v>484</v>
      </c>
      <c r="BM651" s="1" t="s">
        <v>12091</v>
      </c>
      <c r="BN651" s="1">
        <v>22</v>
      </c>
      <c r="BO651" s="1" t="s">
        <v>12092</v>
      </c>
      <c r="BP651" s="1" t="str">
        <f>HYPERLINK("https://nconnect.nicmar.ac.in/storage/profile/ProfilePhoto_P25700613_197586.jpg","Download")</f>
        <v>0</v>
      </c>
      <c r="BQ651" s="3"/>
      <c r="BR651" s="3"/>
    </row>
    <row r="652" spans="1:70">
      <c r="A652" s="1" t="s">
        <v>70</v>
      </c>
      <c r="B652" s="1" t="s">
        <v>1269</v>
      </c>
      <c r="C652" s="1" t="s">
        <v>12093</v>
      </c>
      <c r="D652" s="1" t="s">
        <v>1740</v>
      </c>
      <c r="E652" s="1"/>
      <c r="F652" s="1" t="s">
        <v>12094</v>
      </c>
      <c r="G652" s="1" t="s">
        <v>12095</v>
      </c>
      <c r="H652" s="1" t="s">
        <v>12096</v>
      </c>
      <c r="I652" s="1" t="s">
        <v>12097</v>
      </c>
      <c r="J652" s="1">
        <v>8103077636</v>
      </c>
      <c r="K652" s="1" t="s">
        <v>79</v>
      </c>
      <c r="L652" s="1" t="s">
        <v>12098</v>
      </c>
      <c r="M652" s="1" t="s">
        <v>81</v>
      </c>
      <c r="N652" s="1" t="s">
        <v>12099</v>
      </c>
      <c r="O652" s="1"/>
      <c r="P652" s="1" t="s">
        <v>1323</v>
      </c>
      <c r="Q652" s="1" t="s">
        <v>12100</v>
      </c>
      <c r="R652" s="1" t="s">
        <v>12101</v>
      </c>
      <c r="S652" s="1">
        <v>9589709900</v>
      </c>
      <c r="T652" s="1" t="s">
        <v>154</v>
      </c>
      <c r="U652" s="1" t="s">
        <v>12102</v>
      </c>
      <c r="V652" s="1">
        <v>7000239907</v>
      </c>
      <c r="W652" s="1" t="s">
        <v>12103</v>
      </c>
      <c r="X652" s="1" t="s">
        <v>12104</v>
      </c>
      <c r="Y652" s="1" t="s">
        <v>8655</v>
      </c>
      <c r="Z652" s="1" t="s">
        <v>936</v>
      </c>
      <c r="AA652" s="1" t="s">
        <v>12104</v>
      </c>
      <c r="AB652" s="1" t="s">
        <v>8655</v>
      </c>
      <c r="AC652" s="1" t="s">
        <v>936</v>
      </c>
      <c r="AD652" s="1">
        <v>7.78</v>
      </c>
      <c r="AE652" s="1" t="s">
        <v>93</v>
      </c>
      <c r="AF652" s="1" t="s">
        <v>12105</v>
      </c>
      <c r="AG652" s="1" t="s">
        <v>11905</v>
      </c>
      <c r="AH652" s="1" t="s">
        <v>527</v>
      </c>
      <c r="AI652" s="1" t="s">
        <v>195</v>
      </c>
      <c r="AJ652" s="1">
        <v>84.83</v>
      </c>
      <c r="AK652" s="1"/>
      <c r="AL652" s="1" t="s">
        <v>12106</v>
      </c>
      <c r="AM652" s="1" t="s">
        <v>11905</v>
      </c>
      <c r="AN652" s="1" t="s">
        <v>166</v>
      </c>
      <c r="AO652" s="1" t="s">
        <v>409</v>
      </c>
      <c r="AP652" s="1">
        <v>74.8</v>
      </c>
      <c r="AQ652" s="1"/>
      <c r="AR652" s="1"/>
      <c r="AS652" s="1"/>
      <c r="AT652" s="1"/>
      <c r="AU652" s="1"/>
      <c r="AV652" s="1"/>
      <c r="AW652" s="1"/>
      <c r="AX652" s="1" t="s">
        <v>12107</v>
      </c>
      <c r="AY652" s="1" t="s">
        <v>12108</v>
      </c>
      <c r="AZ652" s="1" t="s">
        <v>308</v>
      </c>
      <c r="BA652" s="1" t="s">
        <v>682</v>
      </c>
      <c r="BB652" s="1">
        <v>82.4</v>
      </c>
      <c r="BC652" s="1">
        <v>8.24</v>
      </c>
      <c r="BD652" s="1"/>
      <c r="BE652" s="1"/>
      <c r="BF652" s="1"/>
      <c r="BG652" s="1"/>
      <c r="BH652" s="1"/>
      <c r="BI652" s="1"/>
      <c r="BJ652" s="1" t="s">
        <v>1715</v>
      </c>
      <c r="BK652" s="1" t="s">
        <v>12109</v>
      </c>
      <c r="BL652" s="1" t="s">
        <v>2910</v>
      </c>
      <c r="BM652" s="1"/>
      <c r="BN652" s="1"/>
      <c r="BO652" s="1" t="s">
        <v>2480</v>
      </c>
      <c r="BP652" s="1" t="str">
        <f>HYPERLINK("https://nconnect.nicmar.ac.in/storage/profile/ProfilePhoto_P25700614_342179.jpg","Download")</f>
        <v>0</v>
      </c>
      <c r="BQ652" s="3"/>
      <c r="BR652" s="3"/>
    </row>
    <row r="653" spans="1:70">
      <c r="A653" s="1" t="s">
        <v>70</v>
      </c>
      <c r="B653" s="1" t="s">
        <v>1269</v>
      </c>
      <c r="C653" s="1" t="s">
        <v>12110</v>
      </c>
      <c r="D653" s="1" t="s">
        <v>110</v>
      </c>
      <c r="E653" s="1" t="s">
        <v>5393</v>
      </c>
      <c r="F653" s="1" t="s">
        <v>12111</v>
      </c>
      <c r="G653" s="1" t="s">
        <v>12112</v>
      </c>
      <c r="H653" s="1" t="s">
        <v>12113</v>
      </c>
      <c r="I653" s="1" t="s">
        <v>12114</v>
      </c>
      <c r="J653" s="1">
        <v>9076212755</v>
      </c>
      <c r="K653" s="1" t="s">
        <v>79</v>
      </c>
      <c r="L653" s="1" t="s">
        <v>12115</v>
      </c>
      <c r="M653" s="1" t="s">
        <v>81</v>
      </c>
      <c r="N653" s="1" t="s">
        <v>12116</v>
      </c>
      <c r="O653" s="1"/>
      <c r="P653" s="1"/>
      <c r="Q653" s="1" t="s">
        <v>12117</v>
      </c>
      <c r="R653" s="1" t="s">
        <v>12118</v>
      </c>
      <c r="S653" s="1">
        <v>9820868488</v>
      </c>
      <c r="T653" s="1" t="s">
        <v>763</v>
      </c>
      <c r="U653" s="1" t="s">
        <v>12119</v>
      </c>
      <c r="V653" s="1">
        <v>8652303318</v>
      </c>
      <c r="W653" s="1" t="s">
        <v>273</v>
      </c>
      <c r="X653" s="1" t="s">
        <v>12120</v>
      </c>
      <c r="Y653" s="1" t="s">
        <v>1018</v>
      </c>
      <c r="Z653" s="1" t="s">
        <v>92</v>
      </c>
      <c r="AA653" s="1" t="s">
        <v>12120</v>
      </c>
      <c r="AB653" s="1" t="s">
        <v>1018</v>
      </c>
      <c r="AC653" s="1" t="s">
        <v>92</v>
      </c>
      <c r="AD653" s="1">
        <v>7.89</v>
      </c>
      <c r="AE653" s="1" t="s">
        <v>93</v>
      </c>
      <c r="AF653" s="1" t="s">
        <v>6883</v>
      </c>
      <c r="AG653" s="1" t="s">
        <v>9571</v>
      </c>
      <c r="AH653" s="1" t="s">
        <v>162</v>
      </c>
      <c r="AI653" s="1" t="s">
        <v>165</v>
      </c>
      <c r="AJ653" s="1">
        <v>68</v>
      </c>
      <c r="AK653" s="1"/>
      <c r="AL653" s="1" t="s">
        <v>12121</v>
      </c>
      <c r="AM653" s="1" t="s">
        <v>9571</v>
      </c>
      <c r="AN653" s="1" t="s">
        <v>169</v>
      </c>
      <c r="AO653" s="1" t="s">
        <v>409</v>
      </c>
      <c r="AP653" s="1">
        <v>66.62</v>
      </c>
      <c r="AQ653" s="1"/>
      <c r="AR653" s="1"/>
      <c r="AS653" s="1"/>
      <c r="AT653" s="1"/>
      <c r="AU653" s="1"/>
      <c r="AV653" s="1"/>
      <c r="AW653" s="1"/>
      <c r="AX653" s="1" t="s">
        <v>253</v>
      </c>
      <c r="AY653" s="1" t="s">
        <v>12122</v>
      </c>
      <c r="AZ653" s="1" t="s">
        <v>104</v>
      </c>
      <c r="BA653" s="1" t="s">
        <v>682</v>
      </c>
      <c r="BB653" s="1">
        <v>70.21</v>
      </c>
      <c r="BC653" s="1">
        <v>7.91</v>
      </c>
      <c r="BD653" s="1"/>
      <c r="BE653" s="1"/>
      <c r="BF653" s="1"/>
      <c r="BG653" s="1"/>
      <c r="BH653" s="1"/>
      <c r="BI653" s="1"/>
      <c r="BJ653" s="1" t="s">
        <v>1383</v>
      </c>
      <c r="BK653" s="1" t="s">
        <v>12123</v>
      </c>
      <c r="BL653" s="1" t="s">
        <v>2303</v>
      </c>
      <c r="BM653" s="1" t="s">
        <v>12124</v>
      </c>
      <c r="BN653" s="1">
        <v>29</v>
      </c>
      <c r="BO653" s="1"/>
      <c r="BP653" s="1" t="str">
        <f>HYPERLINK("https://nconnect.nicmar.ac.in/storage/profile/ProfilePhoto_P25700615_362518.jpg","Download")</f>
        <v>0</v>
      </c>
      <c r="BQ653" s="3"/>
      <c r="BR653" s="3"/>
    </row>
    <row r="654" spans="1:70">
      <c r="A654" s="1" t="s">
        <v>70</v>
      </c>
      <c r="B654" s="1" t="s">
        <v>1269</v>
      </c>
      <c r="C654" s="1" t="s">
        <v>12125</v>
      </c>
      <c r="D654" s="1" t="s">
        <v>3648</v>
      </c>
      <c r="E654" s="1" t="s">
        <v>4419</v>
      </c>
      <c r="F654" s="1" t="s">
        <v>12126</v>
      </c>
      <c r="G654" s="1" t="s">
        <v>12127</v>
      </c>
      <c r="H654" s="1" t="s">
        <v>12128</v>
      </c>
      <c r="I654" s="1" t="s">
        <v>12129</v>
      </c>
      <c r="J654" s="1">
        <v>8080225439</v>
      </c>
      <c r="K654" s="1" t="s">
        <v>79</v>
      </c>
      <c r="L654" s="1" t="s">
        <v>7083</v>
      </c>
      <c r="M654" s="1" t="s">
        <v>81</v>
      </c>
      <c r="N654" s="1" t="s">
        <v>2008</v>
      </c>
      <c r="O654" s="1"/>
      <c r="P654" s="1" t="s">
        <v>1323</v>
      </c>
      <c r="Q654" s="1" t="s">
        <v>12130</v>
      </c>
      <c r="R654" s="1" t="s">
        <v>12131</v>
      </c>
      <c r="S654" s="1">
        <v>9049554146</v>
      </c>
      <c r="T654" s="1" t="s">
        <v>496</v>
      </c>
      <c r="U654" s="1" t="s">
        <v>12132</v>
      </c>
      <c r="V654" s="1">
        <v>9923544615</v>
      </c>
      <c r="W654" s="1" t="s">
        <v>156</v>
      </c>
      <c r="X654" s="1" t="s">
        <v>12133</v>
      </c>
      <c r="Y654" s="1" t="s">
        <v>405</v>
      </c>
      <c r="Z654" s="1" t="s">
        <v>92</v>
      </c>
      <c r="AA654" s="1" t="s">
        <v>12133</v>
      </c>
      <c r="AB654" s="1" t="s">
        <v>405</v>
      </c>
      <c r="AC654" s="1" t="s">
        <v>92</v>
      </c>
      <c r="AD654" s="1">
        <v>7.13</v>
      </c>
      <c r="AE654" s="1" t="s">
        <v>93</v>
      </c>
      <c r="AF654" s="1" t="s">
        <v>12134</v>
      </c>
      <c r="AG654" s="1" t="s">
        <v>160</v>
      </c>
      <c r="AH654" s="1" t="s">
        <v>166</v>
      </c>
      <c r="AI654" s="1" t="s">
        <v>409</v>
      </c>
      <c r="AJ654" s="1">
        <v>76.4</v>
      </c>
      <c r="AK654" s="1">
        <v>0</v>
      </c>
      <c r="AL654" s="1"/>
      <c r="AM654" s="1"/>
      <c r="AN654" s="1"/>
      <c r="AO654" s="1"/>
      <c r="AP654" s="1"/>
      <c r="AQ654" s="1"/>
      <c r="AR654" s="1" t="s">
        <v>98</v>
      </c>
      <c r="AS654" s="1" t="s">
        <v>3156</v>
      </c>
      <c r="AT654" s="1" t="s">
        <v>310</v>
      </c>
      <c r="AU654" s="1" t="s">
        <v>105</v>
      </c>
      <c r="AV654" s="1">
        <v>79.35</v>
      </c>
      <c r="AW654" s="1">
        <v>0</v>
      </c>
      <c r="AX654" s="1" t="s">
        <v>410</v>
      </c>
      <c r="AY654" s="1" t="s">
        <v>6306</v>
      </c>
      <c r="AZ654" s="1" t="s">
        <v>2690</v>
      </c>
      <c r="BA654" s="1" t="s">
        <v>1714</v>
      </c>
      <c r="BB654" s="1">
        <v>66</v>
      </c>
      <c r="BC654" s="1">
        <v>7.35</v>
      </c>
      <c r="BD654" s="1"/>
      <c r="BE654" s="1"/>
      <c r="BF654" s="1"/>
      <c r="BG654" s="1"/>
      <c r="BH654" s="1"/>
      <c r="BI654" s="1"/>
      <c r="BJ654" s="1" t="s">
        <v>2080</v>
      </c>
      <c r="BK654" s="1"/>
      <c r="BL654" s="1"/>
      <c r="BM654" s="1" t="s">
        <v>12135</v>
      </c>
      <c r="BN654" s="1">
        <v>25</v>
      </c>
      <c r="BO654" s="1" t="s">
        <v>11787</v>
      </c>
      <c r="BP654" s="1" t="str">
        <f>HYPERLINK("https://nconnect.nicmar.ac.in/storage/profile/ProfilePhoto_P25700617_543618.jpg","Download")</f>
        <v>0</v>
      </c>
      <c r="BQ654" s="3"/>
      <c r="BR654" s="3"/>
    </row>
    <row r="655" spans="1:70">
      <c r="A655" s="1" t="s">
        <v>70</v>
      </c>
      <c r="B655" s="1" t="s">
        <v>1269</v>
      </c>
      <c r="C655" s="1" t="s">
        <v>12136</v>
      </c>
      <c r="D655" s="1" t="s">
        <v>12137</v>
      </c>
      <c r="E655" s="1" t="s">
        <v>1566</v>
      </c>
      <c r="F655" s="1" t="s">
        <v>12138</v>
      </c>
      <c r="G655" s="1" t="s">
        <v>12139</v>
      </c>
      <c r="H655" s="1" t="s">
        <v>12140</v>
      </c>
      <c r="I655" s="1" t="s">
        <v>12141</v>
      </c>
      <c r="J655" s="1">
        <v>9767686672</v>
      </c>
      <c r="K655" s="1" t="s">
        <v>79</v>
      </c>
      <c r="L655" s="1" t="s">
        <v>12142</v>
      </c>
      <c r="M655" s="1" t="s">
        <v>81</v>
      </c>
      <c r="N655" s="1" t="s">
        <v>9279</v>
      </c>
      <c r="O655" s="1"/>
      <c r="P655" s="1" t="s">
        <v>1766</v>
      </c>
      <c r="Q655" s="1" t="s">
        <v>12143</v>
      </c>
      <c r="R655" s="1" t="s">
        <v>12144</v>
      </c>
      <c r="S655" s="1">
        <v>9767664794</v>
      </c>
      <c r="T655" s="1" t="s">
        <v>472</v>
      </c>
      <c r="U655" s="1" t="s">
        <v>12145</v>
      </c>
      <c r="V655" s="1">
        <v>9767686672</v>
      </c>
      <c r="W655" s="1" t="s">
        <v>89</v>
      </c>
      <c r="X655" s="1" t="s">
        <v>12146</v>
      </c>
      <c r="Y655" s="1" t="s">
        <v>191</v>
      </c>
      <c r="Z655" s="1" t="s">
        <v>92</v>
      </c>
      <c r="AA655" s="1" t="s">
        <v>12146</v>
      </c>
      <c r="AB655" s="1" t="s">
        <v>191</v>
      </c>
      <c r="AC655" s="1" t="s">
        <v>92</v>
      </c>
      <c r="AD655" s="1">
        <v>8.85</v>
      </c>
      <c r="AE655" s="1" t="s">
        <v>93</v>
      </c>
      <c r="AF655" s="1" t="s">
        <v>12147</v>
      </c>
      <c r="AG655" s="1" t="s">
        <v>476</v>
      </c>
      <c r="AH655" s="1" t="s">
        <v>7997</v>
      </c>
      <c r="AI655" s="1" t="s">
        <v>281</v>
      </c>
      <c r="AJ655" s="1">
        <v>88.2</v>
      </c>
      <c r="AK655" s="1"/>
      <c r="AL655" s="1"/>
      <c r="AM655" s="1"/>
      <c r="AN655" s="1"/>
      <c r="AO655" s="1"/>
      <c r="AP655" s="1"/>
      <c r="AQ655" s="1"/>
      <c r="AR655" s="1" t="s">
        <v>98</v>
      </c>
      <c r="AS655" s="1" t="s">
        <v>8521</v>
      </c>
      <c r="AT655" s="1" t="s">
        <v>636</v>
      </c>
      <c r="AU655" s="1" t="s">
        <v>1051</v>
      </c>
      <c r="AV655" s="1">
        <v>89.13</v>
      </c>
      <c r="AW655" s="1"/>
      <c r="AX655" s="1" t="s">
        <v>361</v>
      </c>
      <c r="AY655" s="1" t="s">
        <v>12148</v>
      </c>
      <c r="AZ655" s="1" t="s">
        <v>897</v>
      </c>
      <c r="BA655" s="1" t="s">
        <v>413</v>
      </c>
      <c r="BB655" s="1">
        <v>75.44</v>
      </c>
      <c r="BC655" s="1">
        <v>8.37</v>
      </c>
      <c r="BD655" s="1"/>
      <c r="BE655" s="1"/>
      <c r="BF655" s="1"/>
      <c r="BG655" s="1"/>
      <c r="BH655" s="1"/>
      <c r="BI655" s="1"/>
      <c r="BJ655" s="1" t="s">
        <v>12149</v>
      </c>
      <c r="BK655" s="1" t="s">
        <v>12150</v>
      </c>
      <c r="BL655" s="1" t="s">
        <v>619</v>
      </c>
      <c r="BM655" s="1" t="s">
        <v>12151</v>
      </c>
      <c r="BN655" s="1">
        <v>17</v>
      </c>
      <c r="BO655" s="1" t="s">
        <v>12152</v>
      </c>
      <c r="BP655" s="1" t="str">
        <f>HYPERLINK("https://nconnect.nicmar.ac.in/storage/profile/ProfilePhoto_P25700618_523847.jpg","Download")</f>
        <v>0</v>
      </c>
      <c r="BQ655" s="3"/>
      <c r="BR655" s="3"/>
    </row>
    <row r="656" spans="1:70">
      <c r="A656" s="1" t="s">
        <v>70</v>
      </c>
      <c r="B656" s="1" t="s">
        <v>1269</v>
      </c>
      <c r="C656" s="1" t="s">
        <v>12153</v>
      </c>
      <c r="D656" s="1" t="s">
        <v>5794</v>
      </c>
      <c r="E656" s="1"/>
      <c r="F656" s="1" t="s">
        <v>596</v>
      </c>
      <c r="G656" s="1" t="s">
        <v>12154</v>
      </c>
      <c r="H656" s="1" t="s">
        <v>12155</v>
      </c>
      <c r="I656" s="1" t="s">
        <v>12156</v>
      </c>
      <c r="J656" s="1">
        <v>9660398562</v>
      </c>
      <c r="K656" s="1" t="s">
        <v>79</v>
      </c>
      <c r="L656" s="1" t="s">
        <v>12157</v>
      </c>
      <c r="M656" s="1" t="s">
        <v>81</v>
      </c>
      <c r="N656" s="1" t="s">
        <v>241</v>
      </c>
      <c r="O656" s="1"/>
      <c r="P656" s="1" t="s">
        <v>1278</v>
      </c>
      <c r="Q656" s="1" t="s">
        <v>12158</v>
      </c>
      <c r="R656" s="1" t="s">
        <v>12159</v>
      </c>
      <c r="S656" s="1">
        <v>9810081723</v>
      </c>
      <c r="T656" s="1" t="s">
        <v>87</v>
      </c>
      <c r="U656" s="1" t="s">
        <v>12160</v>
      </c>
      <c r="V656" s="1">
        <v>8826230147</v>
      </c>
      <c r="W656" s="1" t="s">
        <v>156</v>
      </c>
      <c r="X656" s="1" t="s">
        <v>12161</v>
      </c>
      <c r="Y656" s="1" t="s">
        <v>1956</v>
      </c>
      <c r="Z656" s="1" t="s">
        <v>1355</v>
      </c>
      <c r="AA656" s="1" t="s">
        <v>12161</v>
      </c>
      <c r="AB656" s="1" t="s">
        <v>1956</v>
      </c>
      <c r="AC656" s="1" t="s">
        <v>1355</v>
      </c>
      <c r="AD656" s="1">
        <v>7.75</v>
      </c>
      <c r="AE656" s="1" t="s">
        <v>93</v>
      </c>
      <c r="AF656" s="1" t="s">
        <v>12162</v>
      </c>
      <c r="AG656" s="1" t="s">
        <v>939</v>
      </c>
      <c r="AH656" s="1" t="s">
        <v>727</v>
      </c>
      <c r="AI656" s="1" t="s">
        <v>129</v>
      </c>
      <c r="AJ656" s="1">
        <v>77.9</v>
      </c>
      <c r="AK656" s="1">
        <v>8.2</v>
      </c>
      <c r="AL656" s="1" t="s">
        <v>12162</v>
      </c>
      <c r="AM656" s="1" t="s">
        <v>939</v>
      </c>
      <c r="AN656" s="1" t="s">
        <v>999</v>
      </c>
      <c r="AO656" s="1" t="s">
        <v>131</v>
      </c>
      <c r="AP656" s="1">
        <v>71.4</v>
      </c>
      <c r="AQ656" s="1"/>
      <c r="AR656" s="1"/>
      <c r="AS656" s="1"/>
      <c r="AT656" s="1"/>
      <c r="AU656" s="1"/>
      <c r="AV656" s="1"/>
      <c r="AW656" s="1"/>
      <c r="AX656" s="1" t="s">
        <v>4550</v>
      </c>
      <c r="AY656" s="1" t="s">
        <v>12163</v>
      </c>
      <c r="AZ656" s="1" t="s">
        <v>134</v>
      </c>
      <c r="BA656" s="1" t="s">
        <v>699</v>
      </c>
      <c r="BB656" s="1">
        <v>81.1</v>
      </c>
      <c r="BC656" s="1">
        <v>8.11</v>
      </c>
      <c r="BD656" s="1"/>
      <c r="BE656" s="1"/>
      <c r="BF656" s="1"/>
      <c r="BG656" s="1"/>
      <c r="BH656" s="1"/>
      <c r="BI656" s="1"/>
      <c r="BJ656" s="1" t="s">
        <v>4102</v>
      </c>
      <c r="BK656" s="1"/>
      <c r="BL656" s="1"/>
      <c r="BM656" s="1" t="s">
        <v>12164</v>
      </c>
      <c r="BN656" s="1">
        <v>7</v>
      </c>
      <c r="BO656" s="1"/>
      <c r="BP656" s="1" t="str">
        <f>HYPERLINK("https://nconnect.nicmar.ac.in/storage/profile/ProfilePhoto_P25700619_852364.jpg","Download")</f>
        <v>0</v>
      </c>
      <c r="BQ656" s="3"/>
      <c r="BR656" s="3"/>
    </row>
    <row r="657" spans="1:70">
      <c r="A657" s="1" t="s">
        <v>70</v>
      </c>
      <c r="B657" s="1" t="s">
        <v>1269</v>
      </c>
      <c r="C657" s="1" t="s">
        <v>12165</v>
      </c>
      <c r="D657" s="1" t="s">
        <v>443</v>
      </c>
      <c r="E657" s="1"/>
      <c r="F657" s="1" t="s">
        <v>950</v>
      </c>
      <c r="G657" s="1" t="s">
        <v>12166</v>
      </c>
      <c r="H657" s="1" t="s">
        <v>12167</v>
      </c>
      <c r="I657" s="1" t="s">
        <v>12168</v>
      </c>
      <c r="J657" s="1">
        <v>9499771930</v>
      </c>
      <c r="K657" s="1" t="s">
        <v>79</v>
      </c>
      <c r="L657" s="1" t="s">
        <v>12169</v>
      </c>
      <c r="M657" s="1" t="s">
        <v>81</v>
      </c>
      <c r="N657" s="1" t="s">
        <v>7852</v>
      </c>
      <c r="O657" s="1"/>
      <c r="P657" s="1" t="s">
        <v>1298</v>
      </c>
      <c r="Q657" s="1" t="s">
        <v>12170</v>
      </c>
      <c r="R657" s="1" t="s">
        <v>12171</v>
      </c>
      <c r="S657" s="1">
        <v>9328083234</v>
      </c>
      <c r="T657" s="1" t="s">
        <v>496</v>
      </c>
      <c r="U657" s="1" t="s">
        <v>12172</v>
      </c>
      <c r="V657" s="1">
        <v>8209130630</v>
      </c>
      <c r="W657" s="1" t="s">
        <v>156</v>
      </c>
      <c r="X657" s="1" t="s">
        <v>12173</v>
      </c>
      <c r="Y657" s="1" t="s">
        <v>12174</v>
      </c>
      <c r="Z657" s="1" t="s">
        <v>1468</v>
      </c>
      <c r="AA657" s="1" t="s">
        <v>12173</v>
      </c>
      <c r="AB657" s="1" t="s">
        <v>12174</v>
      </c>
      <c r="AC657" s="1" t="s">
        <v>1468</v>
      </c>
      <c r="AD657" s="1">
        <v>9.37</v>
      </c>
      <c r="AE657" s="1" t="s">
        <v>93</v>
      </c>
      <c r="AF657" s="1" t="s">
        <v>12175</v>
      </c>
      <c r="AG657" s="1" t="s">
        <v>12176</v>
      </c>
      <c r="AH657" s="1" t="s">
        <v>527</v>
      </c>
      <c r="AI657" s="1" t="s">
        <v>678</v>
      </c>
      <c r="AJ657" s="1">
        <v>93.1</v>
      </c>
      <c r="AK657" s="1">
        <v>9.8</v>
      </c>
      <c r="AL657" s="1" t="s">
        <v>12177</v>
      </c>
      <c r="AM657" s="1" t="s">
        <v>12176</v>
      </c>
      <c r="AN657" s="1" t="s">
        <v>166</v>
      </c>
      <c r="AO657" s="1" t="s">
        <v>1065</v>
      </c>
      <c r="AP657" s="1">
        <v>79.6</v>
      </c>
      <c r="AQ657" s="1">
        <v>0</v>
      </c>
      <c r="AR657" s="1"/>
      <c r="AS657" s="1"/>
      <c r="AT657" s="1"/>
      <c r="AU657" s="1"/>
      <c r="AV657" s="1"/>
      <c r="AW657" s="1"/>
      <c r="AX657" s="1" t="s">
        <v>12178</v>
      </c>
      <c r="AY657" s="1" t="s">
        <v>12179</v>
      </c>
      <c r="AZ657" s="1" t="s">
        <v>201</v>
      </c>
      <c r="BA657" s="1" t="s">
        <v>413</v>
      </c>
      <c r="BB657" s="1">
        <v>80</v>
      </c>
      <c r="BC657" s="1">
        <v>3.6</v>
      </c>
      <c r="BD657" s="1"/>
      <c r="BE657" s="1"/>
      <c r="BF657" s="1"/>
      <c r="BG657" s="1"/>
      <c r="BH657" s="1"/>
      <c r="BI657" s="1"/>
      <c r="BJ657" s="1" t="s">
        <v>12180</v>
      </c>
      <c r="BK657" s="1"/>
      <c r="BL657" s="1"/>
      <c r="BM657" s="1" t="s">
        <v>12181</v>
      </c>
      <c r="BN657" s="1">
        <v>25</v>
      </c>
      <c r="BO657" s="1" t="s">
        <v>12182</v>
      </c>
      <c r="BP657" s="1" t="str">
        <f>HYPERLINK("https://nconnect.nicmar.ac.in/storage/profile/ProfilePhoto_P25700620_259716.jpg","Download")</f>
        <v>0</v>
      </c>
      <c r="BQ657" s="3"/>
      <c r="BR657" s="3"/>
    </row>
    <row r="658" spans="1:70">
      <c r="A658" s="1" t="s">
        <v>70</v>
      </c>
      <c r="B658" s="1" t="s">
        <v>1269</v>
      </c>
      <c r="C658" s="1" t="s">
        <v>12183</v>
      </c>
      <c r="D658" s="1" t="s">
        <v>12184</v>
      </c>
      <c r="E658" s="1"/>
      <c r="F658" s="1" t="s">
        <v>1653</v>
      </c>
      <c r="G658" s="1" t="s">
        <v>12185</v>
      </c>
      <c r="H658" s="1" t="s">
        <v>12186</v>
      </c>
      <c r="I658" s="1" t="s">
        <v>12187</v>
      </c>
      <c r="J658" s="1">
        <v>8409867004</v>
      </c>
      <c r="K658" s="1" t="s">
        <v>79</v>
      </c>
      <c r="L658" s="1" t="s">
        <v>12188</v>
      </c>
      <c r="M658" s="1" t="s">
        <v>81</v>
      </c>
      <c r="N658" s="1" t="s">
        <v>241</v>
      </c>
      <c r="O658" s="1"/>
      <c r="P658" s="1" t="s">
        <v>1323</v>
      </c>
      <c r="Q658" s="1" t="s">
        <v>12189</v>
      </c>
      <c r="R658" s="1" t="s">
        <v>12190</v>
      </c>
      <c r="S658" s="1">
        <v>7070000750</v>
      </c>
      <c r="T658" s="1" t="s">
        <v>377</v>
      </c>
      <c r="U658" s="1" t="s">
        <v>12191</v>
      </c>
      <c r="V658" s="1">
        <v>7004229704</v>
      </c>
      <c r="W658" s="1" t="s">
        <v>2094</v>
      </c>
      <c r="X658" s="1" t="s">
        <v>12192</v>
      </c>
      <c r="Y658" s="1" t="s">
        <v>191</v>
      </c>
      <c r="Z658" s="1" t="s">
        <v>92</v>
      </c>
      <c r="AA658" s="1" t="s">
        <v>12193</v>
      </c>
      <c r="AB658" s="1" t="s">
        <v>845</v>
      </c>
      <c r="AC658" s="1" t="s">
        <v>846</v>
      </c>
      <c r="AD658" s="1" t="s">
        <v>93</v>
      </c>
      <c r="AE658" s="1" t="s">
        <v>93</v>
      </c>
      <c r="AF658" s="1" t="s">
        <v>12194</v>
      </c>
      <c r="AG658" s="1" t="s">
        <v>12195</v>
      </c>
      <c r="AH658" s="1" t="s">
        <v>1307</v>
      </c>
      <c r="AI658" s="1" t="s">
        <v>308</v>
      </c>
      <c r="AJ658" s="1">
        <v>64.4</v>
      </c>
      <c r="AK658" s="1">
        <v>6.4</v>
      </c>
      <c r="AL658" s="1" t="s">
        <v>12196</v>
      </c>
      <c r="AM658" s="1" t="s">
        <v>12195</v>
      </c>
      <c r="AN658" s="1" t="s">
        <v>1833</v>
      </c>
      <c r="AO658" s="1" t="s">
        <v>506</v>
      </c>
      <c r="AP658" s="1">
        <v>65.8</v>
      </c>
      <c r="AQ658" s="1">
        <v>6.5</v>
      </c>
      <c r="AR658" s="1"/>
      <c r="AS658" s="1"/>
      <c r="AT658" s="1"/>
      <c r="AU658" s="1"/>
      <c r="AV658" s="1"/>
      <c r="AW658" s="1"/>
      <c r="AX658" s="1" t="s">
        <v>1834</v>
      </c>
      <c r="AY658" s="1" t="s">
        <v>12197</v>
      </c>
      <c r="AZ658" s="1" t="s">
        <v>506</v>
      </c>
      <c r="BA658" s="1" t="s">
        <v>1361</v>
      </c>
      <c r="BB658" s="1">
        <v>72.9</v>
      </c>
      <c r="BC658" s="1">
        <v>7.29</v>
      </c>
      <c r="BD658" s="1"/>
      <c r="BE658" s="1"/>
      <c r="BF658" s="1"/>
      <c r="BG658" s="1"/>
      <c r="BH658" s="1"/>
      <c r="BI658" s="1"/>
      <c r="BJ658" s="1" t="s">
        <v>12198</v>
      </c>
      <c r="BK658" s="1"/>
      <c r="BL658" s="1"/>
      <c r="BM658" s="1" t="s">
        <v>12199</v>
      </c>
      <c r="BN658" s="1">
        <v>6</v>
      </c>
      <c r="BO658" s="1" t="s">
        <v>12200</v>
      </c>
      <c r="BP658" s="1" t="str">
        <f>HYPERLINK("https://nconnect.nicmar.ac.in/storage/profile/ProfilePhoto_P25700621_452871.jpg","Download")</f>
        <v>0</v>
      </c>
      <c r="BQ658" s="3"/>
      <c r="BR658" s="3"/>
    </row>
    <row r="659" spans="1:70">
      <c r="A659" s="1" t="s">
        <v>70</v>
      </c>
      <c r="B659" s="1" t="s">
        <v>1269</v>
      </c>
      <c r="C659" s="1" t="s">
        <v>12201</v>
      </c>
      <c r="D659" s="1" t="s">
        <v>533</v>
      </c>
      <c r="E659" s="1" t="s">
        <v>12202</v>
      </c>
      <c r="F659" s="1" t="s">
        <v>12203</v>
      </c>
      <c r="G659" s="1" t="s">
        <v>12204</v>
      </c>
      <c r="H659" s="1" t="s">
        <v>12205</v>
      </c>
      <c r="I659" s="1" t="s">
        <v>12206</v>
      </c>
      <c r="J659" s="1">
        <v>8050258662</v>
      </c>
      <c r="K659" s="1" t="s">
        <v>79</v>
      </c>
      <c r="L659" s="1" t="s">
        <v>1062</v>
      </c>
      <c r="M659" s="1" t="s">
        <v>81</v>
      </c>
      <c r="N659" s="1" t="s">
        <v>12207</v>
      </c>
      <c r="O659" s="1"/>
      <c r="P659" s="1" t="s">
        <v>1323</v>
      </c>
      <c r="Q659" s="1" t="s">
        <v>12208</v>
      </c>
      <c r="R659" s="1" t="s">
        <v>12209</v>
      </c>
      <c r="S659" s="1">
        <v>7498779095</v>
      </c>
      <c r="T659" s="1" t="s">
        <v>2763</v>
      </c>
      <c r="U659" s="1" t="s">
        <v>12210</v>
      </c>
      <c r="V659" s="1">
        <v>8867711442</v>
      </c>
      <c r="W659" s="1" t="s">
        <v>156</v>
      </c>
      <c r="X659" s="1" t="s">
        <v>12211</v>
      </c>
      <c r="Y659" s="1" t="s">
        <v>4755</v>
      </c>
      <c r="Z659" s="1" t="s">
        <v>1084</v>
      </c>
      <c r="AA659" s="1" t="s">
        <v>12212</v>
      </c>
      <c r="AB659" s="1" t="s">
        <v>4755</v>
      </c>
      <c r="AC659" s="1" t="s">
        <v>1084</v>
      </c>
      <c r="AD659" s="1">
        <v>8.31</v>
      </c>
      <c r="AE659" s="1" t="s">
        <v>93</v>
      </c>
      <c r="AF659" s="1" t="s">
        <v>12213</v>
      </c>
      <c r="AG659" s="1" t="s">
        <v>12214</v>
      </c>
      <c r="AH659" s="1" t="s">
        <v>165</v>
      </c>
      <c r="AI659" s="1" t="s">
        <v>281</v>
      </c>
      <c r="AJ659" s="1">
        <v>80.6</v>
      </c>
      <c r="AK659" s="1"/>
      <c r="AL659" s="1" t="s">
        <v>12215</v>
      </c>
      <c r="AM659" s="1" t="s">
        <v>12214</v>
      </c>
      <c r="AN659" s="1" t="s">
        <v>169</v>
      </c>
      <c r="AO659" s="1" t="s">
        <v>360</v>
      </c>
      <c r="AP659" s="1">
        <v>69.23</v>
      </c>
      <c r="AQ659" s="1"/>
      <c r="AR659" s="1"/>
      <c r="AS659" s="1"/>
      <c r="AT659" s="1"/>
      <c r="AU659" s="1"/>
      <c r="AV659" s="1"/>
      <c r="AW659" s="1"/>
      <c r="AX659" s="1" t="s">
        <v>12216</v>
      </c>
      <c r="AY659" s="1" t="s">
        <v>12217</v>
      </c>
      <c r="AZ659" s="1" t="s">
        <v>228</v>
      </c>
      <c r="BA659" s="1" t="s">
        <v>413</v>
      </c>
      <c r="BB659" s="1">
        <v>86.5</v>
      </c>
      <c r="BC659" s="1">
        <v>9.4</v>
      </c>
      <c r="BD659" s="1"/>
      <c r="BE659" s="1"/>
      <c r="BF659" s="1"/>
      <c r="BG659" s="1"/>
      <c r="BH659" s="1"/>
      <c r="BI659" s="1"/>
      <c r="BJ659" s="1" t="s">
        <v>364</v>
      </c>
      <c r="BK659" s="1"/>
      <c r="BL659" s="1"/>
      <c r="BM659" s="1" t="s">
        <v>12218</v>
      </c>
      <c r="BN659" s="1">
        <v>17</v>
      </c>
      <c r="BO659" s="1" t="s">
        <v>12219</v>
      </c>
      <c r="BP659" s="1" t="str">
        <f>HYPERLINK("https://nconnect.nicmar.ac.in/storage/profile/ProfilePhoto_P25700622_639152.jpg","Download")</f>
        <v>0</v>
      </c>
      <c r="BQ659" s="3"/>
      <c r="BR659" s="3"/>
    </row>
    <row r="660" spans="1:70">
      <c r="A660" s="1" t="s">
        <v>70</v>
      </c>
      <c r="B660" s="1" t="s">
        <v>1269</v>
      </c>
      <c r="C660" s="1" t="s">
        <v>12220</v>
      </c>
      <c r="D660" s="1" t="s">
        <v>5972</v>
      </c>
      <c r="E660" s="1" t="s">
        <v>2763</v>
      </c>
      <c r="F660" s="1" t="s">
        <v>12221</v>
      </c>
      <c r="G660" s="1" t="s">
        <v>12222</v>
      </c>
      <c r="H660" s="1" t="s">
        <v>12223</v>
      </c>
      <c r="I660" s="1" t="s">
        <v>12223</v>
      </c>
      <c r="J660" s="1">
        <v>9340569657</v>
      </c>
      <c r="K660" s="1" t="s">
        <v>148</v>
      </c>
      <c r="L660" s="1" t="s">
        <v>12224</v>
      </c>
      <c r="M660" s="1" t="s">
        <v>81</v>
      </c>
      <c r="N660" s="1" t="s">
        <v>5040</v>
      </c>
      <c r="O660" s="1"/>
      <c r="P660" s="1" t="s">
        <v>1323</v>
      </c>
      <c r="Q660" s="1" t="s">
        <v>12225</v>
      </c>
      <c r="R660" s="1" t="s">
        <v>12226</v>
      </c>
      <c r="S660" s="1">
        <v>7999296372</v>
      </c>
      <c r="T660" s="1" t="s">
        <v>496</v>
      </c>
      <c r="U660" s="1" t="s">
        <v>12227</v>
      </c>
      <c r="V660" s="1">
        <v>9131970979</v>
      </c>
      <c r="W660" s="1" t="s">
        <v>156</v>
      </c>
      <c r="X660" s="1" t="s">
        <v>12228</v>
      </c>
      <c r="Y660" s="1" t="s">
        <v>12229</v>
      </c>
      <c r="Z660" s="1" t="s">
        <v>1237</v>
      </c>
      <c r="AA660" s="1" t="s">
        <v>12228</v>
      </c>
      <c r="AB660" s="1" t="s">
        <v>12229</v>
      </c>
      <c r="AC660" s="1" t="s">
        <v>1237</v>
      </c>
      <c r="AD660" s="1">
        <v>7.79</v>
      </c>
      <c r="AE660" s="1" t="s">
        <v>93</v>
      </c>
      <c r="AF660" s="1" t="s">
        <v>12230</v>
      </c>
      <c r="AG660" s="1" t="s">
        <v>9678</v>
      </c>
      <c r="AH660" s="1" t="s">
        <v>678</v>
      </c>
      <c r="AI660" s="1" t="s">
        <v>166</v>
      </c>
      <c r="AJ660" s="1">
        <v>60.3</v>
      </c>
      <c r="AK660" s="1"/>
      <c r="AL660" s="1" t="s">
        <v>12231</v>
      </c>
      <c r="AM660" s="1" t="s">
        <v>9678</v>
      </c>
      <c r="AN660" s="1" t="s">
        <v>1065</v>
      </c>
      <c r="AO660" s="1" t="s">
        <v>173</v>
      </c>
      <c r="AP660" s="1">
        <v>61.8</v>
      </c>
      <c r="AQ660" s="1">
        <v>6.5</v>
      </c>
      <c r="AR660" s="1"/>
      <c r="AS660" s="1"/>
      <c r="AT660" s="1"/>
      <c r="AU660" s="1"/>
      <c r="AV660" s="1"/>
      <c r="AW660" s="1"/>
      <c r="AX660" s="1" t="s">
        <v>12232</v>
      </c>
      <c r="AY660" s="1" t="s">
        <v>12233</v>
      </c>
      <c r="AZ660" s="1" t="s">
        <v>920</v>
      </c>
      <c r="BA660" s="1" t="s">
        <v>944</v>
      </c>
      <c r="BB660" s="1">
        <v>74.95</v>
      </c>
      <c r="BC660" s="1">
        <v>8.3</v>
      </c>
      <c r="BD660" s="1"/>
      <c r="BE660" s="1"/>
      <c r="BF660" s="1"/>
      <c r="BG660" s="1"/>
      <c r="BH660" s="1"/>
      <c r="BI660" s="1"/>
      <c r="BJ660" s="1" t="s">
        <v>364</v>
      </c>
      <c r="BK660" s="1"/>
      <c r="BL660" s="1"/>
      <c r="BM660" s="1" t="s">
        <v>12234</v>
      </c>
      <c r="BN660" s="1">
        <v>19</v>
      </c>
      <c r="BO660" s="1" t="s">
        <v>2480</v>
      </c>
      <c r="BP660" s="1" t="str">
        <f>HYPERLINK("https://nconnect.nicmar.ac.in/storage/profile/ProfilePhoto_P25700623_438172.jpg","Download")</f>
        <v>0</v>
      </c>
      <c r="BQ660" s="3"/>
      <c r="BR660" s="3"/>
    </row>
    <row r="661" spans="1:70">
      <c r="A661" s="1" t="s">
        <v>70</v>
      </c>
      <c r="B661" s="1" t="s">
        <v>1269</v>
      </c>
      <c r="C661" s="1" t="s">
        <v>12235</v>
      </c>
      <c r="D661" s="1" t="s">
        <v>9823</v>
      </c>
      <c r="E661" s="1" t="s">
        <v>1640</v>
      </c>
      <c r="F661" s="1" t="s">
        <v>12236</v>
      </c>
      <c r="G661" s="1" t="s">
        <v>12237</v>
      </c>
      <c r="H661" s="1" t="s">
        <v>12238</v>
      </c>
      <c r="I661" s="1" t="s">
        <v>12239</v>
      </c>
      <c r="J661" s="1">
        <v>9371678782</v>
      </c>
      <c r="K661" s="1" t="s">
        <v>148</v>
      </c>
      <c r="L661" s="1" t="s">
        <v>7980</v>
      </c>
      <c r="M661" s="1" t="s">
        <v>81</v>
      </c>
      <c r="N661" s="1" t="s">
        <v>7819</v>
      </c>
      <c r="O661" s="1"/>
      <c r="P661" s="1" t="s">
        <v>1323</v>
      </c>
      <c r="Q661" s="1" t="s">
        <v>12240</v>
      </c>
      <c r="R661" s="1" t="s">
        <v>12241</v>
      </c>
      <c r="S661" s="1">
        <v>8806842424</v>
      </c>
      <c r="T661" s="1" t="s">
        <v>496</v>
      </c>
      <c r="U661" s="1" t="s">
        <v>12242</v>
      </c>
      <c r="V661" s="1">
        <v>8459247574</v>
      </c>
      <c r="W661" s="1" t="s">
        <v>12243</v>
      </c>
      <c r="X661" s="1" t="s">
        <v>12244</v>
      </c>
      <c r="Y661" s="1" t="s">
        <v>1424</v>
      </c>
      <c r="Z661" s="1" t="s">
        <v>92</v>
      </c>
      <c r="AA661" s="1" t="s">
        <v>12244</v>
      </c>
      <c r="AB661" s="1" t="s">
        <v>1424</v>
      </c>
      <c r="AC661" s="1" t="s">
        <v>92</v>
      </c>
      <c r="AD661" s="1">
        <v>8.46</v>
      </c>
      <c r="AE661" s="1" t="s">
        <v>93</v>
      </c>
      <c r="AF661" s="1" t="s">
        <v>12245</v>
      </c>
      <c r="AG661" s="1" t="s">
        <v>12246</v>
      </c>
      <c r="AH661" s="1" t="s">
        <v>165</v>
      </c>
      <c r="AI661" s="1" t="s">
        <v>166</v>
      </c>
      <c r="AJ661" s="1">
        <v>74</v>
      </c>
      <c r="AK661" s="1"/>
      <c r="AL661" s="1" t="s">
        <v>12247</v>
      </c>
      <c r="AM661" s="1" t="s">
        <v>12248</v>
      </c>
      <c r="AN661" s="1" t="s">
        <v>1065</v>
      </c>
      <c r="AO661" s="1" t="s">
        <v>360</v>
      </c>
      <c r="AP661" s="1">
        <v>60.31</v>
      </c>
      <c r="AQ661" s="1"/>
      <c r="AR661" s="1"/>
      <c r="AS661" s="1"/>
      <c r="AT661" s="1"/>
      <c r="AU661" s="1"/>
      <c r="AV661" s="1"/>
      <c r="AW661" s="1"/>
      <c r="AX661" s="1" t="s">
        <v>1852</v>
      </c>
      <c r="AY661" s="1" t="s">
        <v>12249</v>
      </c>
      <c r="AZ661" s="1" t="s">
        <v>173</v>
      </c>
      <c r="BA661" s="1" t="s">
        <v>1938</v>
      </c>
      <c r="BB661" s="1">
        <v>78.5</v>
      </c>
      <c r="BC661" s="1">
        <v>8.6</v>
      </c>
      <c r="BD661" s="1"/>
      <c r="BE661" s="1"/>
      <c r="BF661" s="1"/>
      <c r="BG661" s="1"/>
      <c r="BH661" s="1"/>
      <c r="BI661" s="1"/>
      <c r="BJ661" s="1" t="s">
        <v>1383</v>
      </c>
      <c r="BK661" s="1"/>
      <c r="BL661" s="1"/>
      <c r="BM661" s="1" t="s">
        <v>12250</v>
      </c>
      <c r="BN661" s="1">
        <v>27</v>
      </c>
      <c r="BO661" s="1"/>
      <c r="BP661" s="1" t="str">
        <f>HYPERLINK("https://nconnect.nicmar.ac.in/storage/profile/ProfilePhoto_P25700624_834795.jpg","Download")</f>
        <v>0</v>
      </c>
      <c r="BQ661" s="3"/>
      <c r="BR661" s="3"/>
    </row>
    <row r="662" spans="1:70">
      <c r="A662" s="1" t="s">
        <v>70</v>
      </c>
      <c r="B662" s="1" t="s">
        <v>1269</v>
      </c>
      <c r="C662" s="1" t="s">
        <v>12251</v>
      </c>
      <c r="D662" s="1" t="s">
        <v>143</v>
      </c>
      <c r="E662" s="1"/>
      <c r="F662" s="1" t="s">
        <v>2128</v>
      </c>
      <c r="G662" s="1" t="s">
        <v>12252</v>
      </c>
      <c r="H662" s="1" t="s">
        <v>12253</v>
      </c>
      <c r="I662" s="1" t="s">
        <v>12254</v>
      </c>
      <c r="J662" s="1">
        <v>8891630490</v>
      </c>
      <c r="K662" s="1" t="s">
        <v>148</v>
      </c>
      <c r="L662" s="1" t="s">
        <v>12255</v>
      </c>
      <c r="M662" s="1" t="s">
        <v>81</v>
      </c>
      <c r="N662" s="1" t="s">
        <v>4057</v>
      </c>
      <c r="O662" s="1"/>
      <c r="P662" s="1" t="s">
        <v>1766</v>
      </c>
      <c r="Q662" s="1" t="s">
        <v>12256</v>
      </c>
      <c r="R662" s="1" t="s">
        <v>12257</v>
      </c>
      <c r="S662" s="1">
        <v>8921884334</v>
      </c>
      <c r="T662" s="1" t="s">
        <v>496</v>
      </c>
      <c r="U662" s="1" t="s">
        <v>12258</v>
      </c>
      <c r="V662" s="1">
        <v>9400512590</v>
      </c>
      <c r="W662" s="1" t="s">
        <v>89</v>
      </c>
      <c r="X662" s="1" t="s">
        <v>12259</v>
      </c>
      <c r="Y662" s="1" t="s">
        <v>124</v>
      </c>
      <c r="Z662" s="1" t="s">
        <v>125</v>
      </c>
      <c r="AA662" s="1" t="s">
        <v>12259</v>
      </c>
      <c r="AB662" s="1" t="s">
        <v>124</v>
      </c>
      <c r="AC662" s="1" t="s">
        <v>125</v>
      </c>
      <c r="AD662" s="1">
        <v>8.82</v>
      </c>
      <c r="AE662" s="1" t="s">
        <v>93</v>
      </c>
      <c r="AF662" s="1" t="s">
        <v>12260</v>
      </c>
      <c r="AG662" s="1" t="s">
        <v>12261</v>
      </c>
      <c r="AH662" s="1" t="s">
        <v>162</v>
      </c>
      <c r="AI662" s="1" t="s">
        <v>195</v>
      </c>
      <c r="AJ662" s="1">
        <v>95</v>
      </c>
      <c r="AK662" s="1">
        <v>10</v>
      </c>
      <c r="AL662" s="1" t="s">
        <v>12262</v>
      </c>
      <c r="AM662" s="1" t="s">
        <v>12263</v>
      </c>
      <c r="AN662" s="1" t="s">
        <v>165</v>
      </c>
      <c r="AO662" s="1" t="s">
        <v>409</v>
      </c>
      <c r="AP662" s="1">
        <v>91.91</v>
      </c>
      <c r="AQ662" s="1"/>
      <c r="AR662" s="1"/>
      <c r="AS662" s="1"/>
      <c r="AT662" s="1"/>
      <c r="AU662" s="1"/>
      <c r="AV662" s="1"/>
      <c r="AW662" s="1"/>
      <c r="AX662" s="1" t="s">
        <v>132</v>
      </c>
      <c r="AY662" s="1" t="s">
        <v>12264</v>
      </c>
      <c r="AZ662" s="1" t="s">
        <v>433</v>
      </c>
      <c r="BA662" s="1" t="s">
        <v>229</v>
      </c>
      <c r="BB662" s="1">
        <v>77.5</v>
      </c>
      <c r="BC662" s="1">
        <v>7.75</v>
      </c>
      <c r="BD662" s="1"/>
      <c r="BE662" s="1"/>
      <c r="BF662" s="1"/>
      <c r="BG662" s="1"/>
      <c r="BH662" s="1"/>
      <c r="BI662" s="1"/>
      <c r="BJ662" s="1" t="s">
        <v>12265</v>
      </c>
      <c r="BK662" s="1" t="s">
        <v>12266</v>
      </c>
      <c r="BL662" s="1" t="s">
        <v>1629</v>
      </c>
      <c r="BM662" s="1" t="s">
        <v>12267</v>
      </c>
      <c r="BN662" s="1">
        <v>8</v>
      </c>
      <c r="BO662" s="1" t="s">
        <v>12268</v>
      </c>
      <c r="BP662" s="1" t="str">
        <f>HYPERLINK("https://nconnect.nicmar.ac.in/storage/profile/ProfilePhoto_P25700626_346895.jpg","Download")</f>
        <v>0</v>
      </c>
      <c r="BQ662" s="3"/>
      <c r="BR662" s="3"/>
    </row>
    <row r="663" spans="1:70">
      <c r="A663" s="1" t="s">
        <v>70</v>
      </c>
      <c r="B663" s="1" t="s">
        <v>1269</v>
      </c>
      <c r="C663" s="1" t="s">
        <v>12269</v>
      </c>
      <c r="D663" s="1" t="s">
        <v>12270</v>
      </c>
      <c r="E663" s="1"/>
      <c r="F663" s="1" t="s">
        <v>5393</v>
      </c>
      <c r="G663" s="1" t="s">
        <v>12271</v>
      </c>
      <c r="H663" s="1" t="s">
        <v>12272</v>
      </c>
      <c r="I663" s="1" t="s">
        <v>12273</v>
      </c>
      <c r="J663" s="1">
        <v>8921042682</v>
      </c>
      <c r="K663" s="1" t="s">
        <v>79</v>
      </c>
      <c r="L663" s="1" t="s">
        <v>2678</v>
      </c>
      <c r="M663" s="1" t="s">
        <v>81</v>
      </c>
      <c r="N663" s="1" t="s">
        <v>12274</v>
      </c>
      <c r="O663" s="1"/>
      <c r="P663" s="1" t="s">
        <v>1278</v>
      </c>
      <c r="Q663" s="1" t="s">
        <v>12275</v>
      </c>
      <c r="R663" s="1" t="s">
        <v>12276</v>
      </c>
      <c r="S663" s="1">
        <v>9495648450</v>
      </c>
      <c r="T663" s="1" t="s">
        <v>87</v>
      </c>
      <c r="U663" s="1" t="s">
        <v>12277</v>
      </c>
      <c r="V663" s="1">
        <v>9847095505</v>
      </c>
      <c r="W663" s="1" t="s">
        <v>122</v>
      </c>
      <c r="X663" s="1" t="s">
        <v>12278</v>
      </c>
      <c r="Y663" s="1" t="s">
        <v>891</v>
      </c>
      <c r="Z663" s="1" t="s">
        <v>125</v>
      </c>
      <c r="AA663" s="1" t="s">
        <v>12278</v>
      </c>
      <c r="AB663" s="1" t="s">
        <v>891</v>
      </c>
      <c r="AC663" s="1" t="s">
        <v>125</v>
      </c>
      <c r="AD663" s="1">
        <v>8.48</v>
      </c>
      <c r="AE663" s="1" t="s">
        <v>93</v>
      </c>
      <c r="AF663" s="1" t="s">
        <v>12279</v>
      </c>
      <c r="AG663" s="1" t="s">
        <v>12280</v>
      </c>
      <c r="AH663" s="1" t="s">
        <v>165</v>
      </c>
      <c r="AI663" s="1" t="s">
        <v>166</v>
      </c>
      <c r="AJ663" s="1">
        <v>77.8</v>
      </c>
      <c r="AK663" s="1"/>
      <c r="AL663" s="1" t="s">
        <v>12281</v>
      </c>
      <c r="AM663" s="1" t="s">
        <v>3698</v>
      </c>
      <c r="AN663" s="1" t="s">
        <v>433</v>
      </c>
      <c r="AO663" s="1" t="s">
        <v>173</v>
      </c>
      <c r="AP663" s="1">
        <v>78.83</v>
      </c>
      <c r="AQ663" s="1"/>
      <c r="AR663" s="1"/>
      <c r="AS663" s="1"/>
      <c r="AT663" s="1"/>
      <c r="AU663" s="1"/>
      <c r="AV663" s="1"/>
      <c r="AW663" s="1"/>
      <c r="AX663" s="1" t="s">
        <v>132</v>
      </c>
      <c r="AY663" s="1" t="s">
        <v>12282</v>
      </c>
      <c r="AZ663" s="1" t="s">
        <v>170</v>
      </c>
      <c r="BA663" s="1" t="s">
        <v>2103</v>
      </c>
      <c r="BB663" s="1">
        <v>69.7</v>
      </c>
      <c r="BC663" s="1">
        <v>6.97</v>
      </c>
      <c r="BD663" s="1"/>
      <c r="BE663" s="1"/>
      <c r="BF663" s="1"/>
      <c r="BG663" s="1"/>
      <c r="BH663" s="1"/>
      <c r="BI663" s="1"/>
      <c r="BJ663" s="1" t="s">
        <v>12283</v>
      </c>
      <c r="BK663" s="1"/>
      <c r="BL663" s="1"/>
      <c r="BM663" s="1" t="s">
        <v>12284</v>
      </c>
      <c r="BN663" s="1">
        <v>73</v>
      </c>
      <c r="BO663" s="1" t="s">
        <v>12285</v>
      </c>
      <c r="BP663" s="1" t="str">
        <f>HYPERLINK("https://nconnect.nicmar.ac.in/storage/profile/ProfilePhoto_P25700627_278145.jpg","Download")</f>
        <v>0</v>
      </c>
      <c r="BQ663" s="3"/>
      <c r="BR663" s="3"/>
    </row>
    <row r="664" spans="1:70">
      <c r="A664" s="1" t="s">
        <v>70</v>
      </c>
      <c r="B664" s="1" t="s">
        <v>1269</v>
      </c>
      <c r="C664" s="1" t="s">
        <v>12286</v>
      </c>
      <c r="D664" s="1" t="s">
        <v>3297</v>
      </c>
      <c r="E664" s="1" t="s">
        <v>596</v>
      </c>
      <c r="F664" s="1" t="s">
        <v>12287</v>
      </c>
      <c r="G664" s="1" t="s">
        <v>12288</v>
      </c>
      <c r="H664" s="1" t="s">
        <v>12289</v>
      </c>
      <c r="I664" s="1" t="s">
        <v>12290</v>
      </c>
      <c r="J664" s="1">
        <v>9676818100</v>
      </c>
      <c r="K664" s="1" t="s">
        <v>79</v>
      </c>
      <c r="L664" s="1" t="s">
        <v>12291</v>
      </c>
      <c r="M664" s="1" t="s">
        <v>81</v>
      </c>
      <c r="N664" s="1" t="s">
        <v>4245</v>
      </c>
      <c r="O664" s="1"/>
      <c r="P664" s="1" t="s">
        <v>1278</v>
      </c>
      <c r="Q664" s="1" t="s">
        <v>12292</v>
      </c>
      <c r="R664" s="1" t="s">
        <v>12293</v>
      </c>
      <c r="S664" s="1">
        <v>9701153762</v>
      </c>
      <c r="T664" s="1" t="s">
        <v>496</v>
      </c>
      <c r="U664" s="1" t="s">
        <v>12294</v>
      </c>
      <c r="V664" s="1">
        <v>8096616179</v>
      </c>
      <c r="W664" s="1" t="s">
        <v>651</v>
      </c>
      <c r="X664" s="1" t="s">
        <v>12295</v>
      </c>
      <c r="Y664" s="1" t="s">
        <v>275</v>
      </c>
      <c r="Z664" s="1" t="s">
        <v>276</v>
      </c>
      <c r="AA664" s="1" t="s">
        <v>12295</v>
      </c>
      <c r="AB664" s="1" t="s">
        <v>275</v>
      </c>
      <c r="AC664" s="1" t="s">
        <v>276</v>
      </c>
      <c r="AD664" s="1">
        <v>8.66</v>
      </c>
      <c r="AE664" s="1" t="s">
        <v>93</v>
      </c>
      <c r="AF664" s="1" t="s">
        <v>12296</v>
      </c>
      <c r="AG664" s="1" t="s">
        <v>2243</v>
      </c>
      <c r="AH664" s="1" t="s">
        <v>383</v>
      </c>
      <c r="AI664" s="1" t="s">
        <v>281</v>
      </c>
      <c r="AJ664" s="1">
        <v>93</v>
      </c>
      <c r="AK664" s="1">
        <v>9.3</v>
      </c>
      <c r="AL664" s="1"/>
      <c r="AM664" s="1"/>
      <c r="AN664" s="1"/>
      <c r="AO664" s="1"/>
      <c r="AP664" s="1"/>
      <c r="AQ664" s="1"/>
      <c r="AR664" s="1" t="s">
        <v>434</v>
      </c>
      <c r="AS664" s="1" t="s">
        <v>12297</v>
      </c>
      <c r="AT664" s="1" t="s">
        <v>101</v>
      </c>
      <c r="AU664" s="1" t="s">
        <v>3081</v>
      </c>
      <c r="AV664" s="1">
        <v>86</v>
      </c>
      <c r="AW664" s="1"/>
      <c r="AX664" s="1" t="s">
        <v>12298</v>
      </c>
      <c r="AY664" s="1" t="s">
        <v>12299</v>
      </c>
      <c r="AZ664" s="1" t="s">
        <v>897</v>
      </c>
      <c r="BA664" s="1" t="s">
        <v>413</v>
      </c>
      <c r="BB664" s="1">
        <v>72.7</v>
      </c>
      <c r="BC664" s="1">
        <v>8.02</v>
      </c>
      <c r="BD664" s="1"/>
      <c r="BE664" s="1"/>
      <c r="BF664" s="1"/>
      <c r="BG664" s="1"/>
      <c r="BH664" s="1"/>
      <c r="BI664" s="1"/>
      <c r="BJ664" s="1" t="s">
        <v>12300</v>
      </c>
      <c r="BK664" s="1"/>
      <c r="BL664" s="1"/>
      <c r="BM664" s="1" t="s">
        <v>12301</v>
      </c>
      <c r="BN664" s="1">
        <v>23</v>
      </c>
      <c r="BO664" s="1" t="s">
        <v>12302</v>
      </c>
      <c r="BP664" s="1" t="str">
        <f>HYPERLINK("https://nconnect.nicmar.ac.in/storage/profile/ProfilePhoto_P25700628_692713.jpg","Download")</f>
        <v>0</v>
      </c>
      <c r="BQ664" s="3"/>
      <c r="BR664" s="3"/>
    </row>
    <row r="665" spans="1:70">
      <c r="A665" s="1" t="s">
        <v>70</v>
      </c>
      <c r="B665" s="1" t="s">
        <v>1269</v>
      </c>
      <c r="C665" s="1" t="s">
        <v>12303</v>
      </c>
      <c r="D665" s="1" t="s">
        <v>12304</v>
      </c>
      <c r="E665" s="1"/>
      <c r="F665" s="1" t="s">
        <v>12305</v>
      </c>
      <c r="G665" s="1" t="s">
        <v>12306</v>
      </c>
      <c r="H665" s="1" t="s">
        <v>12307</v>
      </c>
      <c r="I665" s="1" t="s">
        <v>12308</v>
      </c>
      <c r="J665" s="1">
        <v>8918399949</v>
      </c>
      <c r="K665" s="1" t="s">
        <v>148</v>
      </c>
      <c r="L665" s="1" t="s">
        <v>12309</v>
      </c>
      <c r="M665" s="1" t="s">
        <v>81</v>
      </c>
      <c r="N665" s="1" t="s">
        <v>12310</v>
      </c>
      <c r="O665" s="1"/>
      <c r="P665" s="1" t="s">
        <v>1298</v>
      </c>
      <c r="Q665" s="1" t="s">
        <v>12311</v>
      </c>
      <c r="R665" s="1" t="s">
        <v>12312</v>
      </c>
      <c r="S665" s="1">
        <v>8250793233</v>
      </c>
      <c r="T665" s="1" t="s">
        <v>496</v>
      </c>
      <c r="U665" s="1" t="s">
        <v>12313</v>
      </c>
      <c r="V665" s="1">
        <v>9832013466</v>
      </c>
      <c r="W665" s="1" t="s">
        <v>716</v>
      </c>
      <c r="X665" s="1" t="s">
        <v>12314</v>
      </c>
      <c r="Y665" s="1" t="s">
        <v>12315</v>
      </c>
      <c r="Z665" s="1" t="s">
        <v>783</v>
      </c>
      <c r="AA665" s="1" t="s">
        <v>12314</v>
      </c>
      <c r="AB665" s="1" t="s">
        <v>12315</v>
      </c>
      <c r="AC665" s="1" t="s">
        <v>783</v>
      </c>
      <c r="AD665" s="1">
        <v>8.76</v>
      </c>
      <c r="AE665" s="1" t="s">
        <v>93</v>
      </c>
      <c r="AF665" s="1" t="s">
        <v>12316</v>
      </c>
      <c r="AG665" s="1" t="s">
        <v>12317</v>
      </c>
      <c r="AH665" s="1" t="s">
        <v>1197</v>
      </c>
      <c r="AI665" s="1" t="s">
        <v>131</v>
      </c>
      <c r="AJ665" s="1">
        <v>79.16</v>
      </c>
      <c r="AK665" s="1"/>
      <c r="AL665" s="1" t="s">
        <v>12316</v>
      </c>
      <c r="AM665" s="1" t="s">
        <v>12318</v>
      </c>
      <c r="AN665" s="1" t="s">
        <v>279</v>
      </c>
      <c r="AO665" s="1" t="s">
        <v>479</v>
      </c>
      <c r="AP665" s="1">
        <v>69.83</v>
      </c>
      <c r="AQ665" s="1"/>
      <c r="AR665" s="1"/>
      <c r="AS665" s="1"/>
      <c r="AT665" s="1"/>
      <c r="AU665" s="1"/>
      <c r="AV665" s="1"/>
      <c r="AW665" s="1"/>
      <c r="AX665" s="1" t="s">
        <v>12319</v>
      </c>
      <c r="AY665" s="1" t="s">
        <v>12320</v>
      </c>
      <c r="AZ665" s="1" t="s">
        <v>383</v>
      </c>
      <c r="BA665" s="1" t="s">
        <v>1003</v>
      </c>
      <c r="BB665" s="1">
        <v>62.5</v>
      </c>
      <c r="BC665" s="1">
        <v>6.75</v>
      </c>
      <c r="BD665" s="1"/>
      <c r="BE665" s="1"/>
      <c r="BF665" s="1"/>
      <c r="BG665" s="1"/>
      <c r="BH665" s="1"/>
      <c r="BI665" s="1"/>
      <c r="BJ665" s="1" t="s">
        <v>12321</v>
      </c>
      <c r="BK665" s="1" t="s">
        <v>12322</v>
      </c>
      <c r="BL665" s="1" t="s">
        <v>1337</v>
      </c>
      <c r="BM665" s="1" t="s">
        <v>12323</v>
      </c>
      <c r="BN665" s="1">
        <v>45</v>
      </c>
      <c r="BO665" s="1" t="s">
        <v>12324</v>
      </c>
      <c r="BP665" s="1" t="str">
        <f>HYPERLINK("https://nconnect.nicmar.ac.in/storage/profile/ProfilePhoto_P25700629_729153.jpg","Download")</f>
        <v>0</v>
      </c>
      <c r="BQ665" s="3"/>
      <c r="BR665" s="3"/>
    </row>
    <row r="666" spans="1:70">
      <c r="A666" s="1" t="s">
        <v>70</v>
      </c>
      <c r="B666" s="1" t="s">
        <v>1269</v>
      </c>
      <c r="C666" s="1" t="s">
        <v>12325</v>
      </c>
      <c r="D666" s="1" t="s">
        <v>1057</v>
      </c>
      <c r="E666" s="1"/>
      <c r="F666" s="1" t="s">
        <v>12326</v>
      </c>
      <c r="G666" s="1" t="s">
        <v>12327</v>
      </c>
      <c r="H666" s="1" t="s">
        <v>12328</v>
      </c>
      <c r="I666" s="1" t="s">
        <v>12329</v>
      </c>
      <c r="J666" s="1">
        <v>8547426138</v>
      </c>
      <c r="K666" s="1" t="s">
        <v>148</v>
      </c>
      <c r="L666" s="1" t="s">
        <v>11182</v>
      </c>
      <c r="M666" s="1" t="s">
        <v>81</v>
      </c>
      <c r="N666" s="1" t="s">
        <v>12330</v>
      </c>
      <c r="O666" s="1"/>
      <c r="P666" s="1" t="s">
        <v>1278</v>
      </c>
      <c r="Q666" s="1" t="s">
        <v>12331</v>
      </c>
      <c r="R666" s="1" t="s">
        <v>12332</v>
      </c>
      <c r="S666" s="1">
        <v>9847500577</v>
      </c>
      <c r="T666" s="1" t="s">
        <v>12333</v>
      </c>
      <c r="U666" s="1" t="s">
        <v>12334</v>
      </c>
      <c r="V666" s="1">
        <v>8113855864</v>
      </c>
      <c r="W666" s="1" t="s">
        <v>273</v>
      </c>
      <c r="X666" s="1" t="s">
        <v>12335</v>
      </c>
      <c r="Y666" s="1" t="s">
        <v>891</v>
      </c>
      <c r="Z666" s="1" t="s">
        <v>125</v>
      </c>
      <c r="AA666" s="1" t="s">
        <v>12335</v>
      </c>
      <c r="AB666" s="1" t="s">
        <v>891</v>
      </c>
      <c r="AC666" s="1" t="s">
        <v>125</v>
      </c>
      <c r="AD666" s="1">
        <v>8.67</v>
      </c>
      <c r="AE666" s="1" t="s">
        <v>93</v>
      </c>
      <c r="AF666" s="1" t="s">
        <v>12336</v>
      </c>
      <c r="AG666" s="1" t="s">
        <v>12337</v>
      </c>
      <c r="AH666" s="1" t="s">
        <v>165</v>
      </c>
      <c r="AI666" s="1" t="s">
        <v>281</v>
      </c>
      <c r="AJ666" s="1">
        <v>95</v>
      </c>
      <c r="AK666" s="1"/>
      <c r="AL666" s="1" t="s">
        <v>12338</v>
      </c>
      <c r="AM666" s="1" t="s">
        <v>12339</v>
      </c>
      <c r="AN666" s="1" t="s">
        <v>101</v>
      </c>
      <c r="AO666" s="1" t="s">
        <v>941</v>
      </c>
      <c r="AP666" s="1">
        <v>96.16</v>
      </c>
      <c r="AQ666" s="1"/>
      <c r="AR666" s="1"/>
      <c r="AS666" s="1"/>
      <c r="AT666" s="1"/>
      <c r="AU666" s="1"/>
      <c r="AV666" s="1"/>
      <c r="AW666" s="1"/>
      <c r="AX666" s="1" t="s">
        <v>12340</v>
      </c>
      <c r="AY666" s="1" t="s">
        <v>12340</v>
      </c>
      <c r="AZ666" s="1" t="s">
        <v>228</v>
      </c>
      <c r="BA666" s="1" t="s">
        <v>702</v>
      </c>
      <c r="BB666" s="1">
        <v>82.5</v>
      </c>
      <c r="BC666" s="1">
        <v>8.75</v>
      </c>
      <c r="BD666" s="1"/>
      <c r="BE666" s="1"/>
      <c r="BF666" s="1"/>
      <c r="BG666" s="1"/>
      <c r="BH666" s="1"/>
      <c r="BI666" s="1"/>
      <c r="BJ666" s="1" t="s">
        <v>12341</v>
      </c>
      <c r="BK666" s="1"/>
      <c r="BL666" s="1"/>
      <c r="BM666" s="1" t="s">
        <v>12342</v>
      </c>
      <c r="BN666" s="1">
        <v>45</v>
      </c>
      <c r="BO666" s="1" t="s">
        <v>12343</v>
      </c>
      <c r="BP666" s="1" t="str">
        <f>HYPERLINK("https://nconnect.nicmar.ac.in/storage/profile/ProfilePhoto_P25700630_165892.jpg","Download")</f>
        <v>0</v>
      </c>
      <c r="BQ666" s="3"/>
      <c r="BR666" s="3"/>
    </row>
    <row r="667" spans="1:70">
      <c r="A667" s="1" t="s">
        <v>70</v>
      </c>
      <c r="B667" s="1" t="s">
        <v>1269</v>
      </c>
      <c r="C667" s="1" t="s">
        <v>12344</v>
      </c>
      <c r="D667" s="1" t="s">
        <v>12345</v>
      </c>
      <c r="E667" s="1" t="s">
        <v>12346</v>
      </c>
      <c r="F667" s="1" t="s">
        <v>4610</v>
      </c>
      <c r="G667" s="1" t="s">
        <v>12347</v>
      </c>
      <c r="H667" s="1" t="s">
        <v>12348</v>
      </c>
      <c r="I667" s="1" t="s">
        <v>12349</v>
      </c>
      <c r="J667" s="1">
        <v>6309506798</v>
      </c>
      <c r="K667" s="1" t="s">
        <v>79</v>
      </c>
      <c r="L667" s="1" t="s">
        <v>12350</v>
      </c>
      <c r="M667" s="1" t="s">
        <v>81</v>
      </c>
      <c r="N667" s="1" t="s">
        <v>12351</v>
      </c>
      <c r="O667" s="1"/>
      <c r="P667" s="1" t="s">
        <v>1278</v>
      </c>
      <c r="Q667" s="1" t="s">
        <v>12352</v>
      </c>
      <c r="R667" s="1" t="s">
        <v>12353</v>
      </c>
      <c r="S667" s="1">
        <v>7981702108</v>
      </c>
      <c r="T667" s="1" t="s">
        <v>325</v>
      </c>
      <c r="U667" s="1" t="s">
        <v>12354</v>
      </c>
      <c r="V667" s="1">
        <v>8309379725</v>
      </c>
      <c r="W667" s="1" t="s">
        <v>89</v>
      </c>
      <c r="X667" s="1" t="s">
        <v>12355</v>
      </c>
      <c r="Y667" s="1" t="s">
        <v>1150</v>
      </c>
      <c r="Z667" s="1" t="s">
        <v>276</v>
      </c>
      <c r="AA667" s="1" t="s">
        <v>12356</v>
      </c>
      <c r="AB667" s="1" t="s">
        <v>1150</v>
      </c>
      <c r="AC667" s="1" t="s">
        <v>276</v>
      </c>
      <c r="AD667" s="1">
        <v>8.04</v>
      </c>
      <c r="AE667" s="1" t="s">
        <v>93</v>
      </c>
      <c r="AF667" s="1" t="s">
        <v>12357</v>
      </c>
      <c r="AG667" s="1" t="s">
        <v>12358</v>
      </c>
      <c r="AH667" s="1" t="s">
        <v>169</v>
      </c>
      <c r="AI667" s="1" t="s">
        <v>1065</v>
      </c>
      <c r="AJ667" s="1">
        <v>92</v>
      </c>
      <c r="AK667" s="1">
        <v>9.2</v>
      </c>
      <c r="AL667" s="1" t="s">
        <v>612</v>
      </c>
      <c r="AM667" s="1" t="s">
        <v>2245</v>
      </c>
      <c r="AN667" s="1" t="s">
        <v>310</v>
      </c>
      <c r="AO667" s="1" t="s">
        <v>504</v>
      </c>
      <c r="AP667" s="1">
        <v>84.3</v>
      </c>
      <c r="AQ667" s="1"/>
      <c r="AR667" s="1"/>
      <c r="AS667" s="1"/>
      <c r="AT667" s="1"/>
      <c r="AU667" s="1"/>
      <c r="AV667" s="1"/>
      <c r="AW667" s="1"/>
      <c r="AX667" s="1" t="s">
        <v>12359</v>
      </c>
      <c r="AY667" s="1" t="s">
        <v>12360</v>
      </c>
      <c r="AZ667" s="1" t="s">
        <v>135</v>
      </c>
      <c r="BA667" s="1" t="s">
        <v>1408</v>
      </c>
      <c r="BB667" s="1">
        <v>71</v>
      </c>
      <c r="BC667" s="1">
        <v>7.1</v>
      </c>
      <c r="BD667" s="1"/>
      <c r="BE667" s="1"/>
      <c r="BF667" s="1"/>
      <c r="BG667" s="1"/>
      <c r="BH667" s="1"/>
      <c r="BI667" s="1"/>
      <c r="BJ667" s="1" t="s">
        <v>12361</v>
      </c>
      <c r="BK667" s="1"/>
      <c r="BL667" s="1"/>
      <c r="BM667" s="1" t="s">
        <v>12362</v>
      </c>
      <c r="BN667" s="1">
        <v>4</v>
      </c>
      <c r="BO667" s="1" t="s">
        <v>12363</v>
      </c>
      <c r="BP667" s="1" t="str">
        <f>HYPERLINK("https://nconnect.nicmar.ac.in/storage/profile/ProfilePhoto_P25700631_576189.jpg","Download")</f>
        <v>0</v>
      </c>
      <c r="BQ667" s="3"/>
      <c r="BR667" s="3"/>
    </row>
    <row r="668" spans="1:70">
      <c r="A668" s="1" t="s">
        <v>70</v>
      </c>
      <c r="B668" s="1" t="s">
        <v>1269</v>
      </c>
      <c r="C668" s="1" t="s">
        <v>12364</v>
      </c>
      <c r="D668" s="1" t="s">
        <v>12365</v>
      </c>
      <c r="E668" s="1" t="s">
        <v>12366</v>
      </c>
      <c r="F668" s="1" t="s">
        <v>1072</v>
      </c>
      <c r="G668" s="1" t="s">
        <v>12367</v>
      </c>
      <c r="H668" s="1" t="s">
        <v>12368</v>
      </c>
      <c r="I668" s="1" t="s">
        <v>12369</v>
      </c>
      <c r="J668" s="1">
        <v>9834581395</v>
      </c>
      <c r="K668" s="1" t="s">
        <v>148</v>
      </c>
      <c r="L668" s="1" t="s">
        <v>12370</v>
      </c>
      <c r="M668" s="1" t="s">
        <v>81</v>
      </c>
      <c r="N668" s="1" t="s">
        <v>12371</v>
      </c>
      <c r="O668" s="1"/>
      <c r="P668" s="1" t="s">
        <v>1323</v>
      </c>
      <c r="Q668" s="1" t="s">
        <v>12372</v>
      </c>
      <c r="R668" s="1" t="s">
        <v>12373</v>
      </c>
      <c r="S668" s="1">
        <v>9765818228</v>
      </c>
      <c r="T668" s="1" t="s">
        <v>496</v>
      </c>
      <c r="U668" s="1" t="s">
        <v>12374</v>
      </c>
      <c r="V668" s="1">
        <v>9271555654</v>
      </c>
      <c r="W668" s="1" t="s">
        <v>156</v>
      </c>
      <c r="X668" s="1" t="s">
        <v>12375</v>
      </c>
      <c r="Y668" s="1" t="s">
        <v>191</v>
      </c>
      <c r="Z668" s="1" t="s">
        <v>92</v>
      </c>
      <c r="AA668" s="1" t="s">
        <v>12375</v>
      </c>
      <c r="AB668" s="1" t="s">
        <v>191</v>
      </c>
      <c r="AC668" s="1" t="s">
        <v>92</v>
      </c>
      <c r="AD668" s="1">
        <v>8.94</v>
      </c>
      <c r="AE668" s="1" t="s">
        <v>93</v>
      </c>
      <c r="AF668" s="1" t="s">
        <v>12376</v>
      </c>
      <c r="AG668" s="1" t="s">
        <v>160</v>
      </c>
      <c r="AH668" s="1" t="s">
        <v>162</v>
      </c>
      <c r="AI668" s="1" t="s">
        <v>479</v>
      </c>
      <c r="AJ668" s="1">
        <v>93</v>
      </c>
      <c r="AK668" s="1"/>
      <c r="AL668" s="1" t="s">
        <v>12377</v>
      </c>
      <c r="AM668" s="1" t="s">
        <v>160</v>
      </c>
      <c r="AN668" s="1" t="s">
        <v>101</v>
      </c>
      <c r="AO668" s="1" t="s">
        <v>308</v>
      </c>
      <c r="AP668" s="1">
        <v>73.38</v>
      </c>
      <c r="AQ668" s="1"/>
      <c r="AR668" s="1"/>
      <c r="AS668" s="1"/>
      <c r="AT668" s="1"/>
      <c r="AU668" s="1"/>
      <c r="AV668" s="1"/>
      <c r="AW668" s="1"/>
      <c r="AX668" s="1" t="s">
        <v>361</v>
      </c>
      <c r="AY668" s="1" t="s">
        <v>12378</v>
      </c>
      <c r="AZ668" s="1" t="s">
        <v>201</v>
      </c>
      <c r="BA668" s="1" t="s">
        <v>202</v>
      </c>
      <c r="BB668" s="1">
        <v>64.79</v>
      </c>
      <c r="BC668" s="1">
        <v>7.28</v>
      </c>
      <c r="BD668" s="1"/>
      <c r="BE668" s="1"/>
      <c r="BF668" s="1"/>
      <c r="BG668" s="1"/>
      <c r="BH668" s="1"/>
      <c r="BI668" s="1"/>
      <c r="BJ668" s="1" t="s">
        <v>12379</v>
      </c>
      <c r="BK668" s="1" t="s">
        <v>12380</v>
      </c>
      <c r="BL668" s="1" t="s">
        <v>1220</v>
      </c>
      <c r="BM668" s="1" t="s">
        <v>12381</v>
      </c>
      <c r="BN668" s="1">
        <v>28</v>
      </c>
      <c r="BO668" s="1"/>
      <c r="BP668" s="1" t="str">
        <f>HYPERLINK("https://nconnect.nicmar.ac.in/storage/profile/ProfilePhoto_P25700632_185743.jpg","Download")</f>
        <v>0</v>
      </c>
      <c r="BQ668" s="3"/>
      <c r="BR668" s="3"/>
    </row>
    <row r="669" spans="1:70">
      <c r="A669" s="1" t="s">
        <v>70</v>
      </c>
      <c r="B669" s="1" t="s">
        <v>1269</v>
      </c>
      <c r="C669" s="1" t="s">
        <v>12382</v>
      </c>
      <c r="D669" s="1" t="s">
        <v>12383</v>
      </c>
      <c r="E669" s="1"/>
      <c r="F669" s="1" t="s">
        <v>2655</v>
      </c>
      <c r="G669" s="1" t="s">
        <v>12384</v>
      </c>
      <c r="H669" s="1" t="s">
        <v>12385</v>
      </c>
      <c r="I669" s="1" t="s">
        <v>12385</v>
      </c>
      <c r="J669" s="1">
        <v>8861189669</v>
      </c>
      <c r="K669" s="1" t="s">
        <v>148</v>
      </c>
      <c r="L669" s="1" t="s">
        <v>296</v>
      </c>
      <c r="M669" s="1" t="s">
        <v>81</v>
      </c>
      <c r="N669" s="1" t="s">
        <v>12386</v>
      </c>
      <c r="O669" s="1"/>
      <c r="P669" s="1" t="s">
        <v>1766</v>
      </c>
      <c r="Q669" s="1" t="s">
        <v>12387</v>
      </c>
      <c r="R669" s="1" t="s">
        <v>12388</v>
      </c>
      <c r="S669" s="1">
        <v>9900306365</v>
      </c>
      <c r="T669" s="1" t="s">
        <v>12389</v>
      </c>
      <c r="U669" s="1" t="s">
        <v>12390</v>
      </c>
      <c r="V669" s="1">
        <v>9591731589</v>
      </c>
      <c r="W669" s="1" t="s">
        <v>156</v>
      </c>
      <c r="X669" s="1" t="s">
        <v>12391</v>
      </c>
      <c r="Y669" s="1" t="s">
        <v>1083</v>
      </c>
      <c r="Z669" s="1" t="s">
        <v>1084</v>
      </c>
      <c r="AA669" s="1" t="s">
        <v>12391</v>
      </c>
      <c r="AB669" s="1" t="s">
        <v>1083</v>
      </c>
      <c r="AC669" s="1" t="s">
        <v>1084</v>
      </c>
      <c r="AD669" s="1">
        <v>8.5</v>
      </c>
      <c r="AE669" s="1" t="s">
        <v>93</v>
      </c>
      <c r="AF669" s="1" t="s">
        <v>12392</v>
      </c>
      <c r="AG669" s="1" t="s">
        <v>2745</v>
      </c>
      <c r="AH669" s="1" t="s">
        <v>162</v>
      </c>
      <c r="AI669" s="1" t="s">
        <v>678</v>
      </c>
      <c r="AJ669" s="1">
        <v>78.4</v>
      </c>
      <c r="AK669" s="1"/>
      <c r="AL669" s="1" t="s">
        <v>12393</v>
      </c>
      <c r="AM669" s="1" t="s">
        <v>4511</v>
      </c>
      <c r="AN669" s="1" t="s">
        <v>101</v>
      </c>
      <c r="AO669" s="1" t="s">
        <v>409</v>
      </c>
      <c r="AP669" s="1">
        <v>66.33</v>
      </c>
      <c r="AQ669" s="1"/>
      <c r="AR669" s="1"/>
      <c r="AS669" s="1"/>
      <c r="AT669" s="1"/>
      <c r="AU669" s="1"/>
      <c r="AV669" s="1"/>
      <c r="AW669" s="1"/>
      <c r="AX669" s="1" t="s">
        <v>8258</v>
      </c>
      <c r="AY669" s="1" t="s">
        <v>12394</v>
      </c>
      <c r="AZ669" s="1" t="s">
        <v>201</v>
      </c>
      <c r="BA669" s="1" t="s">
        <v>229</v>
      </c>
      <c r="BB669" s="1">
        <v>86.9</v>
      </c>
      <c r="BC669" s="1">
        <v>8.69</v>
      </c>
      <c r="BD669" s="1"/>
      <c r="BE669" s="1"/>
      <c r="BF669" s="1"/>
      <c r="BG669" s="1"/>
      <c r="BH669" s="1"/>
      <c r="BI669" s="1"/>
      <c r="BJ669" s="1" t="s">
        <v>12395</v>
      </c>
      <c r="BK669" s="1" t="s">
        <v>12396</v>
      </c>
      <c r="BL669" s="1" t="s">
        <v>1629</v>
      </c>
      <c r="BM669" s="1" t="s">
        <v>12397</v>
      </c>
      <c r="BN669" s="1">
        <v>33</v>
      </c>
      <c r="BO669" s="1" t="s">
        <v>12398</v>
      </c>
      <c r="BP669" s="1" t="str">
        <f>HYPERLINK("https://nconnect.nicmar.ac.in/storage/profile/ProfilePhoto_P25700633_541692.jpg","Download")</f>
        <v>0</v>
      </c>
      <c r="BQ669" s="3"/>
      <c r="BR669" s="3"/>
    </row>
    <row r="670" spans="1:70">
      <c r="A670" s="1" t="s">
        <v>70</v>
      </c>
      <c r="B670" s="1" t="s">
        <v>1269</v>
      </c>
      <c r="C670" s="1" t="s">
        <v>12399</v>
      </c>
      <c r="D670" s="1" t="s">
        <v>12400</v>
      </c>
      <c r="E670" s="1" t="s">
        <v>8456</v>
      </c>
      <c r="F670" s="1" t="s">
        <v>903</v>
      </c>
      <c r="G670" s="1" t="s">
        <v>12401</v>
      </c>
      <c r="H670" s="1" t="s">
        <v>12402</v>
      </c>
      <c r="I670" s="1" t="s">
        <v>12403</v>
      </c>
      <c r="J670" s="1">
        <v>9372882876</v>
      </c>
      <c r="K670" s="1" t="s">
        <v>79</v>
      </c>
      <c r="L670" s="1" t="s">
        <v>12404</v>
      </c>
      <c r="M670" s="1" t="s">
        <v>81</v>
      </c>
      <c r="N670" s="1" t="s">
        <v>9349</v>
      </c>
      <c r="O670" s="1"/>
      <c r="P670" s="1"/>
      <c r="Q670" s="1" t="s">
        <v>12405</v>
      </c>
      <c r="R670" s="1" t="s">
        <v>12406</v>
      </c>
      <c r="S670" s="1">
        <v>9820236344</v>
      </c>
      <c r="T670" s="1" t="s">
        <v>496</v>
      </c>
      <c r="U670" s="1" t="s">
        <v>12407</v>
      </c>
      <c r="V670" s="1">
        <v>9820190860</v>
      </c>
      <c r="W670" s="1" t="s">
        <v>273</v>
      </c>
      <c r="X670" s="1" t="s">
        <v>12408</v>
      </c>
      <c r="Y670" s="1" t="s">
        <v>1623</v>
      </c>
      <c r="Z670" s="1" t="s">
        <v>92</v>
      </c>
      <c r="AA670" s="1" t="s">
        <v>12409</v>
      </c>
      <c r="AB670" s="1" t="s">
        <v>995</v>
      </c>
      <c r="AC670" s="1" t="s">
        <v>92</v>
      </c>
      <c r="AD670" s="1">
        <v>7.64</v>
      </c>
      <c r="AE670" s="1" t="s">
        <v>93</v>
      </c>
      <c r="AF670" s="1" t="s">
        <v>12410</v>
      </c>
      <c r="AG670" s="1" t="s">
        <v>6662</v>
      </c>
      <c r="AH670" s="1" t="s">
        <v>281</v>
      </c>
      <c r="AI670" s="1" t="s">
        <v>308</v>
      </c>
      <c r="AJ670" s="1">
        <v>82.4</v>
      </c>
      <c r="AK670" s="1"/>
      <c r="AL670" s="1" t="s">
        <v>12411</v>
      </c>
      <c r="AM670" s="1" t="s">
        <v>6662</v>
      </c>
      <c r="AN670" s="1" t="s">
        <v>699</v>
      </c>
      <c r="AO670" s="1" t="s">
        <v>1131</v>
      </c>
      <c r="AP670" s="1">
        <v>88.17</v>
      </c>
      <c r="AQ670" s="1"/>
      <c r="AR670" s="1"/>
      <c r="AS670" s="1"/>
      <c r="AT670" s="1"/>
      <c r="AU670" s="1"/>
      <c r="AV670" s="1"/>
      <c r="AW670" s="1"/>
      <c r="AX670" s="1" t="s">
        <v>12412</v>
      </c>
      <c r="AY670" s="1" t="s">
        <v>12413</v>
      </c>
      <c r="AZ670" s="1" t="s">
        <v>1131</v>
      </c>
      <c r="BA670" s="1" t="s">
        <v>1714</v>
      </c>
      <c r="BB670" s="1">
        <v>74.5</v>
      </c>
      <c r="BC670" s="1">
        <v>8.2</v>
      </c>
      <c r="BD670" s="1"/>
      <c r="BE670" s="1"/>
      <c r="BF670" s="1"/>
      <c r="BG670" s="1"/>
      <c r="BH670" s="1"/>
      <c r="BI670" s="1"/>
      <c r="BJ670" s="1" t="s">
        <v>1715</v>
      </c>
      <c r="BK670" s="1"/>
      <c r="BL670" s="1"/>
      <c r="BM670" s="1" t="s">
        <v>12414</v>
      </c>
      <c r="BN670" s="1">
        <v>22</v>
      </c>
      <c r="BO670" s="1"/>
      <c r="BP670" s="1" t="str">
        <f>HYPERLINK("https://nconnect.nicmar.ac.in/storage/profile/ProfilePhoto_P25700634_569782.jpg","Download")</f>
        <v>0</v>
      </c>
      <c r="BQ670" s="3"/>
      <c r="BR670" s="3"/>
    </row>
    <row r="671" spans="1:70">
      <c r="A671" s="1" t="s">
        <v>70</v>
      </c>
      <c r="B671" s="1" t="s">
        <v>1269</v>
      </c>
      <c r="C671" s="1" t="s">
        <v>12415</v>
      </c>
      <c r="D671" s="1" t="s">
        <v>4295</v>
      </c>
      <c r="E671" s="1"/>
      <c r="F671" s="1" t="s">
        <v>12416</v>
      </c>
      <c r="G671" s="1" t="s">
        <v>12417</v>
      </c>
      <c r="H671" s="1" t="s">
        <v>12418</v>
      </c>
      <c r="I671" s="1" t="s">
        <v>12419</v>
      </c>
      <c r="J671" s="1">
        <v>9995021473</v>
      </c>
      <c r="K671" s="1" t="s">
        <v>79</v>
      </c>
      <c r="L671" s="1" t="s">
        <v>12420</v>
      </c>
      <c r="M671" s="1" t="s">
        <v>81</v>
      </c>
      <c r="N671" s="1" t="s">
        <v>12421</v>
      </c>
      <c r="O671" s="1"/>
      <c r="P671" s="1" t="s">
        <v>1766</v>
      </c>
      <c r="Q671" s="1" t="s">
        <v>12422</v>
      </c>
      <c r="R671" s="1" t="s">
        <v>12423</v>
      </c>
      <c r="S671" s="1">
        <v>9496392947</v>
      </c>
      <c r="T671" s="1" t="s">
        <v>12424</v>
      </c>
      <c r="U671" s="1" t="s">
        <v>12425</v>
      </c>
      <c r="V671" s="1">
        <v>9645464227</v>
      </c>
      <c r="W671" s="1" t="s">
        <v>156</v>
      </c>
      <c r="X671" s="1" t="s">
        <v>12426</v>
      </c>
      <c r="Y671" s="1" t="s">
        <v>3988</v>
      </c>
      <c r="Z671" s="1" t="s">
        <v>125</v>
      </c>
      <c r="AA671" s="1" t="s">
        <v>12426</v>
      </c>
      <c r="AB671" s="1" t="s">
        <v>3988</v>
      </c>
      <c r="AC671" s="1" t="s">
        <v>125</v>
      </c>
      <c r="AD671" s="1">
        <v>8.61</v>
      </c>
      <c r="AE671" s="1" t="s">
        <v>93</v>
      </c>
      <c r="AF671" s="1" t="s">
        <v>12427</v>
      </c>
      <c r="AG671" s="1" t="s">
        <v>12428</v>
      </c>
      <c r="AH671" s="1" t="s">
        <v>162</v>
      </c>
      <c r="AI671" s="1" t="s">
        <v>165</v>
      </c>
      <c r="AJ671" s="1">
        <v>91.2</v>
      </c>
      <c r="AK671" s="1">
        <v>9.6</v>
      </c>
      <c r="AL671" s="1" t="s">
        <v>12427</v>
      </c>
      <c r="AM671" s="1" t="s">
        <v>12428</v>
      </c>
      <c r="AN671" s="1" t="s">
        <v>166</v>
      </c>
      <c r="AO671" s="1" t="s">
        <v>308</v>
      </c>
      <c r="AP671" s="1">
        <v>64.6</v>
      </c>
      <c r="AQ671" s="1"/>
      <c r="AR671" s="1"/>
      <c r="AS671" s="1"/>
      <c r="AT671" s="1"/>
      <c r="AU671" s="1"/>
      <c r="AV671" s="1"/>
      <c r="AW671" s="1"/>
      <c r="AX671" s="1" t="s">
        <v>132</v>
      </c>
      <c r="AY671" s="1" t="s">
        <v>12429</v>
      </c>
      <c r="AZ671" s="1" t="s">
        <v>201</v>
      </c>
      <c r="BA671" s="1" t="s">
        <v>386</v>
      </c>
      <c r="BB671" s="1">
        <v>67.9</v>
      </c>
      <c r="BC671" s="1">
        <v>6.79</v>
      </c>
      <c r="BD671" s="1"/>
      <c r="BE671" s="1"/>
      <c r="BF671" s="1"/>
      <c r="BG671" s="1"/>
      <c r="BH671" s="1"/>
      <c r="BI671" s="1"/>
      <c r="BJ671" s="1" t="s">
        <v>12430</v>
      </c>
      <c r="BK671" s="1" t="s">
        <v>12431</v>
      </c>
      <c r="BL671" s="1" t="s">
        <v>1561</v>
      </c>
      <c r="BM671" s="1"/>
      <c r="BN671" s="1"/>
      <c r="BO671" s="1"/>
      <c r="BP671" s="1" t="str">
        <f>HYPERLINK("https://nconnect.nicmar.ac.in/storage/profile/ProfilePhoto_P25700635_576948.jpg","Download")</f>
        <v>0</v>
      </c>
      <c r="BQ671" s="3"/>
      <c r="BR671" s="3"/>
    </row>
    <row r="672" spans="1:70">
      <c r="A672" s="1" t="s">
        <v>70</v>
      </c>
      <c r="B672" s="1" t="s">
        <v>1269</v>
      </c>
      <c r="C672" s="1" t="s">
        <v>12432</v>
      </c>
      <c r="D672" s="1" t="s">
        <v>12433</v>
      </c>
      <c r="E672" s="1" t="s">
        <v>12434</v>
      </c>
      <c r="F672" s="1" t="s">
        <v>10257</v>
      </c>
      <c r="G672" s="1" t="s">
        <v>12435</v>
      </c>
      <c r="H672" s="1" t="s">
        <v>12436</v>
      </c>
      <c r="I672" s="1" t="s">
        <v>12437</v>
      </c>
      <c r="J672" s="1">
        <v>9130704913</v>
      </c>
      <c r="K672" s="1" t="s">
        <v>79</v>
      </c>
      <c r="L672" s="1" t="s">
        <v>12438</v>
      </c>
      <c r="M672" s="1" t="s">
        <v>81</v>
      </c>
      <c r="N672" s="1" t="s">
        <v>1418</v>
      </c>
      <c r="O672" s="1"/>
      <c r="P672" s="1" t="s">
        <v>1766</v>
      </c>
      <c r="Q672" s="1" t="s">
        <v>12439</v>
      </c>
      <c r="R672" s="1" t="s">
        <v>12440</v>
      </c>
      <c r="S672" s="1">
        <v>9552504373</v>
      </c>
      <c r="T672" s="1" t="s">
        <v>496</v>
      </c>
      <c r="U672" s="1" t="s">
        <v>12441</v>
      </c>
      <c r="V672" s="1">
        <v>9669674230</v>
      </c>
      <c r="W672" s="1" t="s">
        <v>156</v>
      </c>
      <c r="X672" s="1" t="s">
        <v>12442</v>
      </c>
      <c r="Y672" s="1" t="s">
        <v>191</v>
      </c>
      <c r="Z672" s="1" t="s">
        <v>92</v>
      </c>
      <c r="AA672" s="1" t="s">
        <v>12443</v>
      </c>
      <c r="AB672" s="1" t="s">
        <v>12444</v>
      </c>
      <c r="AC672" s="1" t="s">
        <v>936</v>
      </c>
      <c r="AD672" s="1">
        <v>8.92</v>
      </c>
      <c r="AE672" s="1" t="s">
        <v>93</v>
      </c>
      <c r="AF672" s="1" t="s">
        <v>12445</v>
      </c>
      <c r="AG672" s="1" t="s">
        <v>12446</v>
      </c>
      <c r="AH672" s="1" t="s">
        <v>678</v>
      </c>
      <c r="AI672" s="1" t="s">
        <v>166</v>
      </c>
      <c r="AJ672" s="1">
        <v>85.2</v>
      </c>
      <c r="AK672" s="1"/>
      <c r="AL672" s="1" t="s">
        <v>12445</v>
      </c>
      <c r="AM672" s="1" t="s">
        <v>12447</v>
      </c>
      <c r="AN672" s="1" t="s">
        <v>1065</v>
      </c>
      <c r="AO672" s="1" t="s">
        <v>412</v>
      </c>
      <c r="AP672" s="1">
        <v>84.6</v>
      </c>
      <c r="AQ672" s="1"/>
      <c r="AR672" s="1"/>
      <c r="AS672" s="1"/>
      <c r="AT672" s="1"/>
      <c r="AU672" s="1"/>
      <c r="AV672" s="1"/>
      <c r="AW672" s="1"/>
      <c r="AX672" s="1" t="s">
        <v>361</v>
      </c>
      <c r="AY672" s="1" t="s">
        <v>12448</v>
      </c>
      <c r="AZ672" s="1" t="s">
        <v>363</v>
      </c>
      <c r="BA672" s="1" t="s">
        <v>1714</v>
      </c>
      <c r="BB672" s="1">
        <v>81.1</v>
      </c>
      <c r="BC672" s="1">
        <v>8.86</v>
      </c>
      <c r="BD672" s="1"/>
      <c r="BE672" s="1"/>
      <c r="BF672" s="1"/>
      <c r="BG672" s="1"/>
      <c r="BH672" s="1"/>
      <c r="BI672" s="1"/>
      <c r="BJ672" s="1" t="s">
        <v>12449</v>
      </c>
      <c r="BK672" s="1"/>
      <c r="BL672" s="1"/>
      <c r="BM672" s="1" t="s">
        <v>12450</v>
      </c>
      <c r="BN672" s="1">
        <v>24</v>
      </c>
      <c r="BO672" s="1" t="s">
        <v>12451</v>
      </c>
      <c r="BP672" s="1" t="str">
        <f>HYPERLINK("https://nconnect.nicmar.ac.in/storage/profile/ProfilePhoto_P25700636_598721.jpg","Download")</f>
        <v>0</v>
      </c>
      <c r="BQ672" s="3"/>
      <c r="BR672" s="3"/>
    </row>
    <row r="673" spans="1:70">
      <c r="A673" s="1" t="s">
        <v>70</v>
      </c>
      <c r="B673" s="1" t="s">
        <v>1269</v>
      </c>
      <c r="C673" s="1" t="s">
        <v>12452</v>
      </c>
      <c r="D673" s="1" t="s">
        <v>5828</v>
      </c>
      <c r="E673" s="1" t="s">
        <v>6466</v>
      </c>
      <c r="F673" s="1" t="s">
        <v>12453</v>
      </c>
      <c r="G673" s="1" t="s">
        <v>12454</v>
      </c>
      <c r="H673" s="1" t="s">
        <v>12455</v>
      </c>
      <c r="I673" s="1" t="s">
        <v>12456</v>
      </c>
      <c r="J673" s="1">
        <v>7666307496</v>
      </c>
      <c r="K673" s="1" t="s">
        <v>79</v>
      </c>
      <c r="L673" s="1" t="s">
        <v>7067</v>
      </c>
      <c r="M673" s="1" t="s">
        <v>81</v>
      </c>
      <c r="N673" s="1" t="s">
        <v>860</v>
      </c>
      <c r="O673" s="1"/>
      <c r="P673" s="1" t="s">
        <v>1278</v>
      </c>
      <c r="Q673" s="1" t="s">
        <v>12457</v>
      </c>
      <c r="R673" s="1" t="s">
        <v>6466</v>
      </c>
      <c r="S673" s="1">
        <v>9552818982</v>
      </c>
      <c r="T673" s="1" t="s">
        <v>8480</v>
      </c>
      <c r="U673" s="1" t="s">
        <v>650</v>
      </c>
      <c r="V673" s="1">
        <v>9322077528</v>
      </c>
      <c r="W673" s="1" t="s">
        <v>156</v>
      </c>
      <c r="X673" s="1" t="s">
        <v>12458</v>
      </c>
      <c r="Y673" s="1" t="s">
        <v>191</v>
      </c>
      <c r="Z673" s="1" t="s">
        <v>92</v>
      </c>
      <c r="AA673" s="1" t="s">
        <v>12459</v>
      </c>
      <c r="AB673" s="1" t="s">
        <v>379</v>
      </c>
      <c r="AC673" s="1" t="s">
        <v>92</v>
      </c>
      <c r="AD673" s="1">
        <v>8.23</v>
      </c>
      <c r="AE673" s="1" t="s">
        <v>93</v>
      </c>
      <c r="AF673" s="1" t="s">
        <v>12460</v>
      </c>
      <c r="AG673" s="1" t="s">
        <v>160</v>
      </c>
      <c r="AH673" s="1" t="s">
        <v>101</v>
      </c>
      <c r="AI673" s="1" t="s">
        <v>409</v>
      </c>
      <c r="AJ673" s="1">
        <v>76.2</v>
      </c>
      <c r="AK673" s="1"/>
      <c r="AL673" s="1"/>
      <c r="AM673" s="1"/>
      <c r="AN673" s="1"/>
      <c r="AO673" s="1"/>
      <c r="AP673" s="1"/>
      <c r="AQ673" s="1"/>
      <c r="AR673" s="1" t="s">
        <v>8167</v>
      </c>
      <c r="AS673" s="1" t="s">
        <v>12461</v>
      </c>
      <c r="AT673" s="1" t="s">
        <v>310</v>
      </c>
      <c r="AU673" s="1" t="s">
        <v>105</v>
      </c>
      <c r="AV673" s="1">
        <v>78.63</v>
      </c>
      <c r="AW673" s="1"/>
      <c r="AX673" s="1" t="s">
        <v>5523</v>
      </c>
      <c r="AY673" s="1" t="s">
        <v>12462</v>
      </c>
      <c r="AZ673" s="1" t="s">
        <v>2690</v>
      </c>
      <c r="BA673" s="1" t="s">
        <v>1714</v>
      </c>
      <c r="BB673" s="1">
        <v>65.9</v>
      </c>
      <c r="BC673" s="1">
        <v>7.34</v>
      </c>
      <c r="BD673" s="1"/>
      <c r="BE673" s="1"/>
      <c r="BF673" s="1"/>
      <c r="BG673" s="1"/>
      <c r="BH673" s="1"/>
      <c r="BI673" s="1"/>
      <c r="BJ673" s="1" t="s">
        <v>12463</v>
      </c>
      <c r="BK673" s="1"/>
      <c r="BL673" s="1"/>
      <c r="BM673" s="1" t="s">
        <v>11293</v>
      </c>
      <c r="BN673" s="1">
        <v>19</v>
      </c>
      <c r="BO673" s="1" t="s">
        <v>12464</v>
      </c>
      <c r="BP673" s="1" t="str">
        <f>HYPERLINK("https://nconnect.nicmar.ac.in/storage/profile/ProfilePhoto_P25700637_371864.jpg","Download")</f>
        <v>0</v>
      </c>
      <c r="BQ673" s="3"/>
      <c r="BR673" s="3"/>
    </row>
    <row r="674" spans="1:70">
      <c r="A674" s="1" t="s">
        <v>70</v>
      </c>
      <c r="B674" s="1" t="s">
        <v>1269</v>
      </c>
      <c r="C674" s="1" t="s">
        <v>12465</v>
      </c>
      <c r="D674" s="1" t="s">
        <v>1117</v>
      </c>
      <c r="E674" s="1" t="s">
        <v>2483</v>
      </c>
      <c r="F674" s="1" t="s">
        <v>3901</v>
      </c>
      <c r="G674" s="1" t="s">
        <v>12466</v>
      </c>
      <c r="H674" s="1" t="s">
        <v>12467</v>
      </c>
      <c r="I674" s="1" t="s">
        <v>12468</v>
      </c>
      <c r="J674" s="1">
        <v>9307064880</v>
      </c>
      <c r="K674" s="1" t="s">
        <v>79</v>
      </c>
      <c r="L674" s="1" t="s">
        <v>5567</v>
      </c>
      <c r="M674" s="1" t="s">
        <v>81</v>
      </c>
      <c r="N674" s="1" t="s">
        <v>469</v>
      </c>
      <c r="O674" s="1"/>
      <c r="P674" s="1" t="s">
        <v>1278</v>
      </c>
      <c r="Q674" s="1" t="s">
        <v>12469</v>
      </c>
      <c r="R674" s="1" t="s">
        <v>2483</v>
      </c>
      <c r="S674" s="1">
        <v>9011103009</v>
      </c>
      <c r="T674" s="1" t="s">
        <v>12470</v>
      </c>
      <c r="U674" s="1" t="s">
        <v>11450</v>
      </c>
      <c r="V674" s="1">
        <v>9420708842</v>
      </c>
      <c r="W674" s="1" t="s">
        <v>156</v>
      </c>
      <c r="X674" s="1" t="s">
        <v>12471</v>
      </c>
      <c r="Y674" s="1" t="s">
        <v>328</v>
      </c>
      <c r="Z674" s="1" t="s">
        <v>92</v>
      </c>
      <c r="AA674" s="1" t="s">
        <v>12471</v>
      </c>
      <c r="AB674" s="1" t="s">
        <v>328</v>
      </c>
      <c r="AC674" s="1" t="s">
        <v>92</v>
      </c>
      <c r="AD674" s="1" t="s">
        <v>93</v>
      </c>
      <c r="AE674" s="1" t="s">
        <v>93</v>
      </c>
      <c r="AF674" s="1" t="s">
        <v>12472</v>
      </c>
      <c r="AG674" s="1" t="s">
        <v>12473</v>
      </c>
      <c r="AH674" s="1" t="s">
        <v>101</v>
      </c>
      <c r="AI674" s="1" t="s">
        <v>433</v>
      </c>
      <c r="AJ674" s="1">
        <v>74.4</v>
      </c>
      <c r="AK674" s="1"/>
      <c r="AL674" s="1" t="s">
        <v>12474</v>
      </c>
      <c r="AM674" s="1" t="s">
        <v>12473</v>
      </c>
      <c r="AN674" s="1" t="s">
        <v>173</v>
      </c>
      <c r="AO674" s="1" t="s">
        <v>436</v>
      </c>
      <c r="AP674" s="1">
        <v>89.5</v>
      </c>
      <c r="AQ674" s="1"/>
      <c r="AR674" s="1"/>
      <c r="AS674" s="1"/>
      <c r="AT674" s="1"/>
      <c r="AU674" s="1"/>
      <c r="AV674" s="1"/>
      <c r="AW674" s="1"/>
      <c r="AX674" s="1" t="s">
        <v>335</v>
      </c>
      <c r="AY674" s="1" t="s">
        <v>12475</v>
      </c>
      <c r="AZ674" s="1" t="s">
        <v>897</v>
      </c>
      <c r="BA674" s="1" t="s">
        <v>1584</v>
      </c>
      <c r="BB674" s="1">
        <v>61.03</v>
      </c>
      <c r="BC674" s="1">
        <v>6.95</v>
      </c>
      <c r="BD674" s="1"/>
      <c r="BE674" s="1"/>
      <c r="BF674" s="1"/>
      <c r="BG674" s="1"/>
      <c r="BH674" s="1"/>
      <c r="BI674" s="1"/>
      <c r="BJ674" s="1" t="s">
        <v>12476</v>
      </c>
      <c r="BK674" s="1"/>
      <c r="BL674" s="1"/>
      <c r="BM674" s="1" t="s">
        <v>12477</v>
      </c>
      <c r="BN674" s="1">
        <v>13</v>
      </c>
      <c r="BO674" s="1"/>
      <c r="BP674" s="1" t="str">
        <f>HYPERLINK("https://nconnect.nicmar.ac.in/storage/profile/ProfilePhoto_P25700638_523967.jpg","Download")</f>
        <v>0</v>
      </c>
      <c r="BQ674" s="3"/>
      <c r="BR674" s="3"/>
    </row>
    <row r="675" spans="1:70">
      <c r="A675" s="1" t="s">
        <v>70</v>
      </c>
      <c r="B675" s="1" t="s">
        <v>1269</v>
      </c>
      <c r="C675" s="1" t="s">
        <v>12478</v>
      </c>
      <c r="D675" s="1" t="s">
        <v>12479</v>
      </c>
      <c r="E675" s="1" t="s">
        <v>746</v>
      </c>
      <c r="F675" s="1" t="s">
        <v>142</v>
      </c>
      <c r="G675" s="1" t="s">
        <v>12480</v>
      </c>
      <c r="H675" s="1" t="s">
        <v>12481</v>
      </c>
      <c r="I675" s="1" t="s">
        <v>12482</v>
      </c>
      <c r="J675" s="1">
        <v>9405455755</v>
      </c>
      <c r="K675" s="1" t="s">
        <v>79</v>
      </c>
      <c r="L675" s="1" t="s">
        <v>12483</v>
      </c>
      <c r="M675" s="1" t="s">
        <v>81</v>
      </c>
      <c r="N675" s="1" t="s">
        <v>12484</v>
      </c>
      <c r="O675" s="1"/>
      <c r="P675" s="1"/>
      <c r="Q675" s="1" t="s">
        <v>12485</v>
      </c>
      <c r="R675" s="1" t="s">
        <v>12486</v>
      </c>
      <c r="S675" s="1">
        <v>9404366166</v>
      </c>
      <c r="T675" s="1" t="s">
        <v>11832</v>
      </c>
      <c r="U675" s="1" t="s">
        <v>12487</v>
      </c>
      <c r="V675" s="1">
        <v>9403344144</v>
      </c>
      <c r="W675" s="1" t="s">
        <v>273</v>
      </c>
      <c r="X675" s="1" t="s">
        <v>12488</v>
      </c>
      <c r="Y675" s="1" t="s">
        <v>1886</v>
      </c>
      <c r="Z675" s="1" t="s">
        <v>92</v>
      </c>
      <c r="AA675" s="1" t="s">
        <v>12488</v>
      </c>
      <c r="AB675" s="1" t="s">
        <v>1886</v>
      </c>
      <c r="AC675" s="1" t="s">
        <v>92</v>
      </c>
      <c r="AD675" s="1">
        <v>7.5</v>
      </c>
      <c r="AE675" s="1" t="s">
        <v>93</v>
      </c>
      <c r="AF675" s="1" t="s">
        <v>12489</v>
      </c>
      <c r="AG675" s="1" t="s">
        <v>160</v>
      </c>
      <c r="AH675" s="1" t="s">
        <v>10737</v>
      </c>
      <c r="AI675" s="1" t="s">
        <v>281</v>
      </c>
      <c r="AJ675" s="1">
        <v>81.2</v>
      </c>
      <c r="AK675" s="1"/>
      <c r="AL675" s="1" t="s">
        <v>12490</v>
      </c>
      <c r="AM675" s="1" t="s">
        <v>160</v>
      </c>
      <c r="AN675" s="1" t="s">
        <v>1307</v>
      </c>
      <c r="AO675" s="1" t="s">
        <v>173</v>
      </c>
      <c r="AP675" s="1">
        <v>65.38</v>
      </c>
      <c r="AQ675" s="1"/>
      <c r="AR675" s="1"/>
      <c r="AS675" s="1"/>
      <c r="AT675" s="1"/>
      <c r="AU675" s="1"/>
      <c r="AV675" s="1"/>
      <c r="AW675" s="1"/>
      <c r="AX675" s="1" t="s">
        <v>2688</v>
      </c>
      <c r="AY675" s="1" t="s">
        <v>12491</v>
      </c>
      <c r="AZ675" s="1" t="s">
        <v>681</v>
      </c>
      <c r="BA675" s="1" t="s">
        <v>1584</v>
      </c>
      <c r="BB675" s="1">
        <v>61.88</v>
      </c>
      <c r="BC675" s="1">
        <v>6.75</v>
      </c>
      <c r="BD675" s="1"/>
      <c r="BE675" s="1"/>
      <c r="BF675" s="1"/>
      <c r="BG675" s="1"/>
      <c r="BH675" s="1"/>
      <c r="BI675" s="1"/>
      <c r="BJ675" s="1" t="s">
        <v>12492</v>
      </c>
      <c r="BK675" s="1"/>
      <c r="BL675" s="1"/>
      <c r="BM675" s="1" t="s">
        <v>12493</v>
      </c>
      <c r="BN675" s="1">
        <v>13</v>
      </c>
      <c r="BO675" s="1"/>
      <c r="BP675" s="1" t="str">
        <f>HYPERLINK("https://nconnect.nicmar.ac.in/storage/profile/ProfilePhoto_P25700639_613785.jpg","Download")</f>
        <v>0</v>
      </c>
      <c r="BQ675" s="3"/>
      <c r="BR675" s="3"/>
    </row>
    <row r="676" spans="1:70">
      <c r="A676" s="1" t="s">
        <v>70</v>
      </c>
      <c r="B676" s="1" t="s">
        <v>1269</v>
      </c>
      <c r="C676" s="1" t="s">
        <v>12494</v>
      </c>
      <c r="D676" s="1" t="s">
        <v>1117</v>
      </c>
      <c r="E676" s="1" t="s">
        <v>3201</v>
      </c>
      <c r="F676" s="1" t="s">
        <v>12495</v>
      </c>
      <c r="G676" s="1" t="s">
        <v>12496</v>
      </c>
      <c r="H676" s="1" t="s">
        <v>12497</v>
      </c>
      <c r="I676" s="1" t="s">
        <v>12498</v>
      </c>
      <c r="J676" s="1">
        <v>8888387703</v>
      </c>
      <c r="K676" s="1" t="s">
        <v>79</v>
      </c>
      <c r="L676" s="1" t="s">
        <v>4669</v>
      </c>
      <c r="M676" s="1" t="s">
        <v>81</v>
      </c>
      <c r="N676" s="1" t="s">
        <v>12499</v>
      </c>
      <c r="O676" s="1"/>
      <c r="P676" s="1" t="s">
        <v>1766</v>
      </c>
      <c r="Q676" s="1" t="s">
        <v>12500</v>
      </c>
      <c r="R676" s="1" t="s">
        <v>12501</v>
      </c>
      <c r="S676" s="1">
        <v>9422287050</v>
      </c>
      <c r="T676" s="1" t="s">
        <v>4566</v>
      </c>
      <c r="U676" s="1" t="s">
        <v>12502</v>
      </c>
      <c r="V676" s="1">
        <v>7350287703</v>
      </c>
      <c r="W676" s="1" t="s">
        <v>156</v>
      </c>
      <c r="X676" s="1" t="s">
        <v>12503</v>
      </c>
      <c r="Y676" s="1" t="s">
        <v>6375</v>
      </c>
      <c r="Z676" s="1" t="s">
        <v>92</v>
      </c>
      <c r="AA676" s="1" t="s">
        <v>12503</v>
      </c>
      <c r="AB676" s="1" t="s">
        <v>6375</v>
      </c>
      <c r="AC676" s="1" t="s">
        <v>92</v>
      </c>
      <c r="AD676" s="1">
        <v>7.15</v>
      </c>
      <c r="AE676" s="1" t="s">
        <v>93</v>
      </c>
      <c r="AF676" s="1" t="s">
        <v>12504</v>
      </c>
      <c r="AG676" s="1" t="s">
        <v>12505</v>
      </c>
      <c r="AH676" s="1" t="s">
        <v>383</v>
      </c>
      <c r="AI676" s="1" t="s">
        <v>281</v>
      </c>
      <c r="AJ676" s="1">
        <v>61</v>
      </c>
      <c r="AK676" s="1">
        <v>6.42</v>
      </c>
      <c r="AL676" s="1"/>
      <c r="AM676" s="1"/>
      <c r="AN676" s="1"/>
      <c r="AO676" s="1"/>
      <c r="AP676" s="1"/>
      <c r="AQ676" s="1"/>
      <c r="AR676" s="1" t="s">
        <v>434</v>
      </c>
      <c r="AS676" s="1" t="s">
        <v>12506</v>
      </c>
      <c r="AT676" s="1" t="s">
        <v>636</v>
      </c>
      <c r="AU676" s="1" t="s">
        <v>1712</v>
      </c>
      <c r="AV676" s="1">
        <v>87.89</v>
      </c>
      <c r="AW676" s="1"/>
      <c r="AX676" s="1" t="s">
        <v>12507</v>
      </c>
      <c r="AY676" s="1" t="s">
        <v>12508</v>
      </c>
      <c r="AZ676" s="1" t="s">
        <v>1407</v>
      </c>
      <c r="BA676" s="1" t="s">
        <v>413</v>
      </c>
      <c r="BB676" s="1">
        <v>62.8</v>
      </c>
      <c r="BC676" s="1">
        <v>6.78</v>
      </c>
      <c r="BD676" s="1"/>
      <c r="BE676" s="1"/>
      <c r="BF676" s="1"/>
      <c r="BG676" s="1"/>
      <c r="BH676" s="1"/>
      <c r="BI676" s="1"/>
      <c r="BJ676" s="1" t="s">
        <v>12509</v>
      </c>
      <c r="BK676" s="1"/>
      <c r="BL676" s="1"/>
      <c r="BM676" s="1" t="s">
        <v>12510</v>
      </c>
      <c r="BN676" s="1">
        <v>37</v>
      </c>
      <c r="BO676" s="1" t="s">
        <v>12511</v>
      </c>
      <c r="BP676" s="1" t="str">
        <f>HYPERLINK("https://nconnect.nicmar.ac.in/storage/profile/ProfilePhoto_P25700640_718623.jpg","Download")</f>
        <v>0</v>
      </c>
      <c r="BQ676" s="3"/>
      <c r="BR676" s="3"/>
    </row>
    <row r="677" spans="1:70">
      <c r="A677" s="1" t="s">
        <v>70</v>
      </c>
      <c r="B677" s="1" t="s">
        <v>1269</v>
      </c>
      <c r="C677" s="1" t="s">
        <v>12512</v>
      </c>
      <c r="D677" s="1" t="s">
        <v>12513</v>
      </c>
      <c r="E677" s="1"/>
      <c r="F677" s="1" t="s">
        <v>596</v>
      </c>
      <c r="G677" s="1" t="s">
        <v>12514</v>
      </c>
      <c r="H677" s="1" t="s">
        <v>12515</v>
      </c>
      <c r="I677" s="1" t="s">
        <v>12516</v>
      </c>
      <c r="J677" s="1">
        <v>9667042279</v>
      </c>
      <c r="K677" s="1" t="s">
        <v>79</v>
      </c>
      <c r="L677" s="1" t="s">
        <v>7231</v>
      </c>
      <c r="M677" s="1" t="s">
        <v>81</v>
      </c>
      <c r="N677" s="1" t="s">
        <v>5040</v>
      </c>
      <c r="O677" s="1"/>
      <c r="P677" s="1" t="s">
        <v>1278</v>
      </c>
      <c r="Q677" s="1" t="s">
        <v>12517</v>
      </c>
      <c r="R677" s="1" t="s">
        <v>12518</v>
      </c>
      <c r="S677" s="1">
        <v>9654919573</v>
      </c>
      <c r="T677" s="1" t="s">
        <v>120</v>
      </c>
      <c r="U677" s="1" t="s">
        <v>12519</v>
      </c>
      <c r="V677" s="1">
        <v>9917628757</v>
      </c>
      <c r="W677" s="1" t="s">
        <v>273</v>
      </c>
      <c r="X677" s="1" t="s">
        <v>12520</v>
      </c>
      <c r="Y677" s="1" t="s">
        <v>12521</v>
      </c>
      <c r="Z677" s="1" t="s">
        <v>8585</v>
      </c>
      <c r="AA677" s="1" t="s">
        <v>12520</v>
      </c>
      <c r="AB677" s="1" t="s">
        <v>12521</v>
      </c>
      <c r="AC677" s="1" t="s">
        <v>8585</v>
      </c>
      <c r="AD677" s="1">
        <v>7.36</v>
      </c>
      <c r="AE677" s="1" t="s">
        <v>93</v>
      </c>
      <c r="AF677" s="1" t="s">
        <v>12522</v>
      </c>
      <c r="AG677" s="1" t="s">
        <v>12523</v>
      </c>
      <c r="AH677" s="1" t="s">
        <v>477</v>
      </c>
      <c r="AI677" s="1" t="s">
        <v>131</v>
      </c>
      <c r="AJ677" s="1">
        <v>76.6</v>
      </c>
      <c r="AK677" s="1"/>
      <c r="AL677" s="1" t="s">
        <v>12522</v>
      </c>
      <c r="AM677" s="1" t="s">
        <v>12523</v>
      </c>
      <c r="AN677" s="1" t="s">
        <v>279</v>
      </c>
      <c r="AO677" s="1" t="s">
        <v>479</v>
      </c>
      <c r="AP677" s="1">
        <v>63.2</v>
      </c>
      <c r="AQ677" s="1"/>
      <c r="AR677" s="1"/>
      <c r="AS677" s="1"/>
      <c r="AT677" s="1"/>
      <c r="AU677" s="1"/>
      <c r="AV677" s="1"/>
      <c r="AW677" s="1"/>
      <c r="AX677" s="1" t="s">
        <v>12524</v>
      </c>
      <c r="AY677" s="1" t="s">
        <v>12525</v>
      </c>
      <c r="AZ677" s="1" t="s">
        <v>201</v>
      </c>
      <c r="BA677" s="1" t="s">
        <v>174</v>
      </c>
      <c r="BB677" s="1">
        <v>71.05</v>
      </c>
      <c r="BC677" s="1"/>
      <c r="BD677" s="1"/>
      <c r="BE677" s="1"/>
      <c r="BF677" s="1"/>
      <c r="BG677" s="1"/>
      <c r="BH677" s="1"/>
      <c r="BI677" s="1"/>
      <c r="BJ677" s="1" t="s">
        <v>12526</v>
      </c>
      <c r="BK677" s="1" t="s">
        <v>12527</v>
      </c>
      <c r="BL677" s="1" t="s">
        <v>1561</v>
      </c>
      <c r="BM677" s="1" t="s">
        <v>12528</v>
      </c>
      <c r="BN677" s="1">
        <v>19</v>
      </c>
      <c r="BO677" s="1" t="s">
        <v>12529</v>
      </c>
      <c r="BP677" s="1" t="str">
        <f>HYPERLINK("https://nconnect.nicmar.ac.in/storage/profile/ProfilePhoto_P25700641_316458.jpg","Download")</f>
        <v>0</v>
      </c>
      <c r="BQ677" s="3"/>
      <c r="BR677" s="3"/>
    </row>
    <row r="678" spans="1:70">
      <c r="A678" s="1" t="s">
        <v>70</v>
      </c>
      <c r="B678" s="1" t="s">
        <v>1269</v>
      </c>
      <c r="C678" s="1" t="s">
        <v>12530</v>
      </c>
      <c r="D678" s="1" t="s">
        <v>1455</v>
      </c>
      <c r="E678" s="1"/>
      <c r="F678" s="1" t="s">
        <v>1874</v>
      </c>
      <c r="G678" s="1" t="s">
        <v>12531</v>
      </c>
      <c r="H678" s="1" t="s">
        <v>12532</v>
      </c>
      <c r="I678" s="1" t="s">
        <v>12533</v>
      </c>
      <c r="J678" s="1">
        <v>9400235383</v>
      </c>
      <c r="K678" s="1" t="s">
        <v>79</v>
      </c>
      <c r="L678" s="1" t="s">
        <v>1949</v>
      </c>
      <c r="M678" s="1" t="s">
        <v>81</v>
      </c>
      <c r="N678" s="1" t="s">
        <v>12534</v>
      </c>
      <c r="O678" s="1"/>
      <c r="P678" s="1" t="s">
        <v>1278</v>
      </c>
      <c r="Q678" s="1" t="s">
        <v>12535</v>
      </c>
      <c r="R678" s="1" t="s">
        <v>12536</v>
      </c>
      <c r="S678" s="1">
        <v>9400235383</v>
      </c>
      <c r="T678" s="1" t="s">
        <v>87</v>
      </c>
      <c r="U678" s="1" t="s">
        <v>12537</v>
      </c>
      <c r="V678" s="1">
        <v>9400235383</v>
      </c>
      <c r="W678" s="1" t="s">
        <v>156</v>
      </c>
      <c r="X678" s="1" t="s">
        <v>12538</v>
      </c>
      <c r="Y678" s="1" t="s">
        <v>2139</v>
      </c>
      <c r="Z678" s="1" t="s">
        <v>125</v>
      </c>
      <c r="AA678" s="1" t="s">
        <v>12538</v>
      </c>
      <c r="AB678" s="1" t="s">
        <v>2139</v>
      </c>
      <c r="AC678" s="1" t="s">
        <v>125</v>
      </c>
      <c r="AD678" s="1">
        <v>8.33</v>
      </c>
      <c r="AE678" s="1" t="s">
        <v>93</v>
      </c>
      <c r="AF678" s="1" t="s">
        <v>12539</v>
      </c>
      <c r="AG678" s="1" t="s">
        <v>12540</v>
      </c>
      <c r="AH678" s="1" t="s">
        <v>279</v>
      </c>
      <c r="AI678" s="1" t="s">
        <v>678</v>
      </c>
      <c r="AJ678" s="1">
        <v>83.6</v>
      </c>
      <c r="AK678" s="1">
        <v>8.8</v>
      </c>
      <c r="AL678" s="1" t="s">
        <v>12541</v>
      </c>
      <c r="AM678" s="1" t="s">
        <v>12540</v>
      </c>
      <c r="AN678" s="1" t="s">
        <v>1307</v>
      </c>
      <c r="AO678" s="1" t="s">
        <v>1065</v>
      </c>
      <c r="AP678" s="1">
        <v>71.2</v>
      </c>
      <c r="AQ678" s="1">
        <v>0</v>
      </c>
      <c r="AR678" s="1"/>
      <c r="AS678" s="1"/>
      <c r="AT678" s="1"/>
      <c r="AU678" s="1"/>
      <c r="AV678" s="1"/>
      <c r="AW678" s="1"/>
      <c r="AX678" s="1" t="s">
        <v>132</v>
      </c>
      <c r="AY678" s="1" t="s">
        <v>12542</v>
      </c>
      <c r="AZ678" s="1" t="s">
        <v>310</v>
      </c>
      <c r="BA678" s="1" t="s">
        <v>682</v>
      </c>
      <c r="BB678" s="1">
        <v>63.8</v>
      </c>
      <c r="BC678" s="1"/>
      <c r="BD678" s="1"/>
      <c r="BE678" s="1"/>
      <c r="BF678" s="1"/>
      <c r="BG678" s="1"/>
      <c r="BH678" s="1"/>
      <c r="BI678" s="1"/>
      <c r="BJ678" s="1" t="s">
        <v>1383</v>
      </c>
      <c r="BK678" s="1"/>
      <c r="BL678" s="1"/>
      <c r="BM678" s="1" t="s">
        <v>12543</v>
      </c>
      <c r="BN678" s="1">
        <v>29</v>
      </c>
      <c r="BO678" s="1"/>
      <c r="BP678" s="1" t="str">
        <f>HYPERLINK("https://nconnect.nicmar.ac.in/storage/profile/ProfilePhoto_P25700642_472538.jpg","Download")</f>
        <v>0</v>
      </c>
      <c r="BQ678" s="3"/>
      <c r="BR678" s="3"/>
    </row>
    <row r="679" spans="1:70">
      <c r="A679" s="1" t="s">
        <v>70</v>
      </c>
      <c r="B679" s="1" t="s">
        <v>1269</v>
      </c>
      <c r="C679" s="1" t="s">
        <v>12544</v>
      </c>
      <c r="D679" s="1" t="s">
        <v>4462</v>
      </c>
      <c r="E679" s="1" t="s">
        <v>2428</v>
      </c>
      <c r="F679" s="1" t="s">
        <v>12545</v>
      </c>
      <c r="G679" s="1" t="s">
        <v>12546</v>
      </c>
      <c r="H679" s="1" t="s">
        <v>12547</v>
      </c>
      <c r="I679" s="1" t="s">
        <v>12548</v>
      </c>
      <c r="J679" s="1">
        <v>7020339021</v>
      </c>
      <c r="K679" s="1" t="s">
        <v>79</v>
      </c>
      <c r="L679" s="1" t="s">
        <v>10404</v>
      </c>
      <c r="M679" s="1" t="s">
        <v>81</v>
      </c>
      <c r="N679" s="1" t="s">
        <v>12549</v>
      </c>
      <c r="O679" s="1"/>
      <c r="P679" s="1" t="s">
        <v>1323</v>
      </c>
      <c r="Q679" s="1" t="s">
        <v>12550</v>
      </c>
      <c r="R679" s="1" t="s">
        <v>12551</v>
      </c>
      <c r="S679" s="1">
        <v>9595148914</v>
      </c>
      <c r="T679" s="1" t="s">
        <v>842</v>
      </c>
      <c r="U679" s="1" t="s">
        <v>12552</v>
      </c>
      <c r="V679" s="1">
        <v>8329800467</v>
      </c>
      <c r="W679" s="1" t="s">
        <v>156</v>
      </c>
      <c r="X679" s="1" t="s">
        <v>12553</v>
      </c>
      <c r="Y679" s="1" t="s">
        <v>8355</v>
      </c>
      <c r="Z679" s="1" t="s">
        <v>92</v>
      </c>
      <c r="AA679" s="1" t="s">
        <v>12553</v>
      </c>
      <c r="AB679" s="1" t="s">
        <v>8355</v>
      </c>
      <c r="AC679" s="1" t="s">
        <v>92</v>
      </c>
      <c r="AD679" s="1">
        <v>8.87</v>
      </c>
      <c r="AE679" s="1" t="s">
        <v>93</v>
      </c>
      <c r="AF679" s="1" t="s">
        <v>12554</v>
      </c>
      <c r="AG679" s="1" t="s">
        <v>12555</v>
      </c>
      <c r="AH679" s="1" t="s">
        <v>479</v>
      </c>
      <c r="AI679" s="1" t="s">
        <v>101</v>
      </c>
      <c r="AJ679" s="1">
        <v>91</v>
      </c>
      <c r="AK679" s="1"/>
      <c r="AL679" s="1" t="s">
        <v>12556</v>
      </c>
      <c r="AM679" s="1" t="s">
        <v>12557</v>
      </c>
      <c r="AN679" s="1" t="s">
        <v>173</v>
      </c>
      <c r="AO679" s="1" t="s">
        <v>1712</v>
      </c>
      <c r="AP679" s="1">
        <v>94.33</v>
      </c>
      <c r="AQ679" s="1"/>
      <c r="AR679" s="1"/>
      <c r="AS679" s="1"/>
      <c r="AT679" s="1"/>
      <c r="AU679" s="1"/>
      <c r="AV679" s="1"/>
      <c r="AW679" s="1"/>
      <c r="AX679" s="1" t="s">
        <v>410</v>
      </c>
      <c r="AY679" s="1" t="s">
        <v>10049</v>
      </c>
      <c r="AZ679" s="1" t="s">
        <v>2996</v>
      </c>
      <c r="BA679" s="1" t="s">
        <v>1361</v>
      </c>
      <c r="BB679" s="1">
        <v>85.8</v>
      </c>
      <c r="BC679" s="1">
        <v>8.58</v>
      </c>
      <c r="BD679" s="1"/>
      <c r="BE679" s="1"/>
      <c r="BF679" s="1"/>
      <c r="BG679" s="1"/>
      <c r="BH679" s="1"/>
      <c r="BI679" s="1"/>
      <c r="BJ679" s="1" t="s">
        <v>12558</v>
      </c>
      <c r="BK679" s="1"/>
      <c r="BL679" s="1"/>
      <c r="BM679" s="1" t="s">
        <v>12559</v>
      </c>
      <c r="BN679" s="1">
        <v>6</v>
      </c>
      <c r="BO679" s="1" t="s">
        <v>12560</v>
      </c>
      <c r="BP679" s="1" t="str">
        <f>HYPERLINK("https://nconnect.nicmar.ac.in/storage/profile/ProfilePhoto_P25700643_542673.jpg","Download")</f>
        <v>0</v>
      </c>
      <c r="BQ679" s="3"/>
      <c r="BR679" s="3"/>
    </row>
    <row r="680" spans="1:70">
      <c r="A680" s="1" t="s">
        <v>70</v>
      </c>
      <c r="B680" s="1" t="s">
        <v>1269</v>
      </c>
      <c r="C680" s="1" t="s">
        <v>12561</v>
      </c>
      <c r="D680" s="1" t="s">
        <v>2149</v>
      </c>
      <c r="E680" s="1" t="s">
        <v>5393</v>
      </c>
      <c r="F680" s="1" t="s">
        <v>1741</v>
      </c>
      <c r="G680" s="1" t="s">
        <v>12562</v>
      </c>
      <c r="H680" s="1" t="s">
        <v>12563</v>
      </c>
      <c r="I680" s="1" t="s">
        <v>12563</v>
      </c>
      <c r="J680" s="1">
        <v>7385678869</v>
      </c>
      <c r="K680" s="1" t="s">
        <v>79</v>
      </c>
      <c r="L680" s="1" t="s">
        <v>11880</v>
      </c>
      <c r="M680" s="1" t="s">
        <v>81</v>
      </c>
      <c r="N680" s="1" t="s">
        <v>1418</v>
      </c>
      <c r="O680" s="1"/>
      <c r="P680" s="1" t="s">
        <v>1323</v>
      </c>
      <c r="Q680" s="1" t="s">
        <v>12564</v>
      </c>
      <c r="R680" s="1" t="s">
        <v>12565</v>
      </c>
      <c r="S680" s="1">
        <v>9765284121</v>
      </c>
      <c r="T680" s="1" t="s">
        <v>472</v>
      </c>
      <c r="U680" s="1" t="s">
        <v>12566</v>
      </c>
      <c r="V680" s="1">
        <v>9511678869</v>
      </c>
      <c r="W680" s="1" t="s">
        <v>273</v>
      </c>
      <c r="X680" s="1" t="s">
        <v>12567</v>
      </c>
      <c r="Y680" s="1" t="s">
        <v>191</v>
      </c>
      <c r="Z680" s="1" t="s">
        <v>92</v>
      </c>
      <c r="AA680" s="1" t="s">
        <v>12568</v>
      </c>
      <c r="AB680" s="1" t="s">
        <v>5819</v>
      </c>
      <c r="AC680" s="1" t="s">
        <v>92</v>
      </c>
      <c r="AD680" s="1">
        <v>8.05</v>
      </c>
      <c r="AE680" s="1" t="s">
        <v>93</v>
      </c>
      <c r="AF680" s="1" t="s">
        <v>12569</v>
      </c>
      <c r="AG680" s="1" t="s">
        <v>12570</v>
      </c>
      <c r="AH680" s="1" t="s">
        <v>195</v>
      </c>
      <c r="AI680" s="1" t="s">
        <v>281</v>
      </c>
      <c r="AJ680" s="1">
        <v>82.4</v>
      </c>
      <c r="AK680" s="1"/>
      <c r="AL680" s="1" t="s">
        <v>12571</v>
      </c>
      <c r="AM680" s="1" t="s">
        <v>12572</v>
      </c>
      <c r="AN680" s="1" t="s">
        <v>409</v>
      </c>
      <c r="AO680" s="1" t="s">
        <v>941</v>
      </c>
      <c r="AP680" s="1">
        <v>60</v>
      </c>
      <c r="AQ680" s="1"/>
      <c r="AR680" s="1"/>
      <c r="AS680" s="1"/>
      <c r="AT680" s="1"/>
      <c r="AU680" s="1"/>
      <c r="AV680" s="1"/>
      <c r="AW680" s="1"/>
      <c r="AX680" s="1" t="s">
        <v>361</v>
      </c>
      <c r="AY680" s="1" t="s">
        <v>12573</v>
      </c>
      <c r="AZ680" s="1" t="s">
        <v>1712</v>
      </c>
      <c r="BA680" s="1" t="s">
        <v>2609</v>
      </c>
      <c r="BB680" s="1">
        <v>67.14</v>
      </c>
      <c r="BC680" s="1">
        <v>7.46</v>
      </c>
      <c r="BD680" s="1"/>
      <c r="BE680" s="1"/>
      <c r="BF680" s="1"/>
      <c r="BG680" s="1"/>
      <c r="BH680" s="1"/>
      <c r="BI680" s="1"/>
      <c r="BJ680" s="1" t="s">
        <v>12574</v>
      </c>
      <c r="BK680" s="1"/>
      <c r="BL680" s="1"/>
      <c r="BM680" s="1" t="s">
        <v>12575</v>
      </c>
      <c r="BN680" s="1">
        <v>30</v>
      </c>
      <c r="BO680" s="1"/>
      <c r="BP680" s="1" t="str">
        <f>HYPERLINK("https://nconnect.nicmar.ac.in/storage/profile/ProfilePhoto_P25700644_925768.jpg","Download")</f>
        <v>0</v>
      </c>
      <c r="BQ680" s="3"/>
      <c r="BR680" s="3"/>
    </row>
    <row r="681" spans="1:70">
      <c r="A681" s="1" t="s">
        <v>70</v>
      </c>
      <c r="B681" s="1" t="s">
        <v>1269</v>
      </c>
      <c r="C681" s="1" t="s">
        <v>12576</v>
      </c>
      <c r="D681" s="1" t="s">
        <v>533</v>
      </c>
      <c r="E681" s="1" t="s">
        <v>4313</v>
      </c>
      <c r="F681" s="1" t="s">
        <v>2778</v>
      </c>
      <c r="G681" s="1" t="s">
        <v>12577</v>
      </c>
      <c r="H681" s="1" t="s">
        <v>12578</v>
      </c>
      <c r="I681" s="1" t="s">
        <v>12579</v>
      </c>
      <c r="J681" s="1">
        <v>7083083456</v>
      </c>
      <c r="K681" s="1" t="s">
        <v>79</v>
      </c>
      <c r="L681" s="1" t="s">
        <v>5476</v>
      </c>
      <c r="M681" s="1" t="s">
        <v>81</v>
      </c>
      <c r="N681" s="1" t="s">
        <v>12580</v>
      </c>
      <c r="O681" s="1"/>
      <c r="P681" s="1" t="s">
        <v>1298</v>
      </c>
      <c r="Q681" s="1" t="s">
        <v>12581</v>
      </c>
      <c r="R681" s="1" t="s">
        <v>4313</v>
      </c>
      <c r="S681" s="1">
        <v>9763800725</v>
      </c>
      <c r="T681" s="1" t="s">
        <v>496</v>
      </c>
      <c r="U681" s="1" t="s">
        <v>2754</v>
      </c>
      <c r="V681" s="1">
        <v>9423024295</v>
      </c>
      <c r="W681" s="1" t="s">
        <v>156</v>
      </c>
      <c r="X681" s="1" t="s">
        <v>12582</v>
      </c>
      <c r="Y681" s="1" t="s">
        <v>191</v>
      </c>
      <c r="Z681" s="1" t="s">
        <v>92</v>
      </c>
      <c r="AA681" s="1" t="s">
        <v>12583</v>
      </c>
      <c r="AB681" s="1" t="s">
        <v>3474</v>
      </c>
      <c r="AC681" s="1" t="s">
        <v>92</v>
      </c>
      <c r="AD681" s="1">
        <v>8.44</v>
      </c>
      <c r="AE681" s="1" t="s">
        <v>93</v>
      </c>
      <c r="AF681" s="1" t="s">
        <v>12584</v>
      </c>
      <c r="AG681" s="1" t="s">
        <v>12555</v>
      </c>
      <c r="AH681" s="1" t="s">
        <v>165</v>
      </c>
      <c r="AI681" s="1" t="s">
        <v>166</v>
      </c>
      <c r="AJ681" s="1">
        <v>89.6</v>
      </c>
      <c r="AK681" s="1"/>
      <c r="AL681" s="1" t="s">
        <v>12585</v>
      </c>
      <c r="AM681" s="1" t="s">
        <v>12557</v>
      </c>
      <c r="AN681" s="1" t="s">
        <v>433</v>
      </c>
      <c r="AO681" s="1" t="s">
        <v>412</v>
      </c>
      <c r="AP681" s="1">
        <v>75.08</v>
      </c>
      <c r="AQ681" s="1"/>
      <c r="AR681" s="1"/>
      <c r="AS681" s="1"/>
      <c r="AT681" s="1"/>
      <c r="AU681" s="1"/>
      <c r="AV681" s="1"/>
      <c r="AW681" s="1"/>
      <c r="AX681" s="1" t="s">
        <v>361</v>
      </c>
      <c r="AY681" s="1" t="s">
        <v>12586</v>
      </c>
      <c r="AZ681" s="1" t="s">
        <v>363</v>
      </c>
      <c r="BA681" s="1" t="s">
        <v>202</v>
      </c>
      <c r="BB681" s="1">
        <v>83.31</v>
      </c>
      <c r="BC681" s="1">
        <v>8.77</v>
      </c>
      <c r="BD681" s="1"/>
      <c r="BE681" s="1"/>
      <c r="BF681" s="1"/>
      <c r="BG681" s="1"/>
      <c r="BH681" s="1"/>
      <c r="BI681" s="1"/>
      <c r="BJ681" s="1" t="s">
        <v>1715</v>
      </c>
      <c r="BK681" s="1" t="s">
        <v>12587</v>
      </c>
      <c r="BL681" s="1" t="s">
        <v>1919</v>
      </c>
      <c r="BM681" s="1" t="s">
        <v>12588</v>
      </c>
      <c r="BN681" s="1">
        <v>21</v>
      </c>
      <c r="BO681" s="1"/>
      <c r="BP681" s="1" t="str">
        <f>HYPERLINK("https://nconnect.nicmar.ac.in/storage/profile/ProfilePhoto_P25700645_346279.jpg","Download")</f>
        <v>0</v>
      </c>
      <c r="BQ681" s="3"/>
      <c r="BR681" s="3"/>
    </row>
    <row r="682" spans="1:70">
      <c r="A682" s="1" t="s">
        <v>70</v>
      </c>
      <c r="B682" s="1" t="s">
        <v>1269</v>
      </c>
      <c r="C682" s="1" t="s">
        <v>12589</v>
      </c>
      <c r="D682" s="1" t="s">
        <v>3051</v>
      </c>
      <c r="E682" s="1"/>
      <c r="F682" s="1" t="s">
        <v>12590</v>
      </c>
      <c r="G682" s="1" t="s">
        <v>12591</v>
      </c>
      <c r="H682" s="1" t="s">
        <v>12592</v>
      </c>
      <c r="I682" s="1" t="s">
        <v>12593</v>
      </c>
      <c r="J682" s="1">
        <v>8328351508</v>
      </c>
      <c r="K682" s="1" t="s">
        <v>79</v>
      </c>
      <c r="L682" s="1" t="s">
        <v>12594</v>
      </c>
      <c r="M682" s="1" t="s">
        <v>81</v>
      </c>
      <c r="N682" s="1" t="s">
        <v>12595</v>
      </c>
      <c r="O682" s="1"/>
      <c r="P682" s="1" t="s">
        <v>1462</v>
      </c>
      <c r="Q682" s="1" t="s">
        <v>12596</v>
      </c>
      <c r="R682" s="1" t="s">
        <v>12597</v>
      </c>
      <c r="S682" s="1">
        <v>8328351508</v>
      </c>
      <c r="T682" s="1" t="s">
        <v>12598</v>
      </c>
      <c r="U682" s="1" t="s">
        <v>12599</v>
      </c>
      <c r="V682" s="1">
        <v>9000004083</v>
      </c>
      <c r="W682" s="1" t="s">
        <v>2238</v>
      </c>
      <c r="X682" s="1" t="s">
        <v>12600</v>
      </c>
      <c r="Y682" s="1" t="s">
        <v>9623</v>
      </c>
      <c r="Z682" s="1" t="s">
        <v>609</v>
      </c>
      <c r="AA682" s="1" t="s">
        <v>12600</v>
      </c>
      <c r="AB682" s="1" t="s">
        <v>9623</v>
      </c>
      <c r="AC682" s="1" t="s">
        <v>609</v>
      </c>
      <c r="AD682" s="1">
        <v>8.15</v>
      </c>
      <c r="AE682" s="1" t="s">
        <v>93</v>
      </c>
      <c r="AF682" s="1" t="s">
        <v>12601</v>
      </c>
      <c r="AG682" s="1" t="s">
        <v>1285</v>
      </c>
      <c r="AH682" s="1" t="s">
        <v>162</v>
      </c>
      <c r="AI682" s="1" t="s">
        <v>195</v>
      </c>
      <c r="AJ682" s="1">
        <v>98</v>
      </c>
      <c r="AK682" s="1">
        <v>9.8</v>
      </c>
      <c r="AL682" s="1" t="s">
        <v>12602</v>
      </c>
      <c r="AM682" s="1" t="s">
        <v>613</v>
      </c>
      <c r="AN682" s="1" t="s">
        <v>165</v>
      </c>
      <c r="AO682" s="1" t="s">
        <v>409</v>
      </c>
      <c r="AP682" s="1">
        <v>96.8</v>
      </c>
      <c r="AQ682" s="1">
        <v>9.68</v>
      </c>
      <c r="AR682" s="1"/>
      <c r="AS682" s="1"/>
      <c r="AT682" s="1"/>
      <c r="AU682" s="1"/>
      <c r="AV682" s="1"/>
      <c r="AW682" s="1"/>
      <c r="AX682" s="1" t="s">
        <v>7614</v>
      </c>
      <c r="AY682" s="1" t="s">
        <v>11990</v>
      </c>
      <c r="AZ682" s="1" t="s">
        <v>2461</v>
      </c>
      <c r="BA682" s="1" t="s">
        <v>202</v>
      </c>
      <c r="BB682" s="1">
        <v>69.7</v>
      </c>
      <c r="BC682" s="1">
        <v>6.97</v>
      </c>
      <c r="BD682" s="1"/>
      <c r="BE682" s="1"/>
      <c r="BF682" s="1"/>
      <c r="BG682" s="1"/>
      <c r="BH682" s="1"/>
      <c r="BI682" s="1"/>
      <c r="BJ682" s="1" t="s">
        <v>6733</v>
      </c>
      <c r="BK682" s="1"/>
      <c r="BL682" s="1"/>
      <c r="BM682" s="1" t="s">
        <v>12603</v>
      </c>
      <c r="BN682" s="1">
        <v>4</v>
      </c>
      <c r="BO682" s="1"/>
      <c r="BP682" s="1" t="str">
        <f>HYPERLINK("https://nconnect.nicmar.ac.in/storage/profile/ProfilePhoto_P25700646_127359.jpg","Download")</f>
        <v>0</v>
      </c>
      <c r="BQ682" s="3"/>
      <c r="BR682" s="3"/>
    </row>
    <row r="683" spans="1:70">
      <c r="A683" s="1" t="s">
        <v>70</v>
      </c>
      <c r="B683" s="1" t="s">
        <v>1269</v>
      </c>
      <c r="C683" s="1" t="s">
        <v>12604</v>
      </c>
      <c r="D683" s="1" t="s">
        <v>12605</v>
      </c>
      <c r="E683" s="1" t="s">
        <v>12606</v>
      </c>
      <c r="F683" s="1" t="s">
        <v>12607</v>
      </c>
      <c r="G683" s="1" t="s">
        <v>12608</v>
      </c>
      <c r="H683" s="1" t="s">
        <v>12609</v>
      </c>
      <c r="I683" s="1" t="s">
        <v>12610</v>
      </c>
      <c r="J683" s="1">
        <v>9920959760</v>
      </c>
      <c r="K683" s="1" t="s">
        <v>79</v>
      </c>
      <c r="L683" s="1" t="s">
        <v>1617</v>
      </c>
      <c r="M683" s="1" t="s">
        <v>150</v>
      </c>
      <c r="N683" s="1" t="s">
        <v>3738</v>
      </c>
      <c r="O683" s="1"/>
      <c r="P683" s="1" t="s">
        <v>1278</v>
      </c>
      <c r="Q683" s="1" t="s">
        <v>12611</v>
      </c>
      <c r="R683" s="1" t="s">
        <v>12612</v>
      </c>
      <c r="S683" s="1">
        <v>9867023838</v>
      </c>
      <c r="T683" s="1" t="s">
        <v>4672</v>
      </c>
      <c r="U683" s="1" t="s">
        <v>12613</v>
      </c>
      <c r="V683" s="1">
        <v>9930042212</v>
      </c>
      <c r="W683" s="1" t="s">
        <v>273</v>
      </c>
      <c r="X683" s="1" t="s">
        <v>12614</v>
      </c>
      <c r="Y683" s="1" t="s">
        <v>1623</v>
      </c>
      <c r="Z683" s="1" t="s">
        <v>92</v>
      </c>
      <c r="AA683" s="1" t="s">
        <v>12614</v>
      </c>
      <c r="AB683" s="1" t="s">
        <v>1623</v>
      </c>
      <c r="AC683" s="1" t="s">
        <v>92</v>
      </c>
      <c r="AD683" s="1">
        <v>8.48</v>
      </c>
      <c r="AE683" s="1" t="s">
        <v>93</v>
      </c>
      <c r="AF683" s="1" t="s">
        <v>12615</v>
      </c>
      <c r="AG683" s="1" t="s">
        <v>1152</v>
      </c>
      <c r="AH683" s="1" t="s">
        <v>131</v>
      </c>
      <c r="AI683" s="1" t="s">
        <v>527</v>
      </c>
      <c r="AJ683" s="1">
        <v>78.6</v>
      </c>
      <c r="AK683" s="1">
        <v>0</v>
      </c>
      <c r="AL683" s="1"/>
      <c r="AM683" s="1"/>
      <c r="AN683" s="1"/>
      <c r="AO683" s="1"/>
      <c r="AP683" s="1"/>
      <c r="AQ683" s="1"/>
      <c r="AR683" s="1" t="s">
        <v>98</v>
      </c>
      <c r="AS683" s="1" t="s">
        <v>12616</v>
      </c>
      <c r="AT683" s="1" t="s">
        <v>134</v>
      </c>
      <c r="AU683" s="1" t="s">
        <v>310</v>
      </c>
      <c r="AV683" s="1">
        <v>78</v>
      </c>
      <c r="AW683" s="1">
        <v>0</v>
      </c>
      <c r="AX683" s="1" t="s">
        <v>253</v>
      </c>
      <c r="AY683" s="1" t="s">
        <v>12617</v>
      </c>
      <c r="AZ683" s="1" t="s">
        <v>201</v>
      </c>
      <c r="BA683" s="1" t="s">
        <v>1003</v>
      </c>
      <c r="BB683" s="1">
        <v>78.36</v>
      </c>
      <c r="BC683" s="1">
        <v>8.68</v>
      </c>
      <c r="BD683" s="1"/>
      <c r="BE683" s="1"/>
      <c r="BF683" s="1"/>
      <c r="BG683" s="1"/>
      <c r="BH683" s="1"/>
      <c r="BI683" s="1"/>
      <c r="BJ683" s="1" t="s">
        <v>12618</v>
      </c>
      <c r="BK683" s="1" t="s">
        <v>12619</v>
      </c>
      <c r="BL683" s="1" t="s">
        <v>3103</v>
      </c>
      <c r="BM683" s="1" t="s">
        <v>12620</v>
      </c>
      <c r="BN683" s="1">
        <v>31</v>
      </c>
      <c r="BO683" s="1" t="s">
        <v>12621</v>
      </c>
      <c r="BP683" s="1" t="str">
        <f>HYPERLINK("https://nconnect.nicmar.ac.in/storage/profile/ProfilePhoto_P25700647_481956.jpg","Download")</f>
        <v>0</v>
      </c>
      <c r="BQ683" s="3"/>
      <c r="BR683" s="3"/>
    </row>
    <row r="684" spans="1:70">
      <c r="A684" s="1" t="s">
        <v>70</v>
      </c>
      <c r="B684" s="1" t="s">
        <v>1269</v>
      </c>
      <c r="C684" s="1" t="s">
        <v>12622</v>
      </c>
      <c r="D684" s="1" t="s">
        <v>12623</v>
      </c>
      <c r="E684" s="1" t="s">
        <v>12624</v>
      </c>
      <c r="F684" s="1" t="s">
        <v>12625</v>
      </c>
      <c r="G684" s="1" t="s">
        <v>12626</v>
      </c>
      <c r="H684" s="1" t="s">
        <v>12627</v>
      </c>
      <c r="I684" s="1" t="s">
        <v>12628</v>
      </c>
      <c r="J684" s="1">
        <v>7043305926</v>
      </c>
      <c r="K684" s="1" t="s">
        <v>79</v>
      </c>
      <c r="L684" s="1" t="s">
        <v>8672</v>
      </c>
      <c r="M684" s="1" t="s">
        <v>81</v>
      </c>
      <c r="N684" s="1" t="s">
        <v>7326</v>
      </c>
      <c r="O684" s="1"/>
      <c r="P684" s="1" t="s">
        <v>1323</v>
      </c>
      <c r="Q684" s="1" t="s">
        <v>12629</v>
      </c>
      <c r="R684" s="1" t="s">
        <v>12630</v>
      </c>
      <c r="S684" s="1">
        <v>9426154922</v>
      </c>
      <c r="T684" s="1" t="s">
        <v>5243</v>
      </c>
      <c r="U684" s="1" t="s">
        <v>12631</v>
      </c>
      <c r="V684" s="1">
        <v>8320500467</v>
      </c>
      <c r="W684" s="1" t="s">
        <v>1771</v>
      </c>
      <c r="X684" s="1" t="s">
        <v>12632</v>
      </c>
      <c r="Y684" s="1" t="s">
        <v>191</v>
      </c>
      <c r="Z684" s="1" t="s">
        <v>92</v>
      </c>
      <c r="AA684" s="1" t="s">
        <v>12633</v>
      </c>
      <c r="AB684" s="1" t="s">
        <v>5873</v>
      </c>
      <c r="AC684" s="1" t="s">
        <v>1468</v>
      </c>
      <c r="AD684" s="1">
        <v>8.03</v>
      </c>
      <c r="AE684" s="1" t="s">
        <v>93</v>
      </c>
      <c r="AF684" s="1" t="s">
        <v>12634</v>
      </c>
      <c r="AG684" s="1" t="s">
        <v>12635</v>
      </c>
      <c r="AH684" s="1" t="s">
        <v>1307</v>
      </c>
      <c r="AI684" s="1" t="s">
        <v>308</v>
      </c>
      <c r="AJ684" s="1">
        <v>93.2</v>
      </c>
      <c r="AK684" s="1"/>
      <c r="AL684" s="1" t="s">
        <v>12634</v>
      </c>
      <c r="AM684" s="1" t="s">
        <v>12635</v>
      </c>
      <c r="AN684" s="1" t="s">
        <v>941</v>
      </c>
      <c r="AO684" s="1" t="s">
        <v>506</v>
      </c>
      <c r="AP684" s="1">
        <v>93.2</v>
      </c>
      <c r="AQ684" s="1"/>
      <c r="AR684" s="1"/>
      <c r="AS684" s="1"/>
      <c r="AT684" s="1"/>
      <c r="AU684" s="1"/>
      <c r="AV684" s="1"/>
      <c r="AW684" s="1"/>
      <c r="AX684" s="1" t="s">
        <v>12636</v>
      </c>
      <c r="AY684" s="1" t="s">
        <v>12636</v>
      </c>
      <c r="AZ684" s="1" t="s">
        <v>1407</v>
      </c>
      <c r="BA684" s="1" t="s">
        <v>1361</v>
      </c>
      <c r="BB684" s="1">
        <v>78.1</v>
      </c>
      <c r="BC684" s="1">
        <v>8.31</v>
      </c>
      <c r="BD684" s="1"/>
      <c r="BE684" s="1"/>
      <c r="BF684" s="1"/>
      <c r="BG684" s="1"/>
      <c r="BH684" s="1"/>
      <c r="BI684" s="1"/>
      <c r="BJ684" s="1" t="s">
        <v>734</v>
      </c>
      <c r="BK684" s="1"/>
      <c r="BL684" s="1"/>
      <c r="BM684" s="1" t="s">
        <v>12637</v>
      </c>
      <c r="BN684" s="1">
        <v>25</v>
      </c>
      <c r="BO684" s="1"/>
      <c r="BP684" s="1" t="str">
        <f>HYPERLINK("https://nconnect.nicmar.ac.in/storage/profile/ProfilePhoto_P25700648_167498.jpg","Download")</f>
        <v>0</v>
      </c>
      <c r="BQ684" s="3"/>
      <c r="BR684" s="3"/>
    </row>
    <row r="685" spans="1:70">
      <c r="A685" s="1" t="s">
        <v>70</v>
      </c>
      <c r="B685" s="1" t="s">
        <v>1269</v>
      </c>
      <c r="C685" s="1" t="s">
        <v>12638</v>
      </c>
      <c r="D685" s="1" t="s">
        <v>12639</v>
      </c>
      <c r="E685" s="1"/>
      <c r="F685" s="1" t="s">
        <v>5020</v>
      </c>
      <c r="G685" s="1" t="s">
        <v>12640</v>
      </c>
      <c r="H685" s="1" t="s">
        <v>12641</v>
      </c>
      <c r="I685" s="1" t="s">
        <v>12642</v>
      </c>
      <c r="J685" s="1">
        <v>7095418558</v>
      </c>
      <c r="K685" s="1" t="s">
        <v>79</v>
      </c>
      <c r="L685" s="1" t="s">
        <v>12643</v>
      </c>
      <c r="M685" s="1" t="s">
        <v>81</v>
      </c>
      <c r="N685" s="1" t="s">
        <v>9121</v>
      </c>
      <c r="O685" s="1"/>
      <c r="P685" s="1" t="s">
        <v>1323</v>
      </c>
      <c r="Q685" s="1" t="s">
        <v>12644</v>
      </c>
      <c r="R685" s="1" t="s">
        <v>12645</v>
      </c>
      <c r="S685" s="1">
        <v>9550519890</v>
      </c>
      <c r="T685" s="1" t="s">
        <v>154</v>
      </c>
      <c r="U685" s="1" t="s">
        <v>12646</v>
      </c>
      <c r="V685" s="1">
        <v>9848882491</v>
      </c>
      <c r="W685" s="1" t="s">
        <v>651</v>
      </c>
      <c r="X685" s="1" t="s">
        <v>12647</v>
      </c>
      <c r="Y685" s="1" t="s">
        <v>12648</v>
      </c>
      <c r="Z685" s="1" t="s">
        <v>276</v>
      </c>
      <c r="AA685" s="1" t="s">
        <v>12647</v>
      </c>
      <c r="AB685" s="1" t="s">
        <v>12648</v>
      </c>
      <c r="AC685" s="1" t="s">
        <v>276</v>
      </c>
      <c r="AD685" s="1">
        <v>9.0</v>
      </c>
      <c r="AE685" s="1" t="s">
        <v>93</v>
      </c>
      <c r="AF685" s="1" t="s">
        <v>12649</v>
      </c>
      <c r="AG685" s="1" t="s">
        <v>12650</v>
      </c>
      <c r="AH685" s="1" t="s">
        <v>169</v>
      </c>
      <c r="AI685" s="1" t="s">
        <v>409</v>
      </c>
      <c r="AJ685" s="1">
        <v>93</v>
      </c>
      <c r="AK685" s="1">
        <v>9.3</v>
      </c>
      <c r="AL685" s="1" t="s">
        <v>12651</v>
      </c>
      <c r="AM685" s="1" t="s">
        <v>12652</v>
      </c>
      <c r="AN685" s="1" t="s">
        <v>310</v>
      </c>
      <c r="AO685" s="1" t="s">
        <v>504</v>
      </c>
      <c r="AP685" s="1">
        <v>88.4</v>
      </c>
      <c r="AQ685" s="1">
        <v>0</v>
      </c>
      <c r="AR685" s="1"/>
      <c r="AS685" s="1"/>
      <c r="AT685" s="1"/>
      <c r="AU685" s="1"/>
      <c r="AV685" s="1"/>
      <c r="AW685" s="1"/>
      <c r="AX685" s="1" t="s">
        <v>12653</v>
      </c>
      <c r="AY685" s="1" t="s">
        <v>12654</v>
      </c>
      <c r="AZ685" s="1" t="s">
        <v>506</v>
      </c>
      <c r="BA685" s="1" t="s">
        <v>1408</v>
      </c>
      <c r="BB685" s="1">
        <v>73.3</v>
      </c>
      <c r="BC685" s="1">
        <v>8.08</v>
      </c>
      <c r="BD685" s="1"/>
      <c r="BE685" s="1"/>
      <c r="BF685" s="1"/>
      <c r="BG685" s="1"/>
      <c r="BH685" s="1"/>
      <c r="BI685" s="1"/>
      <c r="BJ685" s="1" t="s">
        <v>12655</v>
      </c>
      <c r="BK685" s="1"/>
      <c r="BL685" s="1"/>
      <c r="BM685" s="1" t="s">
        <v>12656</v>
      </c>
      <c r="BN685" s="1">
        <v>15</v>
      </c>
      <c r="BO685" s="1"/>
      <c r="BP685" s="1" t="str">
        <f>HYPERLINK("https://nconnect.nicmar.ac.in/storage/profile/ProfilePhoto_P25700649_431865.jpg","Download")</f>
        <v>0</v>
      </c>
      <c r="BQ685" s="3"/>
      <c r="BR685" s="3"/>
    </row>
    <row r="686" spans="1:70">
      <c r="A686" s="1" t="s">
        <v>70</v>
      </c>
      <c r="B686" s="1" t="s">
        <v>1269</v>
      </c>
      <c r="C686" s="1" t="s">
        <v>12657</v>
      </c>
      <c r="D686" s="1" t="s">
        <v>643</v>
      </c>
      <c r="E686" s="1" t="s">
        <v>1566</v>
      </c>
      <c r="F686" s="1" t="s">
        <v>12658</v>
      </c>
      <c r="G686" s="1" t="s">
        <v>12659</v>
      </c>
      <c r="H686" s="1" t="s">
        <v>12660</v>
      </c>
      <c r="I686" s="1" t="s">
        <v>12661</v>
      </c>
      <c r="J686" s="1">
        <v>7058591221</v>
      </c>
      <c r="K686" s="1" t="s">
        <v>79</v>
      </c>
      <c r="L686" s="1" t="s">
        <v>1764</v>
      </c>
      <c r="M686" s="1" t="s">
        <v>81</v>
      </c>
      <c r="N686" s="1" t="s">
        <v>12662</v>
      </c>
      <c r="O686" s="1"/>
      <c r="P686" s="1" t="s">
        <v>1766</v>
      </c>
      <c r="Q686" s="1" t="s">
        <v>12663</v>
      </c>
      <c r="R686" s="1" t="s">
        <v>12664</v>
      </c>
      <c r="S686" s="1">
        <v>9820112357</v>
      </c>
      <c r="T686" s="1" t="s">
        <v>1256</v>
      </c>
      <c r="U686" s="1" t="s">
        <v>12665</v>
      </c>
      <c r="V686" s="1">
        <v>7058493264</v>
      </c>
      <c r="W686" s="1" t="s">
        <v>716</v>
      </c>
      <c r="X686" s="1" t="s">
        <v>12666</v>
      </c>
      <c r="Y686" s="1" t="s">
        <v>5064</v>
      </c>
      <c r="Z686" s="1" t="s">
        <v>92</v>
      </c>
      <c r="AA686" s="1" t="s">
        <v>12667</v>
      </c>
      <c r="AB686" s="1" t="s">
        <v>766</v>
      </c>
      <c r="AC686" s="1" t="s">
        <v>92</v>
      </c>
      <c r="AD686" s="1">
        <v>8.25</v>
      </c>
      <c r="AE686" s="1" t="s">
        <v>93</v>
      </c>
      <c r="AF686" s="1" t="s">
        <v>12668</v>
      </c>
      <c r="AG686" s="1" t="s">
        <v>160</v>
      </c>
      <c r="AH686" s="1" t="s">
        <v>169</v>
      </c>
      <c r="AI686" s="1" t="s">
        <v>409</v>
      </c>
      <c r="AJ686" s="1">
        <v>68.8</v>
      </c>
      <c r="AK686" s="1"/>
      <c r="AL686" s="1"/>
      <c r="AM686" s="1"/>
      <c r="AN686" s="1"/>
      <c r="AO686" s="1"/>
      <c r="AP686" s="1"/>
      <c r="AQ686" s="1"/>
      <c r="AR686" s="1" t="s">
        <v>434</v>
      </c>
      <c r="AS686" s="1" t="s">
        <v>12669</v>
      </c>
      <c r="AT686" s="1" t="s">
        <v>201</v>
      </c>
      <c r="AU686" s="1" t="s">
        <v>481</v>
      </c>
      <c r="AV686" s="1">
        <v>76.47</v>
      </c>
      <c r="AW686" s="1"/>
      <c r="AX686" s="1" t="s">
        <v>1024</v>
      </c>
      <c r="AY686" s="1" t="s">
        <v>12670</v>
      </c>
      <c r="AZ686" s="1" t="s">
        <v>2690</v>
      </c>
      <c r="BA686" s="1" t="s">
        <v>1584</v>
      </c>
      <c r="BB686" s="1">
        <v>65.04</v>
      </c>
      <c r="BC686" s="1">
        <v>7.1</v>
      </c>
      <c r="BD686" s="1"/>
      <c r="BE686" s="1"/>
      <c r="BF686" s="1"/>
      <c r="BG686" s="1"/>
      <c r="BH686" s="1"/>
      <c r="BI686" s="1"/>
      <c r="BJ686" s="1" t="s">
        <v>734</v>
      </c>
      <c r="BK686" s="1"/>
      <c r="BL686" s="1"/>
      <c r="BM686" s="1"/>
      <c r="BN686" s="1"/>
      <c r="BO686" s="1"/>
      <c r="BP686" s="1" t="str">
        <f>HYPERLINK("https://nconnect.nicmar.ac.in/storage/profile/ProfilePhoto_P25700650_487352.jpg","Download")</f>
        <v>0</v>
      </c>
      <c r="BQ686" s="3"/>
      <c r="BR686" s="3"/>
    </row>
    <row r="687" spans="1:70">
      <c r="A687" s="1" t="s">
        <v>70</v>
      </c>
      <c r="B687" s="1" t="s">
        <v>1269</v>
      </c>
      <c r="C687" s="1" t="s">
        <v>12671</v>
      </c>
      <c r="D687" s="1" t="s">
        <v>12672</v>
      </c>
      <c r="E687" s="1" t="s">
        <v>12673</v>
      </c>
      <c r="F687" s="1" t="s">
        <v>12674</v>
      </c>
      <c r="G687" s="1" t="s">
        <v>12675</v>
      </c>
      <c r="H687" s="1" t="s">
        <v>12676</v>
      </c>
      <c r="I687" s="1" t="s">
        <v>12677</v>
      </c>
      <c r="J687" s="1">
        <v>7507311402</v>
      </c>
      <c r="K687" s="1" t="s">
        <v>148</v>
      </c>
      <c r="L687" s="1" t="s">
        <v>1928</v>
      </c>
      <c r="M687" s="1" t="s">
        <v>81</v>
      </c>
      <c r="N687" s="1" t="s">
        <v>1418</v>
      </c>
      <c r="O687" s="1"/>
      <c r="P687" s="1" t="s">
        <v>1323</v>
      </c>
      <c r="Q687" s="1" t="s">
        <v>12678</v>
      </c>
      <c r="R687" s="1" t="s">
        <v>12674</v>
      </c>
      <c r="S687" s="1">
        <v>9922943730</v>
      </c>
      <c r="T687" s="1" t="s">
        <v>763</v>
      </c>
      <c r="U687" s="1" t="s">
        <v>12679</v>
      </c>
      <c r="V687" s="1">
        <v>9960345951</v>
      </c>
      <c r="W687" s="1" t="s">
        <v>156</v>
      </c>
      <c r="X687" s="1" t="s">
        <v>12680</v>
      </c>
      <c r="Y687" s="1" t="s">
        <v>191</v>
      </c>
      <c r="Z687" s="1" t="s">
        <v>92</v>
      </c>
      <c r="AA687" s="1" t="s">
        <v>12680</v>
      </c>
      <c r="AB687" s="1" t="s">
        <v>191</v>
      </c>
      <c r="AC687" s="1" t="s">
        <v>92</v>
      </c>
      <c r="AD687" s="1">
        <v>7.56</v>
      </c>
      <c r="AE687" s="1" t="s">
        <v>93</v>
      </c>
      <c r="AF687" s="1" t="s">
        <v>12681</v>
      </c>
      <c r="AG687" s="1" t="s">
        <v>12682</v>
      </c>
      <c r="AH687" s="1" t="s">
        <v>162</v>
      </c>
      <c r="AI687" s="1" t="s">
        <v>195</v>
      </c>
      <c r="AJ687" s="1">
        <v>69.8</v>
      </c>
      <c r="AK687" s="1">
        <v>0</v>
      </c>
      <c r="AL687" s="1" t="s">
        <v>12683</v>
      </c>
      <c r="AM687" s="1" t="s">
        <v>12682</v>
      </c>
      <c r="AN687" s="1" t="s">
        <v>101</v>
      </c>
      <c r="AO687" s="1" t="s">
        <v>941</v>
      </c>
      <c r="AP687" s="1">
        <v>62.31</v>
      </c>
      <c r="AQ687" s="1">
        <v>0</v>
      </c>
      <c r="AR687" s="1"/>
      <c r="AS687" s="1"/>
      <c r="AT687" s="1"/>
      <c r="AU687" s="1"/>
      <c r="AV687" s="1"/>
      <c r="AW687" s="1"/>
      <c r="AX687" s="1" t="s">
        <v>361</v>
      </c>
      <c r="AY687" s="1" t="s">
        <v>12684</v>
      </c>
      <c r="AZ687" s="1" t="s">
        <v>681</v>
      </c>
      <c r="BA687" s="1" t="s">
        <v>1714</v>
      </c>
      <c r="BB687" s="1">
        <v>70.6</v>
      </c>
      <c r="BC687" s="1">
        <v>7.81</v>
      </c>
      <c r="BD687" s="1"/>
      <c r="BE687" s="1"/>
      <c r="BF687" s="1"/>
      <c r="BG687" s="1"/>
      <c r="BH687" s="1"/>
      <c r="BI687" s="1"/>
      <c r="BJ687" s="1" t="s">
        <v>12685</v>
      </c>
      <c r="BK687" s="1"/>
      <c r="BL687" s="1"/>
      <c r="BM687" s="1" t="s">
        <v>12686</v>
      </c>
      <c r="BN687" s="1">
        <v>17</v>
      </c>
      <c r="BO687" s="1"/>
      <c r="BP687" s="1" t="str">
        <f>HYPERLINK("https://nconnect.nicmar.ac.in/storage/profile/ProfilePhoto_P25700651_715392.jpg","Download")</f>
        <v>0</v>
      </c>
      <c r="BQ687" s="3"/>
      <c r="BR687" s="3"/>
    </row>
    <row r="688" spans="1:70">
      <c r="A688" s="1" t="s">
        <v>70</v>
      </c>
      <c r="B688" s="1" t="s">
        <v>1269</v>
      </c>
      <c r="C688" s="1" t="s">
        <v>12687</v>
      </c>
      <c r="D688" s="1" t="s">
        <v>12688</v>
      </c>
      <c r="E688" s="1" t="s">
        <v>12689</v>
      </c>
      <c r="F688" s="1" t="s">
        <v>12690</v>
      </c>
      <c r="G688" s="1" t="s">
        <v>12691</v>
      </c>
      <c r="H688" s="1" t="s">
        <v>12692</v>
      </c>
      <c r="I688" s="1" t="s">
        <v>12693</v>
      </c>
      <c r="J688" s="1">
        <v>9172147932</v>
      </c>
      <c r="K688" s="1" t="s">
        <v>148</v>
      </c>
      <c r="L688" s="1" t="s">
        <v>12694</v>
      </c>
      <c r="M688" s="1" t="s">
        <v>81</v>
      </c>
      <c r="N688" s="1" t="s">
        <v>12695</v>
      </c>
      <c r="O688" s="1"/>
      <c r="P688" s="1" t="s">
        <v>1298</v>
      </c>
      <c r="Q688" s="1" t="s">
        <v>12696</v>
      </c>
      <c r="R688" s="1" t="s">
        <v>12690</v>
      </c>
      <c r="S688" s="1">
        <v>7798771199</v>
      </c>
      <c r="T688" s="1" t="s">
        <v>5243</v>
      </c>
      <c r="U688" s="1" t="s">
        <v>12697</v>
      </c>
      <c r="V688" s="1">
        <v>9156540247</v>
      </c>
      <c r="W688" s="1" t="s">
        <v>273</v>
      </c>
      <c r="X688" s="1" t="s">
        <v>12698</v>
      </c>
      <c r="Y688" s="1" t="s">
        <v>191</v>
      </c>
      <c r="Z688" s="1" t="s">
        <v>92</v>
      </c>
      <c r="AA688" s="1" t="s">
        <v>12698</v>
      </c>
      <c r="AB688" s="1" t="s">
        <v>191</v>
      </c>
      <c r="AC688" s="1" t="s">
        <v>92</v>
      </c>
      <c r="AD688" s="1">
        <v>7.79</v>
      </c>
      <c r="AE688" s="1" t="s">
        <v>93</v>
      </c>
      <c r="AF688" s="1" t="s">
        <v>12699</v>
      </c>
      <c r="AG688" s="1" t="s">
        <v>2495</v>
      </c>
      <c r="AH688" s="1" t="s">
        <v>165</v>
      </c>
      <c r="AI688" s="1" t="s">
        <v>281</v>
      </c>
      <c r="AJ688" s="1">
        <v>86.4</v>
      </c>
      <c r="AK688" s="1">
        <v>0</v>
      </c>
      <c r="AL688" s="1" t="s">
        <v>12700</v>
      </c>
      <c r="AM688" s="1" t="s">
        <v>6952</v>
      </c>
      <c r="AN688" s="1" t="s">
        <v>433</v>
      </c>
      <c r="AO688" s="1" t="s">
        <v>360</v>
      </c>
      <c r="AP688" s="1">
        <v>83.85</v>
      </c>
      <c r="AQ688" s="1">
        <v>0</v>
      </c>
      <c r="AR688" s="1"/>
      <c r="AS688" s="1"/>
      <c r="AT688" s="1"/>
      <c r="AU688" s="1"/>
      <c r="AV688" s="1"/>
      <c r="AW688" s="1"/>
      <c r="AX688" s="1" t="s">
        <v>361</v>
      </c>
      <c r="AY688" s="1" t="s">
        <v>12701</v>
      </c>
      <c r="AZ688" s="1" t="s">
        <v>360</v>
      </c>
      <c r="BA688" s="1" t="s">
        <v>1408</v>
      </c>
      <c r="BB688" s="1">
        <v>82.76</v>
      </c>
      <c r="BC688" s="1">
        <v>8.98</v>
      </c>
      <c r="BD688" s="1"/>
      <c r="BE688" s="1"/>
      <c r="BF688" s="1"/>
      <c r="BG688" s="1"/>
      <c r="BH688" s="1"/>
      <c r="BI688" s="1"/>
      <c r="BJ688" s="1" t="s">
        <v>2145</v>
      </c>
      <c r="BK688" s="1"/>
      <c r="BL688" s="1"/>
      <c r="BM688" s="1" t="s">
        <v>12702</v>
      </c>
      <c r="BN688" s="1">
        <v>21</v>
      </c>
      <c r="BO688" s="1"/>
      <c r="BP688" s="1" t="str">
        <f>HYPERLINK("https://nconnect.nicmar.ac.in/storage/profile/ProfilePhoto_P25700652_942673.jpg","Download")</f>
        <v>0</v>
      </c>
      <c r="BQ688" s="3"/>
      <c r="BR688" s="3"/>
    </row>
    <row r="689" spans="1:70">
      <c r="A689" s="1" t="s">
        <v>70</v>
      </c>
      <c r="B689" s="1" t="s">
        <v>1269</v>
      </c>
      <c r="C689" s="1" t="s">
        <v>12703</v>
      </c>
      <c r="D689" s="1" t="s">
        <v>12704</v>
      </c>
      <c r="E689" s="1" t="s">
        <v>1546</v>
      </c>
      <c r="F689" s="1" t="s">
        <v>12705</v>
      </c>
      <c r="G689" s="1" t="s">
        <v>12706</v>
      </c>
      <c r="H689" s="1" t="s">
        <v>12707</v>
      </c>
      <c r="I689" s="1" t="s">
        <v>12708</v>
      </c>
      <c r="J689" s="1">
        <v>8888761152</v>
      </c>
      <c r="K689" s="1" t="s">
        <v>148</v>
      </c>
      <c r="L689" s="1" t="s">
        <v>672</v>
      </c>
      <c r="M689" s="1" t="s">
        <v>81</v>
      </c>
      <c r="N689" s="1" t="s">
        <v>1765</v>
      </c>
      <c r="O689" s="1"/>
      <c r="P689" s="1" t="s">
        <v>1298</v>
      </c>
      <c r="Q689" s="1" t="s">
        <v>12709</v>
      </c>
      <c r="R689" s="1" t="s">
        <v>1546</v>
      </c>
      <c r="S689" s="1">
        <v>8847701152</v>
      </c>
      <c r="T689" s="1" t="s">
        <v>12710</v>
      </c>
      <c r="U689" s="1" t="s">
        <v>6003</v>
      </c>
      <c r="V689" s="1">
        <v>8847701152</v>
      </c>
      <c r="W689" s="1" t="s">
        <v>12711</v>
      </c>
      <c r="X689" s="1" t="s">
        <v>12712</v>
      </c>
      <c r="Y689" s="1" t="s">
        <v>2786</v>
      </c>
      <c r="Z689" s="1" t="s">
        <v>92</v>
      </c>
      <c r="AA689" s="1" t="s">
        <v>12712</v>
      </c>
      <c r="AB689" s="1" t="s">
        <v>2786</v>
      </c>
      <c r="AC689" s="1" t="s">
        <v>92</v>
      </c>
      <c r="AD689" s="1">
        <v>7.66</v>
      </c>
      <c r="AE689" s="1" t="s">
        <v>93</v>
      </c>
      <c r="AF689" s="1" t="s">
        <v>12713</v>
      </c>
      <c r="AG689" s="1" t="s">
        <v>160</v>
      </c>
      <c r="AH689" s="1" t="s">
        <v>195</v>
      </c>
      <c r="AI689" s="1" t="s">
        <v>281</v>
      </c>
      <c r="AJ689" s="1">
        <v>84.2</v>
      </c>
      <c r="AK689" s="1"/>
      <c r="AL689" s="1"/>
      <c r="AM689" s="1"/>
      <c r="AN689" s="1"/>
      <c r="AO689" s="1"/>
      <c r="AP689" s="1"/>
      <c r="AQ689" s="1"/>
      <c r="AR689" s="1" t="s">
        <v>434</v>
      </c>
      <c r="AS689" s="1" t="s">
        <v>12714</v>
      </c>
      <c r="AT689" s="1" t="s">
        <v>1307</v>
      </c>
      <c r="AU689" s="1" t="s">
        <v>436</v>
      </c>
      <c r="AV689" s="1">
        <v>84.16</v>
      </c>
      <c r="AW689" s="1"/>
      <c r="AX689" s="1" t="s">
        <v>8961</v>
      </c>
      <c r="AY689" s="1" t="s">
        <v>12715</v>
      </c>
      <c r="AZ689" s="1" t="s">
        <v>135</v>
      </c>
      <c r="BA689" s="1" t="s">
        <v>702</v>
      </c>
      <c r="BB689" s="1">
        <v>74</v>
      </c>
      <c r="BC689" s="1">
        <v>7.4</v>
      </c>
      <c r="BD689" s="1"/>
      <c r="BE689" s="1"/>
      <c r="BF689" s="1"/>
      <c r="BG689" s="1"/>
      <c r="BH689" s="1"/>
      <c r="BI689" s="1"/>
      <c r="BJ689" s="1" t="s">
        <v>4177</v>
      </c>
      <c r="BK689" s="1" t="s">
        <v>12716</v>
      </c>
      <c r="BL689" s="1" t="s">
        <v>2910</v>
      </c>
      <c r="BM689" s="1" t="s">
        <v>12717</v>
      </c>
      <c r="BN689" s="1">
        <v>17</v>
      </c>
      <c r="BO689" s="1" t="s">
        <v>12718</v>
      </c>
      <c r="BP689" s="1" t="str">
        <f>HYPERLINK("https://nconnect.nicmar.ac.in/storage/profile/ProfilePhoto_P25700653_961745.jpg","Download")</f>
        <v>0</v>
      </c>
      <c r="BQ689" s="3"/>
      <c r="BR689" s="3"/>
    </row>
    <row r="690" spans="1:70">
      <c r="A690" s="1" t="s">
        <v>70</v>
      </c>
      <c r="B690" s="1" t="s">
        <v>1269</v>
      </c>
      <c r="C690" s="1" t="s">
        <v>12719</v>
      </c>
      <c r="D690" s="1" t="s">
        <v>12720</v>
      </c>
      <c r="E690" s="1"/>
      <c r="F690" s="1" t="s">
        <v>4684</v>
      </c>
      <c r="G690" s="1" t="s">
        <v>12721</v>
      </c>
      <c r="H690" s="1" t="s">
        <v>12722</v>
      </c>
      <c r="I690" s="1" t="s">
        <v>12723</v>
      </c>
      <c r="J690" s="1">
        <v>7059436514</v>
      </c>
      <c r="K690" s="1" t="s">
        <v>79</v>
      </c>
      <c r="L690" s="1" t="s">
        <v>12724</v>
      </c>
      <c r="M690" s="1" t="s">
        <v>81</v>
      </c>
      <c r="N690" s="1" t="s">
        <v>12725</v>
      </c>
      <c r="O690" s="1"/>
      <c r="P690" s="1" t="s">
        <v>3490</v>
      </c>
      <c r="Q690" s="1" t="s">
        <v>12726</v>
      </c>
      <c r="R690" s="1" t="s">
        <v>12727</v>
      </c>
      <c r="S690" s="1">
        <v>8272909776</v>
      </c>
      <c r="T690" s="1" t="s">
        <v>120</v>
      </c>
      <c r="U690" s="1" t="s">
        <v>12728</v>
      </c>
      <c r="V690" s="1">
        <v>8981786833</v>
      </c>
      <c r="W690" s="1" t="s">
        <v>89</v>
      </c>
      <c r="X690" s="1" t="s">
        <v>12729</v>
      </c>
      <c r="Y690" s="1" t="s">
        <v>782</v>
      </c>
      <c r="Z690" s="1" t="s">
        <v>783</v>
      </c>
      <c r="AA690" s="1" t="s">
        <v>12729</v>
      </c>
      <c r="AB690" s="1" t="s">
        <v>782</v>
      </c>
      <c r="AC690" s="1" t="s">
        <v>783</v>
      </c>
      <c r="AD690" s="1">
        <v>8.69</v>
      </c>
      <c r="AE690" s="1" t="s">
        <v>93</v>
      </c>
      <c r="AF690" s="1" t="s">
        <v>12730</v>
      </c>
      <c r="AG690" s="1" t="s">
        <v>1152</v>
      </c>
      <c r="AH690" s="1" t="s">
        <v>12731</v>
      </c>
      <c r="AI690" s="1" t="s">
        <v>999</v>
      </c>
      <c r="AJ690" s="1">
        <v>65.16</v>
      </c>
      <c r="AK690" s="1"/>
      <c r="AL690" s="1"/>
      <c r="AM690" s="1"/>
      <c r="AN690" s="1"/>
      <c r="AO690" s="1"/>
      <c r="AP690" s="1"/>
      <c r="AQ690" s="1"/>
      <c r="AR690" s="1" t="s">
        <v>434</v>
      </c>
      <c r="AS690" s="1" t="s">
        <v>12732</v>
      </c>
      <c r="AT690" s="1" t="s">
        <v>96</v>
      </c>
      <c r="AU690" s="1" t="s">
        <v>479</v>
      </c>
      <c r="AV690" s="1">
        <v>75.4</v>
      </c>
      <c r="AW690" s="1"/>
      <c r="AX690" s="1" t="s">
        <v>12733</v>
      </c>
      <c r="AY690" s="1" t="s">
        <v>12734</v>
      </c>
      <c r="AZ690" s="1" t="s">
        <v>383</v>
      </c>
      <c r="BA690" s="1" t="s">
        <v>173</v>
      </c>
      <c r="BB690" s="1">
        <v>70.19</v>
      </c>
      <c r="BC690" s="1">
        <v>7.77</v>
      </c>
      <c r="BD690" s="1"/>
      <c r="BE690" s="1"/>
      <c r="BF690" s="1"/>
      <c r="BG690" s="1"/>
      <c r="BH690" s="1"/>
      <c r="BI690" s="1"/>
      <c r="BJ690" s="1" t="s">
        <v>4102</v>
      </c>
      <c r="BK690" s="1" t="s">
        <v>12735</v>
      </c>
      <c r="BL690" s="1" t="s">
        <v>340</v>
      </c>
      <c r="BM690" s="1" t="s">
        <v>12736</v>
      </c>
      <c r="BN690" s="1">
        <v>1</v>
      </c>
      <c r="BO690" s="1"/>
      <c r="BP690" s="1" t="str">
        <f>HYPERLINK("https://nconnect.nicmar.ac.in/storage/profile/ProfilePhoto_P25700654_483671.jpg","Download")</f>
        <v>0</v>
      </c>
      <c r="BQ690" s="3"/>
      <c r="BR690" s="3"/>
    </row>
    <row r="691" spans="1:70">
      <c r="A691" s="1" t="s">
        <v>70</v>
      </c>
      <c r="B691" s="1" t="s">
        <v>1269</v>
      </c>
      <c r="C691" s="1" t="s">
        <v>12737</v>
      </c>
      <c r="D691" s="1" t="s">
        <v>12738</v>
      </c>
      <c r="E691" s="1" t="s">
        <v>3392</v>
      </c>
      <c r="F691" s="1" t="s">
        <v>5452</v>
      </c>
      <c r="G691" s="1" t="s">
        <v>12739</v>
      </c>
      <c r="H691" s="1" t="s">
        <v>12740</v>
      </c>
      <c r="I691" s="1" t="s">
        <v>12741</v>
      </c>
      <c r="J691" s="1">
        <v>8329893898</v>
      </c>
      <c r="K691" s="1" t="s">
        <v>79</v>
      </c>
      <c r="L691" s="1" t="s">
        <v>12742</v>
      </c>
      <c r="M691" s="1" t="s">
        <v>81</v>
      </c>
      <c r="N691" s="1" t="s">
        <v>1765</v>
      </c>
      <c r="O691" s="1"/>
      <c r="P691" s="1" t="s">
        <v>1278</v>
      </c>
      <c r="Q691" s="1" t="s">
        <v>12743</v>
      </c>
      <c r="R691" s="1" t="s">
        <v>5452</v>
      </c>
      <c r="S691" s="1">
        <v>9765429254</v>
      </c>
      <c r="T691" s="1" t="s">
        <v>12744</v>
      </c>
      <c r="U691" s="1" t="s">
        <v>12745</v>
      </c>
      <c r="V691" s="1">
        <v>9765429255</v>
      </c>
      <c r="W691" s="1" t="s">
        <v>12744</v>
      </c>
      <c r="X691" s="1" t="s">
        <v>12746</v>
      </c>
      <c r="Y691" s="1" t="s">
        <v>5819</v>
      </c>
      <c r="Z691" s="1" t="s">
        <v>92</v>
      </c>
      <c r="AA691" s="1" t="s">
        <v>12746</v>
      </c>
      <c r="AB691" s="1" t="s">
        <v>5819</v>
      </c>
      <c r="AC691" s="1" t="s">
        <v>92</v>
      </c>
      <c r="AD691" s="1" t="s">
        <v>93</v>
      </c>
      <c r="AE691" s="1" t="s">
        <v>93</v>
      </c>
      <c r="AF691" s="1" t="s">
        <v>12747</v>
      </c>
      <c r="AG691" s="1" t="s">
        <v>12748</v>
      </c>
      <c r="AH691" s="1" t="s">
        <v>165</v>
      </c>
      <c r="AI691" s="1" t="s">
        <v>101</v>
      </c>
      <c r="AJ691" s="1">
        <v>78.2</v>
      </c>
      <c r="AK691" s="1"/>
      <c r="AL691" s="1" t="s">
        <v>12749</v>
      </c>
      <c r="AM691" s="1" t="s">
        <v>12748</v>
      </c>
      <c r="AN691" s="1" t="s">
        <v>433</v>
      </c>
      <c r="AO691" s="1" t="s">
        <v>173</v>
      </c>
      <c r="AP691" s="1">
        <v>66.62</v>
      </c>
      <c r="AQ691" s="1"/>
      <c r="AR691" s="1"/>
      <c r="AS691" s="1"/>
      <c r="AT691" s="1"/>
      <c r="AU691" s="1"/>
      <c r="AV691" s="1"/>
      <c r="AW691" s="1"/>
      <c r="AX691" s="1" t="s">
        <v>12750</v>
      </c>
      <c r="AY691" s="1" t="s">
        <v>12751</v>
      </c>
      <c r="AZ691" s="1" t="s">
        <v>2461</v>
      </c>
      <c r="BA691" s="1" t="s">
        <v>1977</v>
      </c>
      <c r="BB691" s="1">
        <v>65.9</v>
      </c>
      <c r="BC691" s="1">
        <v>7.34</v>
      </c>
      <c r="BD691" s="1"/>
      <c r="BE691" s="1"/>
      <c r="BF691" s="1"/>
      <c r="BG691" s="1"/>
      <c r="BH691" s="1"/>
      <c r="BI691" s="1"/>
      <c r="BJ691" s="1" t="s">
        <v>1715</v>
      </c>
      <c r="BK691" s="1"/>
      <c r="BL691" s="1"/>
      <c r="BM691" s="1" t="s">
        <v>12752</v>
      </c>
      <c r="BN691" s="1">
        <v>4</v>
      </c>
      <c r="BO691" s="1"/>
      <c r="BP691" s="1" t="str">
        <f>HYPERLINK("https://nconnect.nicmar.ac.in/storage/profile/ProfilePhoto_P25700655_148397.jpg","Download")</f>
        <v>0</v>
      </c>
      <c r="BQ691" s="3"/>
      <c r="BR691" s="3"/>
    </row>
    <row r="692" spans="1:70">
      <c r="A692" s="1" t="s">
        <v>70</v>
      </c>
      <c r="B692" s="1" t="s">
        <v>1269</v>
      </c>
      <c r="C692" s="1" t="s">
        <v>12753</v>
      </c>
      <c r="D692" s="1" t="s">
        <v>12754</v>
      </c>
      <c r="E692" s="1" t="s">
        <v>12755</v>
      </c>
      <c r="F692" s="1" t="s">
        <v>7847</v>
      </c>
      <c r="G692" s="1" t="s">
        <v>12756</v>
      </c>
      <c r="H692" s="1" t="s">
        <v>12757</v>
      </c>
      <c r="I692" s="1" t="s">
        <v>12758</v>
      </c>
      <c r="J692" s="1">
        <v>9325519501</v>
      </c>
      <c r="K692" s="1" t="s">
        <v>79</v>
      </c>
      <c r="L692" s="1" t="s">
        <v>12759</v>
      </c>
      <c r="M692" s="1" t="s">
        <v>81</v>
      </c>
      <c r="N692" s="1" t="s">
        <v>3864</v>
      </c>
      <c r="O692" s="1"/>
      <c r="P692" s="1" t="s">
        <v>1323</v>
      </c>
      <c r="Q692" s="1" t="s">
        <v>12760</v>
      </c>
      <c r="R692" s="1" t="s">
        <v>12755</v>
      </c>
      <c r="S692" s="1">
        <v>9325524372</v>
      </c>
      <c r="T692" s="1" t="s">
        <v>12761</v>
      </c>
      <c r="U692" s="1" t="s">
        <v>12762</v>
      </c>
      <c r="V692" s="1">
        <v>7620414645</v>
      </c>
      <c r="W692" s="1" t="s">
        <v>273</v>
      </c>
      <c r="X692" s="1" t="s">
        <v>12763</v>
      </c>
      <c r="Y692" s="1" t="s">
        <v>2786</v>
      </c>
      <c r="Z692" s="1" t="s">
        <v>92</v>
      </c>
      <c r="AA692" s="1" t="s">
        <v>12763</v>
      </c>
      <c r="AB692" s="1" t="s">
        <v>2786</v>
      </c>
      <c r="AC692" s="1" t="s">
        <v>92</v>
      </c>
      <c r="AD692" s="1">
        <v>8.33</v>
      </c>
      <c r="AE692" s="1" t="s">
        <v>93</v>
      </c>
      <c r="AF692" s="1" t="s">
        <v>12764</v>
      </c>
      <c r="AG692" s="1" t="s">
        <v>160</v>
      </c>
      <c r="AH692" s="1" t="s">
        <v>165</v>
      </c>
      <c r="AI692" s="1" t="s">
        <v>166</v>
      </c>
      <c r="AJ692" s="1">
        <v>89</v>
      </c>
      <c r="AK692" s="1"/>
      <c r="AL692" s="1"/>
      <c r="AM692" s="1"/>
      <c r="AN692" s="1"/>
      <c r="AO692" s="1"/>
      <c r="AP692" s="1"/>
      <c r="AQ692" s="1"/>
      <c r="AR692" s="1" t="s">
        <v>98</v>
      </c>
      <c r="AS692" s="1" t="s">
        <v>2788</v>
      </c>
      <c r="AT692" s="1" t="s">
        <v>636</v>
      </c>
      <c r="AU692" s="1" t="s">
        <v>1051</v>
      </c>
      <c r="AV692" s="1">
        <v>87.81</v>
      </c>
      <c r="AW692" s="1"/>
      <c r="AX692" s="1" t="s">
        <v>361</v>
      </c>
      <c r="AY692" s="1" t="s">
        <v>9777</v>
      </c>
      <c r="AZ692" s="1" t="s">
        <v>897</v>
      </c>
      <c r="BA692" s="1" t="s">
        <v>202</v>
      </c>
      <c r="BB692" s="1">
        <v>73.3</v>
      </c>
      <c r="BC692" s="1">
        <v>8.08</v>
      </c>
      <c r="BD692" s="1"/>
      <c r="BE692" s="1"/>
      <c r="BF692" s="1"/>
      <c r="BG692" s="1"/>
      <c r="BH692" s="1"/>
      <c r="BI692" s="1"/>
      <c r="BJ692" s="1" t="s">
        <v>1383</v>
      </c>
      <c r="BK692" s="1" t="s">
        <v>12765</v>
      </c>
      <c r="BL692" s="1" t="s">
        <v>1475</v>
      </c>
      <c r="BM692" s="1"/>
      <c r="BN692" s="1"/>
      <c r="BO692" s="1"/>
      <c r="BP692" s="1" t="str">
        <f>HYPERLINK("https://nconnect.nicmar.ac.in/storage/profile/ProfilePhoto_P25700656_593681.jpg","Download")</f>
        <v>0</v>
      </c>
      <c r="BQ692" s="3"/>
      <c r="BR692" s="3"/>
    </row>
    <row r="693" spans="1:70">
      <c r="A693" s="1" t="s">
        <v>70</v>
      </c>
      <c r="B693" s="1" t="s">
        <v>1269</v>
      </c>
      <c r="C693" s="1" t="s">
        <v>12766</v>
      </c>
      <c r="D693" s="1" t="s">
        <v>12767</v>
      </c>
      <c r="E693" s="1" t="s">
        <v>12768</v>
      </c>
      <c r="F693" s="1" t="s">
        <v>3538</v>
      </c>
      <c r="G693" s="1" t="s">
        <v>12769</v>
      </c>
      <c r="H693" s="1" t="s">
        <v>12770</v>
      </c>
      <c r="I693" s="1" t="s">
        <v>12771</v>
      </c>
      <c r="J693" s="1">
        <v>8149988053</v>
      </c>
      <c r="K693" s="1" t="s">
        <v>79</v>
      </c>
      <c r="L693" s="1" t="s">
        <v>12772</v>
      </c>
      <c r="M693" s="1" t="s">
        <v>81</v>
      </c>
      <c r="N693" s="1" t="s">
        <v>6195</v>
      </c>
      <c r="O693" s="1"/>
      <c r="P693" s="1" t="s">
        <v>1323</v>
      </c>
      <c r="Q693" s="1" t="s">
        <v>12773</v>
      </c>
      <c r="R693" s="1" t="s">
        <v>12774</v>
      </c>
      <c r="S693" s="1">
        <v>9850340320</v>
      </c>
      <c r="T693" s="1" t="s">
        <v>763</v>
      </c>
      <c r="U693" s="1" t="s">
        <v>12775</v>
      </c>
      <c r="V693" s="1">
        <v>9028973313</v>
      </c>
      <c r="W693" s="1" t="s">
        <v>156</v>
      </c>
      <c r="X693" s="1" t="s">
        <v>12776</v>
      </c>
      <c r="Y693" s="1" t="s">
        <v>405</v>
      </c>
      <c r="Z693" s="1" t="s">
        <v>92</v>
      </c>
      <c r="AA693" s="1" t="s">
        <v>12776</v>
      </c>
      <c r="AB693" s="1" t="s">
        <v>405</v>
      </c>
      <c r="AC693" s="1" t="s">
        <v>92</v>
      </c>
      <c r="AD693" s="1">
        <v>8.41</v>
      </c>
      <c r="AE693" s="1" t="s">
        <v>93</v>
      </c>
      <c r="AF693" s="1" t="s">
        <v>3660</v>
      </c>
      <c r="AG693" s="1" t="s">
        <v>12777</v>
      </c>
      <c r="AH693" s="1" t="s">
        <v>2221</v>
      </c>
      <c r="AI693" s="1" t="s">
        <v>1668</v>
      </c>
      <c r="AJ693" s="1">
        <v>86.18</v>
      </c>
      <c r="AK693" s="1">
        <v>0</v>
      </c>
      <c r="AL693" s="1" t="s">
        <v>12778</v>
      </c>
      <c r="AM693" s="1" t="s">
        <v>12777</v>
      </c>
      <c r="AN693" s="1" t="s">
        <v>1240</v>
      </c>
      <c r="AO693" s="1" t="s">
        <v>12779</v>
      </c>
      <c r="AP693" s="1">
        <v>61.67</v>
      </c>
      <c r="AQ693" s="1">
        <v>0</v>
      </c>
      <c r="AR693" s="1"/>
      <c r="AS693" s="1"/>
      <c r="AT693" s="1"/>
      <c r="AU693" s="1"/>
      <c r="AV693" s="1"/>
      <c r="AW693" s="1"/>
      <c r="AX693" s="1" t="s">
        <v>410</v>
      </c>
      <c r="AY693" s="1" t="s">
        <v>12780</v>
      </c>
      <c r="AZ693" s="1" t="s">
        <v>4549</v>
      </c>
      <c r="BA693" s="1" t="s">
        <v>383</v>
      </c>
      <c r="BB693" s="1">
        <v>63.7</v>
      </c>
      <c r="BC693" s="1">
        <v>7.12</v>
      </c>
      <c r="BD693" s="1"/>
      <c r="BE693" s="1"/>
      <c r="BF693" s="1"/>
      <c r="BG693" s="1"/>
      <c r="BH693" s="1"/>
      <c r="BI693" s="1"/>
      <c r="BJ693" s="1" t="s">
        <v>2080</v>
      </c>
      <c r="BK693" s="1" t="s">
        <v>12781</v>
      </c>
      <c r="BL693" s="1" t="s">
        <v>12782</v>
      </c>
      <c r="BM693" s="1" t="s">
        <v>12783</v>
      </c>
      <c r="BN693" s="1">
        <v>8</v>
      </c>
      <c r="BO693" s="1" t="s">
        <v>12784</v>
      </c>
      <c r="BP693" s="1" t="str">
        <f>HYPERLINK("https://nconnect.nicmar.ac.in/storage/profile/ProfilePhoto_P25700657_983527.jpg","Download")</f>
        <v>0</v>
      </c>
      <c r="BQ693" s="3"/>
      <c r="BR693" s="3"/>
    </row>
    <row r="694" spans="1:70">
      <c r="A694" s="1" t="s">
        <v>70</v>
      </c>
      <c r="B694" s="1" t="s">
        <v>1269</v>
      </c>
      <c r="C694" s="1" t="s">
        <v>12785</v>
      </c>
      <c r="D694" s="1" t="s">
        <v>12786</v>
      </c>
      <c r="E694" s="1" t="s">
        <v>12787</v>
      </c>
      <c r="F694" s="1" t="s">
        <v>12788</v>
      </c>
      <c r="G694" s="1" t="s">
        <v>12789</v>
      </c>
      <c r="H694" s="1" t="s">
        <v>12790</v>
      </c>
      <c r="I694" s="1" t="s">
        <v>12791</v>
      </c>
      <c r="J694" s="1">
        <v>8390157668</v>
      </c>
      <c r="K694" s="1" t="s">
        <v>79</v>
      </c>
      <c r="L694" s="1" t="s">
        <v>12792</v>
      </c>
      <c r="M694" s="1" t="s">
        <v>81</v>
      </c>
      <c r="N694" s="1" t="s">
        <v>3847</v>
      </c>
      <c r="O694" s="1"/>
      <c r="P694" s="1" t="s">
        <v>1278</v>
      </c>
      <c r="Q694" s="1" t="s">
        <v>12793</v>
      </c>
      <c r="R694" s="1" t="s">
        <v>12788</v>
      </c>
      <c r="S694" s="1">
        <v>9423413654</v>
      </c>
      <c r="T694" s="1" t="s">
        <v>122</v>
      </c>
      <c r="U694" s="1" t="s">
        <v>301</v>
      </c>
      <c r="V694" s="1">
        <v>7385536131</v>
      </c>
      <c r="W694" s="1" t="s">
        <v>89</v>
      </c>
      <c r="X694" s="1" t="s">
        <v>12794</v>
      </c>
      <c r="Y694" s="1" t="s">
        <v>567</v>
      </c>
      <c r="Z694" s="1" t="s">
        <v>92</v>
      </c>
      <c r="AA694" s="1" t="s">
        <v>12794</v>
      </c>
      <c r="AB694" s="1" t="s">
        <v>567</v>
      </c>
      <c r="AC694" s="1" t="s">
        <v>92</v>
      </c>
      <c r="AD694" s="1">
        <v>8.9</v>
      </c>
      <c r="AE694" s="1" t="s">
        <v>93</v>
      </c>
      <c r="AF694" s="1" t="s">
        <v>12795</v>
      </c>
      <c r="AG694" s="1" t="s">
        <v>12796</v>
      </c>
      <c r="AH694" s="1" t="s">
        <v>383</v>
      </c>
      <c r="AI694" s="1" t="s">
        <v>281</v>
      </c>
      <c r="AJ694" s="1">
        <v>90.4</v>
      </c>
      <c r="AK694" s="1"/>
      <c r="AL694" s="1"/>
      <c r="AM694" s="1"/>
      <c r="AN694" s="1"/>
      <c r="AO694" s="1"/>
      <c r="AP694" s="1"/>
      <c r="AQ694" s="1"/>
      <c r="AR694" s="1" t="s">
        <v>98</v>
      </c>
      <c r="AS694" s="1" t="s">
        <v>12797</v>
      </c>
      <c r="AT694" s="1" t="s">
        <v>169</v>
      </c>
      <c r="AU694" s="1" t="s">
        <v>1712</v>
      </c>
      <c r="AV694" s="1">
        <v>89.2</v>
      </c>
      <c r="AW694" s="1"/>
      <c r="AX694" s="1" t="s">
        <v>12798</v>
      </c>
      <c r="AY694" s="1" t="s">
        <v>12799</v>
      </c>
      <c r="AZ694" s="1" t="s">
        <v>105</v>
      </c>
      <c r="BA694" s="1" t="s">
        <v>1714</v>
      </c>
      <c r="BB694" s="1">
        <v>87.6</v>
      </c>
      <c r="BC694" s="1">
        <v>9.51</v>
      </c>
      <c r="BD694" s="1"/>
      <c r="BE694" s="1"/>
      <c r="BF694" s="1"/>
      <c r="BG694" s="1"/>
      <c r="BH694" s="1"/>
      <c r="BI694" s="1"/>
      <c r="BJ694" s="1" t="s">
        <v>12800</v>
      </c>
      <c r="BK694" s="1"/>
      <c r="BL694" s="1"/>
      <c r="BM694" s="1" t="s">
        <v>12801</v>
      </c>
      <c r="BN694" s="1">
        <v>30</v>
      </c>
      <c r="BO694" s="1" t="s">
        <v>12802</v>
      </c>
      <c r="BP694" s="1" t="str">
        <f>HYPERLINK("https://nconnect.nicmar.ac.in/storage/profile/ProfilePhoto_P25700658_675928.jpg","Download")</f>
        <v>0</v>
      </c>
      <c r="BQ694" s="3"/>
      <c r="BR694" s="3"/>
    </row>
    <row r="695" spans="1:70">
      <c r="A695" s="1" t="s">
        <v>70</v>
      </c>
      <c r="B695" s="1" t="s">
        <v>1269</v>
      </c>
      <c r="C695" s="1" t="s">
        <v>12803</v>
      </c>
      <c r="D695" s="1" t="s">
        <v>12804</v>
      </c>
      <c r="E695" s="1"/>
      <c r="F695" s="1" t="s">
        <v>12805</v>
      </c>
      <c r="G695" s="1" t="s">
        <v>12806</v>
      </c>
      <c r="H695" s="1" t="s">
        <v>12807</v>
      </c>
      <c r="I695" s="1" t="s">
        <v>12808</v>
      </c>
      <c r="J695" s="1">
        <v>9652296802</v>
      </c>
      <c r="K695" s="1" t="s">
        <v>79</v>
      </c>
      <c r="L695" s="1" t="s">
        <v>8476</v>
      </c>
      <c r="M695" s="1" t="s">
        <v>81</v>
      </c>
      <c r="N695" s="1" t="s">
        <v>3883</v>
      </c>
      <c r="O695" s="1"/>
      <c r="P695" s="1" t="s">
        <v>1278</v>
      </c>
      <c r="Q695" s="1" t="s">
        <v>12809</v>
      </c>
      <c r="R695" s="1" t="s">
        <v>12810</v>
      </c>
      <c r="S695" s="1">
        <v>9490268835</v>
      </c>
      <c r="T695" s="1" t="s">
        <v>154</v>
      </c>
      <c r="U695" s="1" t="s">
        <v>12811</v>
      </c>
      <c r="V695" s="1">
        <v>7093407357</v>
      </c>
      <c r="W695" s="1" t="s">
        <v>273</v>
      </c>
      <c r="X695" s="1" t="s">
        <v>12812</v>
      </c>
      <c r="Y695" s="1" t="s">
        <v>12648</v>
      </c>
      <c r="Z695" s="1" t="s">
        <v>276</v>
      </c>
      <c r="AA695" s="1" t="s">
        <v>12812</v>
      </c>
      <c r="AB695" s="1" t="s">
        <v>12648</v>
      </c>
      <c r="AC695" s="1" t="s">
        <v>276</v>
      </c>
      <c r="AD695" s="1">
        <v>8.12</v>
      </c>
      <c r="AE695" s="1" t="s">
        <v>93</v>
      </c>
      <c r="AF695" s="1" t="s">
        <v>12813</v>
      </c>
      <c r="AG695" s="1" t="s">
        <v>2243</v>
      </c>
      <c r="AH695" s="1" t="s">
        <v>165</v>
      </c>
      <c r="AI695" s="1" t="s">
        <v>281</v>
      </c>
      <c r="AJ695" s="1">
        <v>95</v>
      </c>
      <c r="AK695" s="1">
        <v>9.5</v>
      </c>
      <c r="AL695" s="1" t="s">
        <v>12814</v>
      </c>
      <c r="AM695" s="1" t="s">
        <v>12815</v>
      </c>
      <c r="AN695" s="1" t="s">
        <v>101</v>
      </c>
      <c r="AO695" s="1" t="s">
        <v>941</v>
      </c>
      <c r="AP695" s="1">
        <v>93.4</v>
      </c>
      <c r="AQ695" s="1">
        <v>9.67</v>
      </c>
      <c r="AR695" s="1"/>
      <c r="AS695" s="1"/>
      <c r="AT695" s="1"/>
      <c r="AU695" s="1"/>
      <c r="AV695" s="1"/>
      <c r="AW695" s="1"/>
      <c r="AX695" s="1" t="s">
        <v>12007</v>
      </c>
      <c r="AY695" s="1" t="s">
        <v>12816</v>
      </c>
      <c r="AZ695" s="1" t="s">
        <v>1131</v>
      </c>
      <c r="BA695" s="1" t="s">
        <v>702</v>
      </c>
      <c r="BB695" s="1">
        <v>77.3</v>
      </c>
      <c r="BC695" s="1">
        <v>7.73</v>
      </c>
      <c r="BD695" s="1"/>
      <c r="BE695" s="1"/>
      <c r="BF695" s="1"/>
      <c r="BG695" s="1"/>
      <c r="BH695" s="1"/>
      <c r="BI695" s="1"/>
      <c r="BJ695" s="1" t="s">
        <v>12817</v>
      </c>
      <c r="BK695" s="1"/>
      <c r="BL695" s="1"/>
      <c r="BM695" s="1" t="s">
        <v>12818</v>
      </c>
      <c r="BN695" s="1">
        <v>2</v>
      </c>
      <c r="BO695" s="1" t="s">
        <v>12819</v>
      </c>
      <c r="BP695" s="1" t="str">
        <f>HYPERLINK("https://nconnect.nicmar.ac.in/storage/profile/ProfilePhoto_P25700659_347681.jpg","Download")</f>
        <v>0</v>
      </c>
      <c r="BQ695" s="3"/>
      <c r="BR695" s="3"/>
    </row>
    <row r="696" spans="1:70">
      <c r="A696" s="1" t="s">
        <v>70</v>
      </c>
      <c r="B696" s="1" t="s">
        <v>1269</v>
      </c>
      <c r="C696" s="1" t="s">
        <v>12820</v>
      </c>
      <c r="D696" s="1" t="s">
        <v>12821</v>
      </c>
      <c r="E696" s="1"/>
      <c r="F696" s="1" t="s">
        <v>111</v>
      </c>
      <c r="G696" s="1" t="s">
        <v>12822</v>
      </c>
      <c r="H696" s="1" t="s">
        <v>12823</v>
      </c>
      <c r="I696" s="1" t="s">
        <v>12824</v>
      </c>
      <c r="J696" s="1">
        <v>8148047319</v>
      </c>
      <c r="K696" s="1" t="s">
        <v>148</v>
      </c>
      <c r="L696" s="1" t="s">
        <v>12825</v>
      </c>
      <c r="M696" s="1" t="s">
        <v>81</v>
      </c>
      <c r="N696" s="1" t="s">
        <v>6490</v>
      </c>
      <c r="O696" s="1"/>
      <c r="P696" s="1" t="s">
        <v>1323</v>
      </c>
      <c r="Q696" s="1" t="s">
        <v>12826</v>
      </c>
      <c r="R696" s="1" t="s">
        <v>12827</v>
      </c>
      <c r="S696" s="1">
        <v>9600967325</v>
      </c>
      <c r="T696" s="1" t="s">
        <v>520</v>
      </c>
      <c r="U696" s="1" t="s">
        <v>12828</v>
      </c>
      <c r="V696" s="1">
        <v>8248915977</v>
      </c>
      <c r="W696" s="1" t="s">
        <v>273</v>
      </c>
      <c r="X696" s="1" t="s">
        <v>12829</v>
      </c>
      <c r="Y696" s="1" t="s">
        <v>12830</v>
      </c>
      <c r="Z696" s="1" t="s">
        <v>1377</v>
      </c>
      <c r="AA696" s="1" t="s">
        <v>12829</v>
      </c>
      <c r="AB696" s="1" t="s">
        <v>12830</v>
      </c>
      <c r="AC696" s="1" t="s">
        <v>1377</v>
      </c>
      <c r="AD696" s="1">
        <v>8.83</v>
      </c>
      <c r="AE696" s="1" t="s">
        <v>93</v>
      </c>
      <c r="AF696" s="1" t="s">
        <v>12831</v>
      </c>
      <c r="AG696" s="1" t="s">
        <v>9269</v>
      </c>
      <c r="AH696" s="1" t="s">
        <v>101</v>
      </c>
      <c r="AI696" s="1" t="s">
        <v>1065</v>
      </c>
      <c r="AJ696" s="1">
        <v>93.8</v>
      </c>
      <c r="AK696" s="1"/>
      <c r="AL696" s="1" t="s">
        <v>12831</v>
      </c>
      <c r="AM696" s="1" t="s">
        <v>9269</v>
      </c>
      <c r="AN696" s="1" t="s">
        <v>699</v>
      </c>
      <c r="AO696" s="1" t="s">
        <v>506</v>
      </c>
      <c r="AP696" s="1">
        <v>95.34</v>
      </c>
      <c r="AQ696" s="1"/>
      <c r="AR696" s="1"/>
      <c r="AS696" s="1"/>
      <c r="AT696" s="1"/>
      <c r="AU696" s="1"/>
      <c r="AV696" s="1"/>
      <c r="AW696" s="1"/>
      <c r="AX696" s="1" t="s">
        <v>1381</v>
      </c>
      <c r="AY696" s="1" t="s">
        <v>12832</v>
      </c>
      <c r="AZ696" s="1" t="s">
        <v>1131</v>
      </c>
      <c r="BA696" s="1" t="s">
        <v>1361</v>
      </c>
      <c r="BB696" s="1">
        <v>86.03</v>
      </c>
      <c r="BC696" s="1">
        <v>8.6</v>
      </c>
      <c r="BD696" s="1"/>
      <c r="BE696" s="1"/>
      <c r="BF696" s="1"/>
      <c r="BG696" s="1"/>
      <c r="BH696" s="1"/>
      <c r="BI696" s="1"/>
      <c r="BJ696" s="1" t="s">
        <v>12833</v>
      </c>
      <c r="BK696" s="1"/>
      <c r="BL696" s="1"/>
      <c r="BM696" s="1" t="s">
        <v>12834</v>
      </c>
      <c r="BN696" s="1">
        <v>12</v>
      </c>
      <c r="BO696" s="1"/>
      <c r="BP696" s="1" t="str">
        <f>HYPERLINK("https://nconnect.nicmar.ac.in/storage/profile/ProfilePhoto_P25700660_348769.jpg","Download")</f>
        <v>0</v>
      </c>
      <c r="BQ696" s="3"/>
      <c r="BR696" s="3"/>
    </row>
    <row r="697" spans="1:70">
      <c r="A697" s="1" t="s">
        <v>70</v>
      </c>
      <c r="B697" s="1" t="s">
        <v>1269</v>
      </c>
      <c r="C697" s="1" t="s">
        <v>12835</v>
      </c>
      <c r="D697" s="1" t="s">
        <v>12836</v>
      </c>
      <c r="E697" s="1"/>
      <c r="F697" s="1" t="s">
        <v>4768</v>
      </c>
      <c r="G697" s="1" t="s">
        <v>12837</v>
      </c>
      <c r="H697" s="1" t="s">
        <v>12838</v>
      </c>
      <c r="I697" s="1" t="s">
        <v>12839</v>
      </c>
      <c r="J697" s="1">
        <v>9384654535</v>
      </c>
      <c r="K697" s="1" t="s">
        <v>79</v>
      </c>
      <c r="L697" s="1" t="s">
        <v>12840</v>
      </c>
      <c r="M697" s="1" t="s">
        <v>81</v>
      </c>
      <c r="N697" s="1" t="s">
        <v>12841</v>
      </c>
      <c r="O697" s="1"/>
      <c r="P697" s="1" t="s">
        <v>1323</v>
      </c>
      <c r="Q697" s="1" t="s">
        <v>12842</v>
      </c>
      <c r="R697" s="1" t="s">
        <v>12843</v>
      </c>
      <c r="S697" s="1">
        <v>9677090869</v>
      </c>
      <c r="T697" s="1" t="s">
        <v>496</v>
      </c>
      <c r="U697" s="1" t="s">
        <v>12844</v>
      </c>
      <c r="V697" s="1">
        <v>9080380248</v>
      </c>
      <c r="W697" s="1" t="s">
        <v>122</v>
      </c>
      <c r="X697" s="1" t="s">
        <v>12845</v>
      </c>
      <c r="Y697" s="1" t="s">
        <v>2318</v>
      </c>
      <c r="Z697" s="1" t="s">
        <v>1377</v>
      </c>
      <c r="AA697" s="1" t="s">
        <v>12845</v>
      </c>
      <c r="AB697" s="1" t="s">
        <v>2318</v>
      </c>
      <c r="AC697" s="1" t="s">
        <v>1377</v>
      </c>
      <c r="AD697" s="1">
        <v>8.62</v>
      </c>
      <c r="AE697" s="1" t="s">
        <v>93</v>
      </c>
      <c r="AF697" s="1" t="s">
        <v>12846</v>
      </c>
      <c r="AG697" s="1" t="s">
        <v>9791</v>
      </c>
      <c r="AH697" s="1" t="s">
        <v>503</v>
      </c>
      <c r="AI697" s="1" t="s">
        <v>527</v>
      </c>
      <c r="AJ697" s="1">
        <v>85.5</v>
      </c>
      <c r="AK697" s="1">
        <v>9</v>
      </c>
      <c r="AL697" s="1" t="s">
        <v>12847</v>
      </c>
      <c r="AM697" s="1" t="s">
        <v>1379</v>
      </c>
      <c r="AN697" s="1" t="s">
        <v>165</v>
      </c>
      <c r="AO697" s="1" t="s">
        <v>166</v>
      </c>
      <c r="AP697" s="1">
        <v>74</v>
      </c>
      <c r="AQ697" s="1">
        <v>0</v>
      </c>
      <c r="AR697" s="1"/>
      <c r="AS697" s="1"/>
      <c r="AT697" s="1"/>
      <c r="AU697" s="1"/>
      <c r="AV697" s="1"/>
      <c r="AW697" s="1"/>
      <c r="AX697" s="1" t="s">
        <v>1381</v>
      </c>
      <c r="AY697" s="1" t="s">
        <v>12848</v>
      </c>
      <c r="AZ697" s="1" t="s">
        <v>636</v>
      </c>
      <c r="BA697" s="1" t="s">
        <v>284</v>
      </c>
      <c r="BB697" s="1">
        <v>83.5</v>
      </c>
      <c r="BC697" s="1">
        <v>8.35</v>
      </c>
      <c r="BD697" s="1"/>
      <c r="BE697" s="1"/>
      <c r="BF697" s="1"/>
      <c r="BG697" s="1"/>
      <c r="BH697" s="1"/>
      <c r="BI697" s="1"/>
      <c r="BJ697" s="1" t="s">
        <v>12849</v>
      </c>
      <c r="BK697" s="1" t="s">
        <v>12850</v>
      </c>
      <c r="BL697" s="1" t="s">
        <v>1337</v>
      </c>
      <c r="BM697" s="1" t="s">
        <v>12851</v>
      </c>
      <c r="BN697" s="1">
        <v>11</v>
      </c>
      <c r="BO697" s="1" t="s">
        <v>12852</v>
      </c>
      <c r="BP697" s="1" t="str">
        <f>HYPERLINK("https://nconnect.nicmar.ac.in/storage/profile/ProfilePhoto_P25700661_438971.jpg","Download")</f>
        <v>0</v>
      </c>
      <c r="BQ697" s="3"/>
      <c r="BR697" s="3"/>
    </row>
    <row r="698" spans="1:70">
      <c r="A698" s="1" t="s">
        <v>70</v>
      </c>
      <c r="B698" s="1" t="s">
        <v>1269</v>
      </c>
      <c r="C698" s="1" t="s">
        <v>12853</v>
      </c>
      <c r="D698" s="1" t="s">
        <v>6465</v>
      </c>
      <c r="E698" s="1" t="s">
        <v>144</v>
      </c>
      <c r="F698" s="1" t="s">
        <v>12854</v>
      </c>
      <c r="G698" s="1" t="s">
        <v>12855</v>
      </c>
      <c r="H698" s="1" t="s">
        <v>12856</v>
      </c>
      <c r="I698" s="1" t="s">
        <v>12857</v>
      </c>
      <c r="J698" s="1">
        <v>7517356373</v>
      </c>
      <c r="K698" s="1" t="s">
        <v>79</v>
      </c>
      <c r="L698" s="1" t="s">
        <v>12858</v>
      </c>
      <c r="M698" s="1" t="s">
        <v>81</v>
      </c>
      <c r="N698" s="1" t="s">
        <v>1418</v>
      </c>
      <c r="O698" s="1"/>
      <c r="P698" s="1" t="s">
        <v>1278</v>
      </c>
      <c r="Q698" s="1" t="s">
        <v>12859</v>
      </c>
      <c r="R698" s="1" t="s">
        <v>12860</v>
      </c>
      <c r="S698" s="1">
        <v>8149234348</v>
      </c>
      <c r="T698" s="1" t="s">
        <v>154</v>
      </c>
      <c r="U698" s="1" t="s">
        <v>12861</v>
      </c>
      <c r="V698" s="1">
        <v>9307009781</v>
      </c>
      <c r="W698" s="1" t="s">
        <v>273</v>
      </c>
      <c r="X698" s="1" t="s">
        <v>12862</v>
      </c>
      <c r="Y698" s="1" t="s">
        <v>1018</v>
      </c>
      <c r="Z698" s="1" t="s">
        <v>92</v>
      </c>
      <c r="AA698" s="1" t="s">
        <v>12862</v>
      </c>
      <c r="AB698" s="1" t="s">
        <v>1018</v>
      </c>
      <c r="AC698" s="1" t="s">
        <v>92</v>
      </c>
      <c r="AD698" s="1">
        <v>7.98</v>
      </c>
      <c r="AE698" s="1" t="s">
        <v>93</v>
      </c>
      <c r="AF698" s="1" t="s">
        <v>12863</v>
      </c>
      <c r="AG698" s="1" t="s">
        <v>12864</v>
      </c>
      <c r="AH698" s="1" t="s">
        <v>165</v>
      </c>
      <c r="AI698" s="1" t="s">
        <v>281</v>
      </c>
      <c r="AJ698" s="1">
        <v>65.2</v>
      </c>
      <c r="AK698" s="1"/>
      <c r="AL698" s="1"/>
      <c r="AM698" s="1"/>
      <c r="AN698" s="1"/>
      <c r="AO698" s="1"/>
      <c r="AP698" s="1"/>
      <c r="AQ698" s="1"/>
      <c r="AR698" s="1" t="s">
        <v>434</v>
      </c>
      <c r="AS698" s="1" t="s">
        <v>12865</v>
      </c>
      <c r="AT698" s="1" t="s">
        <v>169</v>
      </c>
      <c r="AU698" s="1" t="s">
        <v>1131</v>
      </c>
      <c r="AV698" s="1">
        <v>83.53</v>
      </c>
      <c r="AW698" s="1"/>
      <c r="AX698" s="1" t="s">
        <v>1024</v>
      </c>
      <c r="AY698" s="1" t="s">
        <v>12866</v>
      </c>
      <c r="AZ698" s="1" t="s">
        <v>436</v>
      </c>
      <c r="BA698" s="1" t="s">
        <v>944</v>
      </c>
      <c r="BB698" s="1">
        <v>63.45</v>
      </c>
      <c r="BC698" s="1">
        <v>7.03</v>
      </c>
      <c r="BD698" s="1"/>
      <c r="BE698" s="1"/>
      <c r="BF698" s="1"/>
      <c r="BG698" s="1"/>
      <c r="BH698" s="1"/>
      <c r="BI698" s="1"/>
      <c r="BJ698" s="1" t="s">
        <v>12867</v>
      </c>
      <c r="BK698" s="1"/>
      <c r="BL698" s="1"/>
      <c r="BM698" s="1" t="s">
        <v>12868</v>
      </c>
      <c r="BN698" s="1">
        <v>8</v>
      </c>
      <c r="BO698" s="1"/>
      <c r="BP698" s="1" t="str">
        <f>HYPERLINK("https://nconnect.nicmar.ac.in/storage/profile/ProfilePhoto_P25700662_857164.jpg","Download")</f>
        <v>0</v>
      </c>
      <c r="BQ698" s="3"/>
      <c r="BR698" s="3"/>
    </row>
    <row r="699" spans="1:70">
      <c r="A699" s="1" t="s">
        <v>70</v>
      </c>
      <c r="B699" s="1" t="s">
        <v>1269</v>
      </c>
      <c r="C699" s="1" t="s">
        <v>12869</v>
      </c>
      <c r="D699" s="1" t="s">
        <v>5563</v>
      </c>
      <c r="E699" s="1" t="s">
        <v>2483</v>
      </c>
      <c r="F699" s="1" t="s">
        <v>12870</v>
      </c>
      <c r="G699" s="1" t="s">
        <v>12871</v>
      </c>
      <c r="H699" s="1" t="s">
        <v>12872</v>
      </c>
      <c r="I699" s="1" t="s">
        <v>12873</v>
      </c>
      <c r="J699" s="1">
        <v>9139384018</v>
      </c>
      <c r="K699" s="1" t="s">
        <v>79</v>
      </c>
      <c r="L699" s="1" t="s">
        <v>12874</v>
      </c>
      <c r="M699" s="1" t="s">
        <v>81</v>
      </c>
      <c r="N699" s="1" t="s">
        <v>2008</v>
      </c>
      <c r="O699" s="1"/>
      <c r="P699" s="1" t="s">
        <v>1278</v>
      </c>
      <c r="Q699" s="1" t="s">
        <v>12875</v>
      </c>
      <c r="R699" s="1" t="s">
        <v>12876</v>
      </c>
      <c r="S699" s="1">
        <v>9158564325</v>
      </c>
      <c r="T699" s="1" t="s">
        <v>154</v>
      </c>
      <c r="U699" s="1" t="s">
        <v>12877</v>
      </c>
      <c r="V699" s="1">
        <v>8999731418</v>
      </c>
      <c r="W699" s="1" t="s">
        <v>12878</v>
      </c>
      <c r="X699" s="1" t="s">
        <v>12879</v>
      </c>
      <c r="Y699" s="1" t="s">
        <v>191</v>
      </c>
      <c r="Z699" s="1" t="s">
        <v>92</v>
      </c>
      <c r="AA699" s="1" t="s">
        <v>12879</v>
      </c>
      <c r="AB699" s="1" t="s">
        <v>191</v>
      </c>
      <c r="AC699" s="1" t="s">
        <v>92</v>
      </c>
      <c r="AD699" s="1">
        <v>8.11</v>
      </c>
      <c r="AE699" s="1" t="s">
        <v>93</v>
      </c>
      <c r="AF699" s="1" t="s">
        <v>12880</v>
      </c>
      <c r="AG699" s="1" t="s">
        <v>12881</v>
      </c>
      <c r="AH699" s="1" t="s">
        <v>101</v>
      </c>
      <c r="AI699" s="1" t="s">
        <v>433</v>
      </c>
      <c r="AJ699" s="1">
        <v>83.8</v>
      </c>
      <c r="AK699" s="1"/>
      <c r="AL699" s="1"/>
      <c r="AM699" s="1"/>
      <c r="AN699" s="1"/>
      <c r="AO699" s="1"/>
      <c r="AP699" s="1"/>
      <c r="AQ699" s="1"/>
      <c r="AR699" s="1" t="s">
        <v>98</v>
      </c>
      <c r="AS699" s="1" t="s">
        <v>12882</v>
      </c>
      <c r="AT699" s="1" t="s">
        <v>310</v>
      </c>
      <c r="AU699" s="1" t="s">
        <v>105</v>
      </c>
      <c r="AV699" s="1">
        <v>78</v>
      </c>
      <c r="AW699" s="1"/>
      <c r="AX699" s="1" t="s">
        <v>361</v>
      </c>
      <c r="AY699" s="1" t="s">
        <v>12883</v>
      </c>
      <c r="AZ699" s="1" t="s">
        <v>2690</v>
      </c>
      <c r="BA699" s="1" t="s">
        <v>1714</v>
      </c>
      <c r="BB699" s="1">
        <v>62.48</v>
      </c>
      <c r="BC699" s="1">
        <v>7.02</v>
      </c>
      <c r="BD699" s="1"/>
      <c r="BE699" s="1"/>
      <c r="BF699" s="1"/>
      <c r="BG699" s="1"/>
      <c r="BH699" s="1"/>
      <c r="BI699" s="1"/>
      <c r="BJ699" s="1" t="s">
        <v>1715</v>
      </c>
      <c r="BK699" s="1"/>
      <c r="BL699" s="1"/>
      <c r="BM699" s="1" t="s">
        <v>12884</v>
      </c>
      <c r="BN699" s="1">
        <v>77</v>
      </c>
      <c r="BO699" s="1"/>
      <c r="BP699" s="1" t="str">
        <f>HYPERLINK("https://nconnect.nicmar.ac.in/storage/profile/ProfilePhoto_P25700663_453187.jpg","Download")</f>
        <v>0</v>
      </c>
      <c r="BQ699" s="3"/>
      <c r="BR699" s="3"/>
    </row>
    <row r="700" spans="1:70">
      <c r="A700" s="1" t="s">
        <v>70</v>
      </c>
      <c r="B700" s="1" t="s">
        <v>1269</v>
      </c>
      <c r="C700" s="1" t="s">
        <v>12885</v>
      </c>
      <c r="D700" s="1" t="s">
        <v>12886</v>
      </c>
      <c r="E700" s="1" t="s">
        <v>12887</v>
      </c>
      <c r="F700" s="1" t="s">
        <v>4807</v>
      </c>
      <c r="G700" s="1" t="s">
        <v>12888</v>
      </c>
      <c r="H700" s="1" t="s">
        <v>12889</v>
      </c>
      <c r="I700" s="1" t="s">
        <v>12890</v>
      </c>
      <c r="J700" s="1">
        <v>7989008011</v>
      </c>
      <c r="K700" s="1" t="s">
        <v>79</v>
      </c>
      <c r="L700" s="1" t="s">
        <v>12891</v>
      </c>
      <c r="M700" s="1" t="s">
        <v>81</v>
      </c>
      <c r="N700" s="1" t="s">
        <v>12892</v>
      </c>
      <c r="O700" s="1"/>
      <c r="P700" s="1" t="s">
        <v>1323</v>
      </c>
      <c r="Q700" s="1" t="s">
        <v>12893</v>
      </c>
      <c r="R700" s="1" t="s">
        <v>12894</v>
      </c>
      <c r="S700" s="1">
        <v>8886493636</v>
      </c>
      <c r="T700" s="1" t="s">
        <v>496</v>
      </c>
      <c r="U700" s="1" t="s">
        <v>12895</v>
      </c>
      <c r="V700" s="1">
        <v>9949800029</v>
      </c>
      <c r="W700" s="1" t="s">
        <v>651</v>
      </c>
      <c r="X700" s="1" t="s">
        <v>12896</v>
      </c>
      <c r="Y700" s="1" t="s">
        <v>608</v>
      </c>
      <c r="Z700" s="1" t="s">
        <v>609</v>
      </c>
      <c r="AA700" s="1" t="s">
        <v>12896</v>
      </c>
      <c r="AB700" s="1" t="s">
        <v>608</v>
      </c>
      <c r="AC700" s="1" t="s">
        <v>609</v>
      </c>
      <c r="AD700" s="1">
        <v>8.77</v>
      </c>
      <c r="AE700" s="1" t="s">
        <v>93</v>
      </c>
      <c r="AF700" s="1" t="s">
        <v>12897</v>
      </c>
      <c r="AG700" s="1" t="s">
        <v>12898</v>
      </c>
      <c r="AH700" s="1" t="s">
        <v>383</v>
      </c>
      <c r="AI700" s="1" t="s">
        <v>166</v>
      </c>
      <c r="AJ700" s="1">
        <v>78</v>
      </c>
      <c r="AK700" s="1"/>
      <c r="AL700" s="1" t="s">
        <v>12897</v>
      </c>
      <c r="AM700" s="1" t="s">
        <v>12899</v>
      </c>
      <c r="AN700" s="1" t="s">
        <v>169</v>
      </c>
      <c r="AO700" s="1" t="s">
        <v>173</v>
      </c>
      <c r="AP700" s="1">
        <v>81.2</v>
      </c>
      <c r="AQ700" s="1"/>
      <c r="AR700" s="1"/>
      <c r="AS700" s="1"/>
      <c r="AT700" s="1"/>
      <c r="AU700" s="1"/>
      <c r="AV700" s="1"/>
      <c r="AW700" s="1"/>
      <c r="AX700" s="1" t="s">
        <v>1359</v>
      </c>
      <c r="AY700" s="1" t="s">
        <v>12900</v>
      </c>
      <c r="AZ700" s="1" t="s">
        <v>920</v>
      </c>
      <c r="BA700" s="1" t="s">
        <v>944</v>
      </c>
      <c r="BB700" s="1">
        <v>75.8</v>
      </c>
      <c r="BC700" s="1">
        <v>7.58</v>
      </c>
      <c r="BD700" s="1"/>
      <c r="BE700" s="1"/>
      <c r="BF700" s="1"/>
      <c r="BG700" s="1"/>
      <c r="BH700" s="1"/>
      <c r="BI700" s="1"/>
      <c r="BJ700" s="1" t="s">
        <v>12901</v>
      </c>
      <c r="BK700" s="1"/>
      <c r="BL700" s="1"/>
      <c r="BM700" s="1" t="s">
        <v>12902</v>
      </c>
      <c r="BN700" s="1">
        <v>8</v>
      </c>
      <c r="BO700" s="1" t="s">
        <v>12903</v>
      </c>
      <c r="BP700" s="1" t="str">
        <f>HYPERLINK("https://nconnect.nicmar.ac.in/storage/profile/ProfilePhoto_P25700664_238457.jpg","Download")</f>
        <v>0</v>
      </c>
      <c r="BQ700" s="3"/>
      <c r="BR700" s="3"/>
    </row>
    <row r="701" spans="1:70">
      <c r="A701" s="1" t="s">
        <v>70</v>
      </c>
      <c r="B701" s="1" t="s">
        <v>1269</v>
      </c>
      <c r="C701" s="1" t="s">
        <v>12904</v>
      </c>
      <c r="D701" s="1" t="s">
        <v>12905</v>
      </c>
      <c r="E701" s="1" t="s">
        <v>12906</v>
      </c>
      <c r="F701" s="1" t="s">
        <v>12907</v>
      </c>
      <c r="G701" s="1" t="s">
        <v>12908</v>
      </c>
      <c r="H701" s="1" t="s">
        <v>12909</v>
      </c>
      <c r="I701" s="1" t="s">
        <v>12910</v>
      </c>
      <c r="J701" s="1">
        <v>9284871398</v>
      </c>
      <c r="K701" s="1" t="s">
        <v>148</v>
      </c>
      <c r="L701" s="1" t="s">
        <v>12911</v>
      </c>
      <c r="M701" s="1" t="s">
        <v>81</v>
      </c>
      <c r="N701" s="1" t="s">
        <v>12912</v>
      </c>
      <c r="O701" s="1"/>
      <c r="P701" s="1" t="s">
        <v>1323</v>
      </c>
      <c r="Q701" s="1" t="s">
        <v>12913</v>
      </c>
      <c r="R701" s="1" t="s">
        <v>12906</v>
      </c>
      <c r="S701" s="1">
        <v>7666153704</v>
      </c>
      <c r="T701" s="1" t="s">
        <v>7835</v>
      </c>
      <c r="U701" s="1" t="s">
        <v>12914</v>
      </c>
      <c r="V701" s="1">
        <v>9930577348</v>
      </c>
      <c r="W701" s="1" t="s">
        <v>156</v>
      </c>
      <c r="X701" s="1" t="s">
        <v>12915</v>
      </c>
      <c r="Y701" s="1" t="s">
        <v>766</v>
      </c>
      <c r="Z701" s="1" t="s">
        <v>92</v>
      </c>
      <c r="AA701" s="1" t="s">
        <v>12915</v>
      </c>
      <c r="AB701" s="1" t="s">
        <v>766</v>
      </c>
      <c r="AC701" s="1" t="s">
        <v>92</v>
      </c>
      <c r="AD701" s="1">
        <v>8.09</v>
      </c>
      <c r="AE701" s="1" t="s">
        <v>93</v>
      </c>
      <c r="AF701" s="1" t="s">
        <v>12916</v>
      </c>
      <c r="AG701" s="1" t="s">
        <v>12917</v>
      </c>
      <c r="AH701" s="1" t="s">
        <v>162</v>
      </c>
      <c r="AI701" s="1" t="s">
        <v>165</v>
      </c>
      <c r="AJ701" s="1">
        <v>82.2</v>
      </c>
      <c r="AK701" s="1">
        <v>0</v>
      </c>
      <c r="AL701" s="1" t="s">
        <v>12918</v>
      </c>
      <c r="AM701" s="1" t="s">
        <v>12919</v>
      </c>
      <c r="AN701" s="1" t="s">
        <v>101</v>
      </c>
      <c r="AO701" s="1" t="s">
        <v>198</v>
      </c>
      <c r="AP701" s="1">
        <v>67.85</v>
      </c>
      <c r="AQ701" s="1">
        <v>0</v>
      </c>
      <c r="AR701" s="1"/>
      <c r="AS701" s="1"/>
      <c r="AT701" s="1"/>
      <c r="AU701" s="1"/>
      <c r="AV701" s="1"/>
      <c r="AW701" s="1"/>
      <c r="AX701" s="1" t="s">
        <v>253</v>
      </c>
      <c r="AY701" s="1" t="s">
        <v>12920</v>
      </c>
      <c r="AZ701" s="1" t="s">
        <v>201</v>
      </c>
      <c r="BA701" s="1" t="s">
        <v>413</v>
      </c>
      <c r="BB701" s="1">
        <v>76.75</v>
      </c>
      <c r="BC701" s="1">
        <v>8.75</v>
      </c>
      <c r="BD701" s="1"/>
      <c r="BE701" s="1"/>
      <c r="BF701" s="1"/>
      <c r="BG701" s="1"/>
      <c r="BH701" s="1"/>
      <c r="BI701" s="1"/>
      <c r="BJ701" s="1" t="s">
        <v>12921</v>
      </c>
      <c r="BK701" s="1" t="s">
        <v>12922</v>
      </c>
      <c r="BL701" s="1" t="s">
        <v>1919</v>
      </c>
      <c r="BM701" s="1" t="s">
        <v>12923</v>
      </c>
      <c r="BN701" s="1">
        <v>32</v>
      </c>
      <c r="BO701" s="1" t="s">
        <v>12924</v>
      </c>
      <c r="BP701" s="1" t="str">
        <f>HYPERLINK("https://nconnect.nicmar.ac.in/storage/profile/ProfilePhoto_P25700665_185362.jpg","Download")</f>
        <v>0</v>
      </c>
      <c r="BQ701" s="3"/>
      <c r="BR701" s="3"/>
    </row>
    <row r="702" spans="1:70">
      <c r="A702" s="1" t="s">
        <v>70</v>
      </c>
      <c r="B702" s="1" t="s">
        <v>1269</v>
      </c>
      <c r="C702" s="1" t="s">
        <v>12925</v>
      </c>
      <c r="D702" s="1" t="s">
        <v>7424</v>
      </c>
      <c r="E702" s="1" t="s">
        <v>1566</v>
      </c>
      <c r="F702" s="1" t="s">
        <v>12926</v>
      </c>
      <c r="G702" s="1" t="s">
        <v>12927</v>
      </c>
      <c r="H702" s="1" t="s">
        <v>12928</v>
      </c>
      <c r="I702" s="1" t="s">
        <v>12929</v>
      </c>
      <c r="J702" s="1">
        <v>9975624261</v>
      </c>
      <c r="K702" s="1" t="s">
        <v>79</v>
      </c>
      <c r="L702" s="1" t="s">
        <v>12930</v>
      </c>
      <c r="M702" s="1" t="s">
        <v>81</v>
      </c>
      <c r="N702" s="1" t="s">
        <v>1418</v>
      </c>
      <c r="O702" s="1"/>
      <c r="P702" s="1" t="s">
        <v>1278</v>
      </c>
      <c r="Q702" s="1" t="s">
        <v>12931</v>
      </c>
      <c r="R702" s="1" t="s">
        <v>12932</v>
      </c>
      <c r="S702" s="1">
        <v>9823172051</v>
      </c>
      <c r="T702" s="1" t="s">
        <v>496</v>
      </c>
      <c r="U702" s="1" t="s">
        <v>12933</v>
      </c>
      <c r="V702" s="1">
        <v>9764250958</v>
      </c>
      <c r="W702" s="1" t="s">
        <v>1488</v>
      </c>
      <c r="X702" s="1" t="s">
        <v>12934</v>
      </c>
      <c r="Y702" s="1" t="s">
        <v>219</v>
      </c>
      <c r="Z702" s="1" t="s">
        <v>92</v>
      </c>
      <c r="AA702" s="1" t="s">
        <v>12934</v>
      </c>
      <c r="AB702" s="1" t="s">
        <v>219</v>
      </c>
      <c r="AC702" s="1" t="s">
        <v>92</v>
      </c>
      <c r="AD702" s="1">
        <v>8.05</v>
      </c>
      <c r="AE702" s="1" t="s">
        <v>93</v>
      </c>
      <c r="AF702" s="1" t="s">
        <v>1831</v>
      </c>
      <c r="AG702" s="1" t="s">
        <v>12935</v>
      </c>
      <c r="AH702" s="1" t="s">
        <v>252</v>
      </c>
      <c r="AI702" s="1" t="s">
        <v>201</v>
      </c>
      <c r="AJ702" s="1">
        <v>77</v>
      </c>
      <c r="AK702" s="1"/>
      <c r="AL702" s="1" t="s">
        <v>12936</v>
      </c>
      <c r="AM702" s="1" t="s">
        <v>12937</v>
      </c>
      <c r="AN702" s="1" t="s">
        <v>201</v>
      </c>
      <c r="AO702" s="1" t="s">
        <v>436</v>
      </c>
      <c r="AP702" s="1">
        <v>88.67</v>
      </c>
      <c r="AQ702" s="1"/>
      <c r="AR702" s="1"/>
      <c r="AS702" s="1"/>
      <c r="AT702" s="1"/>
      <c r="AU702" s="1"/>
      <c r="AV702" s="1"/>
      <c r="AW702" s="1"/>
      <c r="AX702" s="1" t="s">
        <v>12938</v>
      </c>
      <c r="AY702" s="1" t="s">
        <v>12939</v>
      </c>
      <c r="AZ702" s="1" t="s">
        <v>506</v>
      </c>
      <c r="BA702" s="1" t="s">
        <v>1584</v>
      </c>
      <c r="BB702" s="1">
        <v>78.8</v>
      </c>
      <c r="BC702" s="1">
        <v>8.63</v>
      </c>
      <c r="BD702" s="1"/>
      <c r="BE702" s="1"/>
      <c r="BF702" s="1"/>
      <c r="BG702" s="1"/>
      <c r="BH702" s="1"/>
      <c r="BI702" s="1"/>
      <c r="BJ702" s="1" t="s">
        <v>12940</v>
      </c>
      <c r="BK702" s="1"/>
      <c r="BL702" s="1"/>
      <c r="BM702" s="1" t="s">
        <v>12941</v>
      </c>
      <c r="BN702" s="1">
        <v>32</v>
      </c>
      <c r="BO702" s="1"/>
      <c r="BP702" s="1" t="str">
        <f>HYPERLINK("https://nconnect.nicmar.ac.in/storage/profile/ProfilePhoto_P25700666_356489.jpg","Download")</f>
        <v>0</v>
      </c>
      <c r="BQ702" s="3"/>
      <c r="BR702" s="3"/>
    </row>
    <row r="703" spans="1:70">
      <c r="A703" s="1" t="s">
        <v>70</v>
      </c>
      <c r="B703" s="1" t="s">
        <v>1269</v>
      </c>
      <c r="C703" s="1" t="s">
        <v>12942</v>
      </c>
      <c r="D703" s="1" t="s">
        <v>9767</v>
      </c>
      <c r="E703" s="1" t="s">
        <v>12943</v>
      </c>
      <c r="F703" s="1" t="s">
        <v>12944</v>
      </c>
      <c r="G703" s="1" t="s">
        <v>12945</v>
      </c>
      <c r="H703" s="1" t="s">
        <v>12946</v>
      </c>
      <c r="I703" s="1" t="s">
        <v>12947</v>
      </c>
      <c r="J703" s="1">
        <v>9975505708</v>
      </c>
      <c r="K703" s="1" t="s">
        <v>79</v>
      </c>
      <c r="L703" s="1" t="s">
        <v>12948</v>
      </c>
      <c r="M703" s="1" t="s">
        <v>81</v>
      </c>
      <c r="N703" s="1" t="s">
        <v>1418</v>
      </c>
      <c r="O703" s="1"/>
      <c r="P703" s="1" t="s">
        <v>1323</v>
      </c>
      <c r="Q703" s="1" t="s">
        <v>12949</v>
      </c>
      <c r="R703" s="1" t="s">
        <v>12943</v>
      </c>
      <c r="S703" s="1">
        <v>9423494064</v>
      </c>
      <c r="T703" s="1" t="s">
        <v>2820</v>
      </c>
      <c r="U703" s="1" t="s">
        <v>12950</v>
      </c>
      <c r="V703" s="1">
        <v>9421494959</v>
      </c>
      <c r="W703" s="1" t="s">
        <v>2820</v>
      </c>
      <c r="X703" s="1" t="s">
        <v>12951</v>
      </c>
      <c r="Y703" s="1" t="s">
        <v>6375</v>
      </c>
      <c r="Z703" s="1" t="s">
        <v>92</v>
      </c>
      <c r="AA703" s="1" t="s">
        <v>12951</v>
      </c>
      <c r="AB703" s="1" t="s">
        <v>6375</v>
      </c>
      <c r="AC703" s="1" t="s">
        <v>92</v>
      </c>
      <c r="AD703" s="1" t="s">
        <v>93</v>
      </c>
      <c r="AE703" s="1" t="s">
        <v>93</v>
      </c>
      <c r="AF703" s="1" t="s">
        <v>12952</v>
      </c>
      <c r="AG703" s="1" t="s">
        <v>939</v>
      </c>
      <c r="AH703" s="1" t="s">
        <v>166</v>
      </c>
      <c r="AI703" s="1" t="s">
        <v>308</v>
      </c>
      <c r="AJ703" s="1">
        <v>82.4</v>
      </c>
      <c r="AK703" s="1">
        <v>0</v>
      </c>
      <c r="AL703" s="1"/>
      <c r="AM703" s="1"/>
      <c r="AN703" s="1"/>
      <c r="AO703" s="1"/>
      <c r="AP703" s="1"/>
      <c r="AQ703" s="1"/>
      <c r="AR703" s="1" t="s">
        <v>98</v>
      </c>
      <c r="AS703" s="1" t="s">
        <v>12953</v>
      </c>
      <c r="AT703" s="1" t="s">
        <v>310</v>
      </c>
      <c r="AU703" s="1" t="s">
        <v>481</v>
      </c>
      <c r="AV703" s="1">
        <v>82.21</v>
      </c>
      <c r="AW703" s="1">
        <v>0</v>
      </c>
      <c r="AX703" s="1" t="s">
        <v>361</v>
      </c>
      <c r="AY703" s="1" t="s">
        <v>7793</v>
      </c>
      <c r="AZ703" s="1" t="s">
        <v>2690</v>
      </c>
      <c r="BA703" s="1" t="s">
        <v>1714</v>
      </c>
      <c r="BB703" s="1">
        <v>63.5</v>
      </c>
      <c r="BC703" s="1">
        <v>7.1</v>
      </c>
      <c r="BD703" s="1"/>
      <c r="BE703" s="1"/>
      <c r="BF703" s="1"/>
      <c r="BG703" s="1"/>
      <c r="BH703" s="1"/>
      <c r="BI703" s="1"/>
      <c r="BJ703" s="1" t="s">
        <v>12954</v>
      </c>
      <c r="BK703" s="1"/>
      <c r="BL703" s="1"/>
      <c r="BM703" s="1" t="s">
        <v>12955</v>
      </c>
      <c r="BN703" s="1">
        <v>13</v>
      </c>
      <c r="BO703" s="1"/>
      <c r="BP703" s="1" t="str">
        <f>HYPERLINK("https://nconnect.nicmar.ac.in/storage/profile/ProfilePhoto_P25700667_685391.jpg","Download")</f>
        <v>0</v>
      </c>
      <c r="BQ703" s="3"/>
      <c r="BR703" s="3"/>
    </row>
    <row r="704" spans="1:70">
      <c r="A704" s="1" t="s">
        <v>70</v>
      </c>
      <c r="B704" s="1" t="s">
        <v>1269</v>
      </c>
      <c r="C704" s="1" t="s">
        <v>12956</v>
      </c>
      <c r="D704" s="1" t="s">
        <v>12957</v>
      </c>
      <c r="E704" s="1" t="s">
        <v>1009</v>
      </c>
      <c r="F704" s="1" t="s">
        <v>7321</v>
      </c>
      <c r="G704" s="1" t="s">
        <v>12958</v>
      </c>
      <c r="H704" s="1" t="s">
        <v>12959</v>
      </c>
      <c r="I704" s="1" t="s">
        <v>12960</v>
      </c>
      <c r="J704" s="1">
        <v>9137916664</v>
      </c>
      <c r="K704" s="1" t="s">
        <v>79</v>
      </c>
      <c r="L704" s="1" t="s">
        <v>12961</v>
      </c>
      <c r="M704" s="1" t="s">
        <v>81</v>
      </c>
      <c r="N704" s="1" t="s">
        <v>12962</v>
      </c>
      <c r="O704" s="1"/>
      <c r="P704" s="1" t="s">
        <v>1323</v>
      </c>
      <c r="Q704" s="1" t="s">
        <v>12963</v>
      </c>
      <c r="R704" s="1" t="s">
        <v>12964</v>
      </c>
      <c r="S704" s="1">
        <v>9833311194</v>
      </c>
      <c r="T704" s="1" t="s">
        <v>11968</v>
      </c>
      <c r="U704" s="1" t="s">
        <v>12965</v>
      </c>
      <c r="V704" s="1">
        <v>9137366059</v>
      </c>
      <c r="W704" s="1" t="s">
        <v>156</v>
      </c>
      <c r="X704" s="1" t="s">
        <v>12966</v>
      </c>
      <c r="Y704" s="1" t="s">
        <v>1623</v>
      </c>
      <c r="Z704" s="1" t="s">
        <v>92</v>
      </c>
      <c r="AA704" s="1" t="s">
        <v>12966</v>
      </c>
      <c r="AB704" s="1" t="s">
        <v>1623</v>
      </c>
      <c r="AC704" s="1" t="s">
        <v>92</v>
      </c>
      <c r="AD704" s="1">
        <v>7.99</v>
      </c>
      <c r="AE704" s="1" t="s">
        <v>93</v>
      </c>
      <c r="AF704" s="1" t="s">
        <v>3041</v>
      </c>
      <c r="AG704" s="1" t="s">
        <v>12967</v>
      </c>
      <c r="AH704" s="1" t="s">
        <v>12731</v>
      </c>
      <c r="AI704" s="1" t="s">
        <v>999</v>
      </c>
      <c r="AJ704" s="1">
        <v>80.6</v>
      </c>
      <c r="AK704" s="1"/>
      <c r="AL704" s="1"/>
      <c r="AM704" s="1"/>
      <c r="AN704" s="1"/>
      <c r="AO704" s="1"/>
      <c r="AP704" s="1"/>
      <c r="AQ704" s="1"/>
      <c r="AR704" s="1" t="s">
        <v>434</v>
      </c>
      <c r="AS704" s="1" t="s">
        <v>12968</v>
      </c>
      <c r="AT704" s="1" t="s">
        <v>636</v>
      </c>
      <c r="AU704" s="1" t="s">
        <v>436</v>
      </c>
      <c r="AV704" s="1">
        <v>93.7</v>
      </c>
      <c r="AW704" s="1"/>
      <c r="AX704" s="1" t="s">
        <v>1024</v>
      </c>
      <c r="AY704" s="1" t="s">
        <v>12969</v>
      </c>
      <c r="AZ704" s="1" t="s">
        <v>897</v>
      </c>
      <c r="BA704" s="1" t="s">
        <v>413</v>
      </c>
      <c r="BB704" s="1">
        <v>72.07</v>
      </c>
      <c r="BC704" s="1">
        <v>8.02</v>
      </c>
      <c r="BD704" s="1"/>
      <c r="BE704" s="1"/>
      <c r="BF704" s="1"/>
      <c r="BG704" s="1"/>
      <c r="BH704" s="1"/>
      <c r="BI704" s="1"/>
      <c r="BJ704" s="1" t="s">
        <v>12970</v>
      </c>
      <c r="BK704" s="1" t="s">
        <v>12971</v>
      </c>
      <c r="BL704" s="1" t="s">
        <v>1919</v>
      </c>
      <c r="BM704" s="1" t="s">
        <v>12972</v>
      </c>
      <c r="BN704" s="1">
        <v>11</v>
      </c>
      <c r="BO704" s="1"/>
      <c r="BP704" s="1" t="str">
        <f>HYPERLINK("https://nconnect.nicmar.ac.in/storage/profile/ProfilePhoto_P25700668_892617.jpg","Download")</f>
        <v>0</v>
      </c>
      <c r="BQ704" s="3"/>
      <c r="BR704" s="3"/>
    </row>
    <row r="705" spans="1:70">
      <c r="A705" s="1" t="s">
        <v>70</v>
      </c>
      <c r="B705" s="1" t="s">
        <v>1269</v>
      </c>
      <c r="C705" s="1" t="s">
        <v>12973</v>
      </c>
      <c r="D705" s="1" t="s">
        <v>12974</v>
      </c>
      <c r="E705" s="1" t="s">
        <v>1039</v>
      </c>
      <c r="F705" s="1" t="s">
        <v>12975</v>
      </c>
      <c r="G705" s="1" t="s">
        <v>12976</v>
      </c>
      <c r="H705" s="1" t="s">
        <v>12977</v>
      </c>
      <c r="I705" s="1" t="s">
        <v>12978</v>
      </c>
      <c r="J705" s="1">
        <v>8984683220</v>
      </c>
      <c r="K705" s="1" t="s">
        <v>79</v>
      </c>
      <c r="L705" s="1" t="s">
        <v>12979</v>
      </c>
      <c r="M705" s="1" t="s">
        <v>81</v>
      </c>
      <c r="N705" s="1" t="s">
        <v>2391</v>
      </c>
      <c r="O705" s="1"/>
      <c r="P705" s="1" t="s">
        <v>1323</v>
      </c>
      <c r="Q705" s="1" t="s">
        <v>12980</v>
      </c>
      <c r="R705" s="1" t="s">
        <v>12981</v>
      </c>
      <c r="S705" s="1">
        <v>8984683220</v>
      </c>
      <c r="T705" s="1" t="s">
        <v>12982</v>
      </c>
      <c r="U705" s="1" t="s">
        <v>12983</v>
      </c>
      <c r="V705" s="1">
        <v>8984524063</v>
      </c>
      <c r="W705" s="1" t="s">
        <v>156</v>
      </c>
      <c r="X705" s="1" t="s">
        <v>12984</v>
      </c>
      <c r="Y705" s="1" t="s">
        <v>2096</v>
      </c>
      <c r="Z705" s="1" t="s">
        <v>1731</v>
      </c>
      <c r="AA705" s="1" t="s">
        <v>12984</v>
      </c>
      <c r="AB705" s="1" t="s">
        <v>2096</v>
      </c>
      <c r="AC705" s="1" t="s">
        <v>1731</v>
      </c>
      <c r="AD705" s="1">
        <v>7.7</v>
      </c>
      <c r="AE705" s="1" t="s">
        <v>93</v>
      </c>
      <c r="AF705" s="1" t="s">
        <v>12985</v>
      </c>
      <c r="AG705" s="1" t="s">
        <v>10192</v>
      </c>
      <c r="AH705" s="1" t="s">
        <v>999</v>
      </c>
      <c r="AI705" s="1" t="s">
        <v>503</v>
      </c>
      <c r="AJ705" s="1">
        <v>95</v>
      </c>
      <c r="AK705" s="1">
        <v>10</v>
      </c>
      <c r="AL705" s="1" t="s">
        <v>12986</v>
      </c>
      <c r="AM705" s="1" t="s">
        <v>10192</v>
      </c>
      <c r="AN705" s="1" t="s">
        <v>503</v>
      </c>
      <c r="AO705" s="1" t="s">
        <v>479</v>
      </c>
      <c r="AP705" s="1">
        <v>85</v>
      </c>
      <c r="AQ705" s="1"/>
      <c r="AR705" s="1"/>
      <c r="AS705" s="1"/>
      <c r="AT705" s="1"/>
      <c r="AU705" s="1"/>
      <c r="AV705" s="1"/>
      <c r="AW705" s="1"/>
      <c r="AX705" s="1" t="s">
        <v>3425</v>
      </c>
      <c r="AY705" s="1" t="s">
        <v>4194</v>
      </c>
      <c r="AZ705" s="1" t="s">
        <v>165</v>
      </c>
      <c r="BA705" s="1" t="s">
        <v>1131</v>
      </c>
      <c r="BB705" s="1">
        <v>86.58</v>
      </c>
      <c r="BC705" s="1">
        <v>8.14</v>
      </c>
      <c r="BD705" s="1"/>
      <c r="BE705" s="1"/>
      <c r="BF705" s="1"/>
      <c r="BG705" s="1"/>
      <c r="BH705" s="1"/>
      <c r="BI705" s="1"/>
      <c r="BJ705" s="1" t="s">
        <v>12987</v>
      </c>
      <c r="BK705" s="1"/>
      <c r="BL705" s="1"/>
      <c r="BM705" s="1" t="s">
        <v>12988</v>
      </c>
      <c r="BN705" s="1">
        <v>6</v>
      </c>
      <c r="BO705" s="1"/>
      <c r="BP705" s="1" t="str">
        <f>HYPERLINK("https://nconnect.nicmar.ac.in/storage/profile/ProfilePhoto_P25700669_295168.jpg","Download")</f>
        <v>0</v>
      </c>
      <c r="BQ705" s="3"/>
      <c r="BR705" s="3"/>
    </row>
    <row r="706" spans="1:70">
      <c r="A706" s="1" t="s">
        <v>70</v>
      </c>
      <c r="B706" s="1" t="s">
        <v>1269</v>
      </c>
      <c r="C706" s="1" t="s">
        <v>12989</v>
      </c>
      <c r="D706" s="1" t="s">
        <v>12990</v>
      </c>
      <c r="E706" s="1"/>
      <c r="F706" s="1" t="s">
        <v>12991</v>
      </c>
      <c r="G706" s="1" t="s">
        <v>12992</v>
      </c>
      <c r="H706" s="1" t="s">
        <v>12993</v>
      </c>
      <c r="I706" s="1" t="s">
        <v>12994</v>
      </c>
      <c r="J706" s="1">
        <v>6362521917</v>
      </c>
      <c r="K706" s="1" t="s">
        <v>79</v>
      </c>
      <c r="L706" s="1" t="s">
        <v>4004</v>
      </c>
      <c r="M706" s="1" t="s">
        <v>81</v>
      </c>
      <c r="N706" s="1" t="s">
        <v>8742</v>
      </c>
      <c r="O706" s="1"/>
      <c r="P706" s="1" t="s">
        <v>1462</v>
      </c>
      <c r="Q706" s="1" t="s">
        <v>12995</v>
      </c>
      <c r="R706" s="1" t="s">
        <v>12996</v>
      </c>
      <c r="S706" s="1">
        <v>9916008484</v>
      </c>
      <c r="T706" s="1" t="s">
        <v>154</v>
      </c>
      <c r="U706" s="1" t="s">
        <v>12997</v>
      </c>
      <c r="V706" s="1">
        <v>9148542866</v>
      </c>
      <c r="W706" s="1" t="s">
        <v>273</v>
      </c>
      <c r="X706" s="1" t="s">
        <v>12998</v>
      </c>
      <c r="Y706" s="1" t="s">
        <v>7146</v>
      </c>
      <c r="Z706" s="1" t="s">
        <v>1084</v>
      </c>
      <c r="AA706" s="1" t="s">
        <v>12998</v>
      </c>
      <c r="AB706" s="1" t="s">
        <v>7146</v>
      </c>
      <c r="AC706" s="1" t="s">
        <v>1084</v>
      </c>
      <c r="AD706" s="1">
        <v>8.22</v>
      </c>
      <c r="AE706" s="1" t="s">
        <v>93</v>
      </c>
      <c r="AF706" s="1" t="s">
        <v>12999</v>
      </c>
      <c r="AG706" s="1" t="s">
        <v>13000</v>
      </c>
      <c r="AH706" s="1" t="s">
        <v>166</v>
      </c>
      <c r="AI706" s="1" t="s">
        <v>308</v>
      </c>
      <c r="AJ706" s="1">
        <v>75.2</v>
      </c>
      <c r="AK706" s="1"/>
      <c r="AL706" s="1" t="s">
        <v>13001</v>
      </c>
      <c r="AM706" s="1" t="s">
        <v>13002</v>
      </c>
      <c r="AN706" s="1" t="s">
        <v>173</v>
      </c>
      <c r="AO706" s="1" t="s">
        <v>506</v>
      </c>
      <c r="AP706" s="1">
        <v>86.66</v>
      </c>
      <c r="AQ706" s="1"/>
      <c r="AR706" s="1"/>
      <c r="AS706" s="1"/>
      <c r="AT706" s="1"/>
      <c r="AU706" s="1"/>
      <c r="AV706" s="1"/>
      <c r="AW706" s="1"/>
      <c r="AX706" s="1" t="s">
        <v>1606</v>
      </c>
      <c r="AY706" s="1" t="s">
        <v>13003</v>
      </c>
      <c r="AZ706" s="1" t="s">
        <v>897</v>
      </c>
      <c r="BA706" s="1" t="s">
        <v>1714</v>
      </c>
      <c r="BB706" s="1">
        <v>78.1</v>
      </c>
      <c r="BC706" s="1">
        <v>7.81</v>
      </c>
      <c r="BD706" s="1"/>
      <c r="BE706" s="1"/>
      <c r="BF706" s="1"/>
      <c r="BG706" s="1"/>
      <c r="BH706" s="1"/>
      <c r="BI706" s="1"/>
      <c r="BJ706" s="1" t="s">
        <v>13004</v>
      </c>
      <c r="BK706" s="1"/>
      <c r="BL706" s="1"/>
      <c r="BM706" s="1" t="s">
        <v>13005</v>
      </c>
      <c r="BN706" s="1">
        <v>11</v>
      </c>
      <c r="BO706" s="1" t="s">
        <v>13006</v>
      </c>
      <c r="BP706" s="1" t="str">
        <f>HYPERLINK("https://nconnect.nicmar.ac.in/storage/profile/ProfilePhoto_P25700670_485319.jpg","Download")</f>
        <v>0</v>
      </c>
      <c r="BQ706" s="3"/>
      <c r="BR706" s="3"/>
    </row>
    <row r="707" spans="1:70">
      <c r="A707" s="1" t="s">
        <v>70</v>
      </c>
      <c r="B707" s="1" t="s">
        <v>1269</v>
      </c>
      <c r="C707" s="1" t="s">
        <v>13007</v>
      </c>
      <c r="D707" s="1" t="s">
        <v>13008</v>
      </c>
      <c r="E707" s="1"/>
      <c r="F707" s="1" t="s">
        <v>111</v>
      </c>
      <c r="G707" s="1" t="s">
        <v>13009</v>
      </c>
      <c r="H707" s="1" t="s">
        <v>13010</v>
      </c>
      <c r="I707" s="1" t="s">
        <v>13011</v>
      </c>
      <c r="J707" s="1">
        <v>7395910769</v>
      </c>
      <c r="K707" s="1" t="s">
        <v>79</v>
      </c>
      <c r="L707" s="1" t="s">
        <v>13012</v>
      </c>
      <c r="M707" s="1" t="s">
        <v>81</v>
      </c>
      <c r="N707" s="1" t="s">
        <v>13013</v>
      </c>
      <c r="O707" s="1"/>
      <c r="P707" s="1" t="s">
        <v>1278</v>
      </c>
      <c r="Q707" s="1" t="s">
        <v>13014</v>
      </c>
      <c r="R707" s="1" t="s">
        <v>13015</v>
      </c>
      <c r="S707" s="1">
        <v>9444767739</v>
      </c>
      <c r="T707" s="1" t="s">
        <v>5637</v>
      </c>
      <c r="U707" s="1" t="s">
        <v>13016</v>
      </c>
      <c r="V707" s="1">
        <v>9941955909</v>
      </c>
      <c r="W707" s="1" t="s">
        <v>651</v>
      </c>
      <c r="X707" s="1" t="s">
        <v>13017</v>
      </c>
      <c r="Y707" s="1" t="s">
        <v>2318</v>
      </c>
      <c r="Z707" s="1" t="s">
        <v>1377</v>
      </c>
      <c r="AA707" s="1" t="s">
        <v>13017</v>
      </c>
      <c r="AB707" s="1" t="s">
        <v>2318</v>
      </c>
      <c r="AC707" s="1" t="s">
        <v>1377</v>
      </c>
      <c r="AD707" s="1">
        <v>8.14</v>
      </c>
      <c r="AE707" s="1" t="s">
        <v>93</v>
      </c>
      <c r="AF707" s="1" t="s">
        <v>12847</v>
      </c>
      <c r="AG707" s="1" t="s">
        <v>12087</v>
      </c>
      <c r="AH707" s="1" t="s">
        <v>281</v>
      </c>
      <c r="AI707" s="1" t="s">
        <v>409</v>
      </c>
      <c r="AJ707" s="1">
        <v>80.4</v>
      </c>
      <c r="AK707" s="1">
        <v>0</v>
      </c>
      <c r="AL707" s="1" t="s">
        <v>12847</v>
      </c>
      <c r="AM707" s="1" t="s">
        <v>12087</v>
      </c>
      <c r="AN707" s="1" t="s">
        <v>308</v>
      </c>
      <c r="AO707" s="1" t="s">
        <v>1712</v>
      </c>
      <c r="AP707" s="1">
        <v>84.84</v>
      </c>
      <c r="AQ707" s="1">
        <v>0</v>
      </c>
      <c r="AR707" s="1"/>
      <c r="AS707" s="1"/>
      <c r="AT707" s="1"/>
      <c r="AU707" s="1"/>
      <c r="AV707" s="1"/>
      <c r="AW707" s="1"/>
      <c r="AX707" s="1" t="s">
        <v>13018</v>
      </c>
      <c r="AY707" s="1" t="s">
        <v>13019</v>
      </c>
      <c r="AZ707" s="1" t="s">
        <v>506</v>
      </c>
      <c r="BA707" s="1" t="s">
        <v>1408</v>
      </c>
      <c r="BB707" s="1">
        <v>71.4</v>
      </c>
      <c r="BC707" s="1">
        <v>7.14</v>
      </c>
      <c r="BD707" s="1"/>
      <c r="BE707" s="1"/>
      <c r="BF707" s="1"/>
      <c r="BG707" s="1"/>
      <c r="BH707" s="1"/>
      <c r="BI707" s="1"/>
      <c r="BJ707" s="1" t="s">
        <v>13020</v>
      </c>
      <c r="BK707" s="1"/>
      <c r="BL707" s="1"/>
      <c r="BM707" s="1" t="s">
        <v>13021</v>
      </c>
      <c r="BN707" s="1">
        <v>15</v>
      </c>
      <c r="BO707" s="1"/>
      <c r="BP707" s="1" t="str">
        <f>HYPERLINK("https://nconnect.nicmar.ac.in/storage/profile/ProfilePhoto_P25700671_749136.jpg","Download")</f>
        <v>0</v>
      </c>
      <c r="BQ707" s="3"/>
      <c r="BR707" s="3"/>
    </row>
    <row r="708" spans="1:70">
      <c r="A708" s="1" t="s">
        <v>70</v>
      </c>
      <c r="B708" s="1" t="s">
        <v>1269</v>
      </c>
      <c r="C708" s="1" t="s">
        <v>13022</v>
      </c>
      <c r="D708" s="1" t="s">
        <v>13023</v>
      </c>
      <c r="E708" s="1" t="s">
        <v>13024</v>
      </c>
      <c r="F708" s="1" t="s">
        <v>8757</v>
      </c>
      <c r="G708" s="1" t="s">
        <v>13025</v>
      </c>
      <c r="H708" s="1" t="s">
        <v>13026</v>
      </c>
      <c r="I708" s="1" t="s">
        <v>13027</v>
      </c>
      <c r="J708" s="1">
        <v>9552016176</v>
      </c>
      <c r="K708" s="1" t="s">
        <v>148</v>
      </c>
      <c r="L708" s="1" t="s">
        <v>13028</v>
      </c>
      <c r="M708" s="1" t="s">
        <v>81</v>
      </c>
      <c r="N708" s="1" t="s">
        <v>2008</v>
      </c>
      <c r="O708" s="1"/>
      <c r="P708" s="1" t="s">
        <v>1298</v>
      </c>
      <c r="Q708" s="1" t="s">
        <v>13029</v>
      </c>
      <c r="R708" s="1" t="s">
        <v>13024</v>
      </c>
      <c r="S708" s="1">
        <v>9923352853</v>
      </c>
      <c r="T708" s="1" t="s">
        <v>763</v>
      </c>
      <c r="U708" s="1" t="s">
        <v>13030</v>
      </c>
      <c r="V708" s="1">
        <v>9637541019</v>
      </c>
      <c r="W708" s="1" t="s">
        <v>122</v>
      </c>
      <c r="X708" s="1" t="s">
        <v>13031</v>
      </c>
      <c r="Y708" s="1" t="s">
        <v>191</v>
      </c>
      <c r="Z708" s="1" t="s">
        <v>92</v>
      </c>
      <c r="AA708" s="1" t="s">
        <v>13031</v>
      </c>
      <c r="AB708" s="1" t="s">
        <v>191</v>
      </c>
      <c r="AC708" s="1" t="s">
        <v>92</v>
      </c>
      <c r="AD708" s="1">
        <v>8.67</v>
      </c>
      <c r="AE708" s="1" t="s">
        <v>93</v>
      </c>
      <c r="AF708" s="1" t="s">
        <v>13032</v>
      </c>
      <c r="AG708" s="1" t="s">
        <v>13033</v>
      </c>
      <c r="AH708" s="1" t="s">
        <v>96</v>
      </c>
      <c r="AI708" s="1" t="s">
        <v>97</v>
      </c>
      <c r="AJ708" s="1">
        <v>65</v>
      </c>
      <c r="AK708" s="1"/>
      <c r="AL708" s="1"/>
      <c r="AM708" s="1"/>
      <c r="AN708" s="1"/>
      <c r="AO708" s="1"/>
      <c r="AP708" s="1"/>
      <c r="AQ708" s="1"/>
      <c r="AR708" s="1" t="s">
        <v>98</v>
      </c>
      <c r="AS708" s="1" t="s">
        <v>13034</v>
      </c>
      <c r="AT708" s="1" t="s">
        <v>100</v>
      </c>
      <c r="AU708" s="1" t="s">
        <v>101</v>
      </c>
      <c r="AV708" s="1">
        <v>78.18</v>
      </c>
      <c r="AW708" s="1"/>
      <c r="AX708" s="1" t="s">
        <v>361</v>
      </c>
      <c r="AY708" s="1" t="s">
        <v>13035</v>
      </c>
      <c r="AZ708" s="1" t="s">
        <v>169</v>
      </c>
      <c r="BA708" s="1" t="s">
        <v>506</v>
      </c>
      <c r="BB708" s="1">
        <v>71.9</v>
      </c>
      <c r="BC708" s="1">
        <v>7.94</v>
      </c>
      <c r="BD708" s="1"/>
      <c r="BE708" s="1"/>
      <c r="BF708" s="1"/>
      <c r="BG708" s="1"/>
      <c r="BH708" s="1"/>
      <c r="BI708" s="1"/>
      <c r="BJ708" s="1" t="s">
        <v>13036</v>
      </c>
      <c r="BK708" s="1"/>
      <c r="BL708" s="1"/>
      <c r="BM708" s="1" t="s">
        <v>13037</v>
      </c>
      <c r="BN708" s="1">
        <v>5</v>
      </c>
      <c r="BO708" s="1" t="s">
        <v>13038</v>
      </c>
      <c r="BP708" s="1" t="str">
        <f>HYPERLINK("https://nconnect.nicmar.ac.in/storage/profile/ProfilePhoto_P25700672_847361.jpg","Download")</f>
        <v>0</v>
      </c>
      <c r="BQ708" s="3"/>
      <c r="BR708" s="3"/>
    </row>
    <row r="709" spans="1:70">
      <c r="A709" s="1" t="s">
        <v>70</v>
      </c>
      <c r="B709" s="1" t="s">
        <v>1269</v>
      </c>
      <c r="C709" s="1" t="s">
        <v>13039</v>
      </c>
      <c r="D709" s="1" t="s">
        <v>13040</v>
      </c>
      <c r="E709" s="1" t="s">
        <v>13041</v>
      </c>
      <c r="F709" s="1" t="s">
        <v>3297</v>
      </c>
      <c r="G709" s="1" t="s">
        <v>13042</v>
      </c>
      <c r="H709" s="1" t="s">
        <v>13043</v>
      </c>
      <c r="I709" s="1" t="s">
        <v>13044</v>
      </c>
      <c r="J709" s="1">
        <v>6303184412</v>
      </c>
      <c r="K709" s="1" t="s">
        <v>79</v>
      </c>
      <c r="L709" s="1" t="s">
        <v>13045</v>
      </c>
      <c r="M709" s="1" t="s">
        <v>81</v>
      </c>
      <c r="N709" s="1" t="s">
        <v>10930</v>
      </c>
      <c r="O709" s="1"/>
      <c r="P709" s="1" t="s">
        <v>1323</v>
      </c>
      <c r="Q709" s="1" t="s">
        <v>13046</v>
      </c>
      <c r="R709" s="1" t="s">
        <v>13047</v>
      </c>
      <c r="S709" s="1">
        <v>9441822789</v>
      </c>
      <c r="T709" s="1" t="s">
        <v>13048</v>
      </c>
      <c r="U709" s="1" t="s">
        <v>13049</v>
      </c>
      <c r="V709" s="1">
        <v>9347909238</v>
      </c>
      <c r="W709" s="1" t="s">
        <v>651</v>
      </c>
      <c r="X709" s="1" t="s">
        <v>13050</v>
      </c>
      <c r="Y709" s="1" t="s">
        <v>4621</v>
      </c>
      <c r="Z709" s="1" t="s">
        <v>276</v>
      </c>
      <c r="AA709" s="1" t="s">
        <v>13050</v>
      </c>
      <c r="AB709" s="1" t="s">
        <v>4621</v>
      </c>
      <c r="AC709" s="1" t="s">
        <v>276</v>
      </c>
      <c r="AD709" s="1">
        <v>8.03</v>
      </c>
      <c r="AE709" s="1" t="s">
        <v>93</v>
      </c>
      <c r="AF709" s="1" t="s">
        <v>2262</v>
      </c>
      <c r="AG709" s="1" t="s">
        <v>13051</v>
      </c>
      <c r="AH709" s="1" t="s">
        <v>456</v>
      </c>
      <c r="AI709" s="1" t="s">
        <v>479</v>
      </c>
      <c r="AJ709" s="1">
        <v>92</v>
      </c>
      <c r="AK709" s="1">
        <v>9.2</v>
      </c>
      <c r="AL709" s="1" t="s">
        <v>1153</v>
      </c>
      <c r="AM709" s="1" t="s">
        <v>13052</v>
      </c>
      <c r="AN709" s="1" t="s">
        <v>383</v>
      </c>
      <c r="AO709" s="1" t="s">
        <v>1065</v>
      </c>
      <c r="AP709" s="1">
        <v>91.3</v>
      </c>
      <c r="AQ709" s="1">
        <v>9.13</v>
      </c>
      <c r="AR709" s="1"/>
      <c r="AS709" s="1"/>
      <c r="AT709" s="1"/>
      <c r="AU709" s="1"/>
      <c r="AV709" s="1"/>
      <c r="AW709" s="1"/>
      <c r="AX709" s="1" t="s">
        <v>1088</v>
      </c>
      <c r="AY709" s="1" t="s">
        <v>5559</v>
      </c>
      <c r="AZ709" s="1" t="s">
        <v>201</v>
      </c>
      <c r="BA709" s="1" t="s">
        <v>590</v>
      </c>
      <c r="BB709" s="1">
        <v>68.4</v>
      </c>
      <c r="BC709" s="1">
        <v>7.59</v>
      </c>
      <c r="BD709" s="1"/>
      <c r="BE709" s="1"/>
      <c r="BF709" s="1"/>
      <c r="BG709" s="1"/>
      <c r="BH709" s="1"/>
      <c r="BI709" s="1"/>
      <c r="BJ709" s="1" t="s">
        <v>13053</v>
      </c>
      <c r="BK709" s="1"/>
      <c r="BL709" s="1"/>
      <c r="BM709" s="1" t="s">
        <v>13054</v>
      </c>
      <c r="BN709" s="1">
        <v>4</v>
      </c>
      <c r="BO709" s="1" t="s">
        <v>13055</v>
      </c>
      <c r="BP709" s="1" t="str">
        <f>HYPERLINK("https://nconnect.nicmar.ac.in/storage/profile/ProfilePhoto_P25700673_596741.jpg","Download")</f>
        <v>0</v>
      </c>
      <c r="BQ709" s="3"/>
      <c r="BR709" s="3"/>
    </row>
    <row r="710" spans="1:70">
      <c r="A710" s="1" t="s">
        <v>70</v>
      </c>
      <c r="B710" s="1" t="s">
        <v>1269</v>
      </c>
      <c r="C710" s="1" t="s">
        <v>13056</v>
      </c>
      <c r="D710" s="1" t="s">
        <v>2892</v>
      </c>
      <c r="E710" s="1" t="s">
        <v>1455</v>
      </c>
      <c r="F710" s="1" t="s">
        <v>3901</v>
      </c>
      <c r="G710" s="1" t="s">
        <v>13057</v>
      </c>
      <c r="H710" s="1" t="s">
        <v>13058</v>
      </c>
      <c r="I710" s="1" t="s">
        <v>13059</v>
      </c>
      <c r="J710" s="1">
        <v>7977681533</v>
      </c>
      <c r="K710" s="1" t="s">
        <v>79</v>
      </c>
      <c r="L710" s="1" t="s">
        <v>13060</v>
      </c>
      <c r="M710" s="1" t="s">
        <v>81</v>
      </c>
      <c r="N710" s="1" t="s">
        <v>2029</v>
      </c>
      <c r="O710" s="1"/>
      <c r="P710" s="1" t="s">
        <v>1278</v>
      </c>
      <c r="Q710" s="1" t="s">
        <v>13061</v>
      </c>
      <c r="R710" s="1" t="s">
        <v>13062</v>
      </c>
      <c r="S710" s="1">
        <v>9594991665</v>
      </c>
      <c r="T710" s="1" t="s">
        <v>763</v>
      </c>
      <c r="U710" s="1" t="s">
        <v>13063</v>
      </c>
      <c r="V710" s="1">
        <v>7666209049</v>
      </c>
      <c r="W710" s="1" t="s">
        <v>156</v>
      </c>
      <c r="X710" s="1" t="s">
        <v>13064</v>
      </c>
      <c r="Y710" s="1" t="s">
        <v>766</v>
      </c>
      <c r="Z710" s="1" t="s">
        <v>92</v>
      </c>
      <c r="AA710" s="1" t="s">
        <v>13064</v>
      </c>
      <c r="AB710" s="1" t="s">
        <v>766</v>
      </c>
      <c r="AC710" s="1" t="s">
        <v>92</v>
      </c>
      <c r="AD710" s="1">
        <v>8.52</v>
      </c>
      <c r="AE710" s="1" t="s">
        <v>93</v>
      </c>
      <c r="AF710" s="1" t="s">
        <v>13065</v>
      </c>
      <c r="AG710" s="1" t="s">
        <v>160</v>
      </c>
      <c r="AH710" s="1" t="s">
        <v>281</v>
      </c>
      <c r="AI710" s="1" t="s">
        <v>409</v>
      </c>
      <c r="AJ710" s="1">
        <v>74.6</v>
      </c>
      <c r="AK710" s="1"/>
      <c r="AL710" s="1"/>
      <c r="AM710" s="1"/>
      <c r="AN710" s="1"/>
      <c r="AO710" s="1"/>
      <c r="AP710" s="1"/>
      <c r="AQ710" s="1"/>
      <c r="AR710" s="1" t="s">
        <v>98</v>
      </c>
      <c r="AS710" s="1" t="s">
        <v>13066</v>
      </c>
      <c r="AT710" s="1" t="s">
        <v>409</v>
      </c>
      <c r="AU710" s="1" t="s">
        <v>2687</v>
      </c>
      <c r="AV710" s="1">
        <v>73.63</v>
      </c>
      <c r="AW710" s="1"/>
      <c r="AX710" s="1" t="s">
        <v>253</v>
      </c>
      <c r="AY710" s="1" t="s">
        <v>2036</v>
      </c>
      <c r="AZ710" s="1" t="s">
        <v>2687</v>
      </c>
      <c r="BA710" s="1" t="s">
        <v>1584</v>
      </c>
      <c r="BB710" s="1">
        <v>70.52</v>
      </c>
      <c r="BC710" s="1">
        <v>7.77</v>
      </c>
      <c r="BD710" s="1"/>
      <c r="BE710" s="1"/>
      <c r="BF710" s="1"/>
      <c r="BG710" s="1"/>
      <c r="BH710" s="1"/>
      <c r="BI710" s="1"/>
      <c r="BJ710" s="1" t="s">
        <v>255</v>
      </c>
      <c r="BK710" s="1"/>
      <c r="BL710" s="1"/>
      <c r="BM710" s="1" t="s">
        <v>13067</v>
      </c>
      <c r="BN710" s="1">
        <v>9</v>
      </c>
      <c r="BO710" s="1"/>
      <c r="BP710" s="1" t="str">
        <f>HYPERLINK("https://nconnect.nicmar.ac.in/storage/profile/ProfilePhoto_P25700674_179648.jpg","Download")</f>
        <v>0</v>
      </c>
      <c r="BQ710" s="3"/>
      <c r="BR710" s="3"/>
    </row>
    <row r="711" spans="1:70">
      <c r="A711" s="1" t="s">
        <v>70</v>
      </c>
      <c r="B711" s="1" t="s">
        <v>1269</v>
      </c>
      <c r="C711" s="1" t="s">
        <v>13068</v>
      </c>
      <c r="D711" s="1" t="s">
        <v>13069</v>
      </c>
      <c r="E711" s="1" t="s">
        <v>2763</v>
      </c>
      <c r="F711" s="1" t="s">
        <v>1680</v>
      </c>
      <c r="G711" s="1" t="s">
        <v>13070</v>
      </c>
      <c r="H711" s="1" t="s">
        <v>13071</v>
      </c>
      <c r="I711" s="1" t="s">
        <v>13072</v>
      </c>
      <c r="J711" s="1">
        <v>9940971788</v>
      </c>
      <c r="K711" s="1" t="s">
        <v>79</v>
      </c>
      <c r="L711" s="1" t="s">
        <v>13073</v>
      </c>
      <c r="M711" s="1" t="s">
        <v>81</v>
      </c>
      <c r="N711" s="1" t="s">
        <v>13074</v>
      </c>
      <c r="O711" s="1"/>
      <c r="P711" s="1" t="s">
        <v>1323</v>
      </c>
      <c r="Q711" s="1" t="s">
        <v>13075</v>
      </c>
      <c r="R711" s="1" t="s">
        <v>13076</v>
      </c>
      <c r="S711" s="1">
        <v>9842348001</v>
      </c>
      <c r="T711" s="1" t="s">
        <v>13077</v>
      </c>
      <c r="U711" s="1" t="s">
        <v>13078</v>
      </c>
      <c r="V711" s="1">
        <v>9489003506</v>
      </c>
      <c r="W711" s="1" t="s">
        <v>651</v>
      </c>
      <c r="X711" s="1" t="s">
        <v>13079</v>
      </c>
      <c r="Y711" s="1" t="s">
        <v>13080</v>
      </c>
      <c r="Z711" s="1" t="s">
        <v>1377</v>
      </c>
      <c r="AA711" s="1" t="s">
        <v>13079</v>
      </c>
      <c r="AB711" s="1" t="s">
        <v>13080</v>
      </c>
      <c r="AC711" s="1" t="s">
        <v>1377</v>
      </c>
      <c r="AD711" s="1">
        <v>8.02</v>
      </c>
      <c r="AE711" s="1" t="s">
        <v>93</v>
      </c>
      <c r="AF711" s="1" t="s">
        <v>13081</v>
      </c>
      <c r="AG711" s="1" t="s">
        <v>12087</v>
      </c>
      <c r="AH711" s="1" t="s">
        <v>503</v>
      </c>
      <c r="AI711" s="1" t="s">
        <v>456</v>
      </c>
      <c r="AJ711" s="1">
        <v>88</v>
      </c>
      <c r="AK711" s="1"/>
      <c r="AL711" s="1" t="s">
        <v>13081</v>
      </c>
      <c r="AM711" s="1" t="s">
        <v>12087</v>
      </c>
      <c r="AN711" s="1" t="s">
        <v>678</v>
      </c>
      <c r="AO711" s="1" t="s">
        <v>281</v>
      </c>
      <c r="AP711" s="1">
        <v>70.92</v>
      </c>
      <c r="AQ711" s="1"/>
      <c r="AR711" s="1"/>
      <c r="AS711" s="1"/>
      <c r="AT711" s="1"/>
      <c r="AU711" s="1"/>
      <c r="AV711" s="1"/>
      <c r="AW711" s="1"/>
      <c r="AX711" s="1" t="s">
        <v>1381</v>
      </c>
      <c r="AY711" s="1" t="s">
        <v>13082</v>
      </c>
      <c r="AZ711" s="1" t="s">
        <v>169</v>
      </c>
      <c r="BA711" s="1" t="s">
        <v>590</v>
      </c>
      <c r="BB711" s="1">
        <v>71.6</v>
      </c>
      <c r="BC711" s="1"/>
      <c r="BD711" s="1"/>
      <c r="BE711" s="1"/>
      <c r="BF711" s="1"/>
      <c r="BG711" s="1"/>
      <c r="BH711" s="1"/>
      <c r="BI711" s="1"/>
      <c r="BJ711" s="1" t="s">
        <v>13083</v>
      </c>
      <c r="BK711" s="1" t="s">
        <v>13084</v>
      </c>
      <c r="BL711" s="1" t="s">
        <v>1629</v>
      </c>
      <c r="BM711" s="1" t="s">
        <v>13085</v>
      </c>
      <c r="BN711" s="1">
        <v>26</v>
      </c>
      <c r="BO711" s="1"/>
      <c r="BP711" s="1" t="str">
        <f>HYPERLINK("https://nconnect.nicmar.ac.in/storage/profile/ProfilePhoto_P25700675_971354.jpg","Download")</f>
        <v>0</v>
      </c>
      <c r="BQ711" s="3"/>
      <c r="BR711" s="3"/>
    </row>
    <row r="712" spans="1:70">
      <c r="A712" s="1" t="s">
        <v>70</v>
      </c>
      <c r="B712" s="1" t="s">
        <v>1269</v>
      </c>
      <c r="C712" s="1" t="s">
        <v>13086</v>
      </c>
      <c r="D712" s="1" t="s">
        <v>13087</v>
      </c>
      <c r="E712" s="1" t="s">
        <v>13088</v>
      </c>
      <c r="F712" s="1" t="s">
        <v>13089</v>
      </c>
      <c r="G712" s="1" t="s">
        <v>13090</v>
      </c>
      <c r="H712" s="1" t="s">
        <v>13091</v>
      </c>
      <c r="I712" s="1" t="s">
        <v>13092</v>
      </c>
      <c r="J712" s="1">
        <v>7249887027</v>
      </c>
      <c r="K712" s="1" t="s">
        <v>79</v>
      </c>
      <c r="L712" s="1" t="s">
        <v>13093</v>
      </c>
      <c r="M712" s="1" t="s">
        <v>81</v>
      </c>
      <c r="N712" s="1" t="s">
        <v>6099</v>
      </c>
      <c r="O712" s="1"/>
      <c r="P712" s="1" t="s">
        <v>1323</v>
      </c>
      <c r="Q712" s="1" t="s">
        <v>13094</v>
      </c>
      <c r="R712" s="1" t="s">
        <v>13095</v>
      </c>
      <c r="S712" s="1">
        <v>9822630674</v>
      </c>
      <c r="T712" s="1" t="s">
        <v>154</v>
      </c>
      <c r="U712" s="1" t="s">
        <v>13096</v>
      </c>
      <c r="V712" s="1">
        <v>8275929100</v>
      </c>
      <c r="W712" s="1" t="s">
        <v>156</v>
      </c>
      <c r="X712" s="1" t="s">
        <v>13097</v>
      </c>
      <c r="Y712" s="1" t="s">
        <v>5915</v>
      </c>
      <c r="Z712" s="1" t="s">
        <v>92</v>
      </c>
      <c r="AA712" s="1" t="s">
        <v>13097</v>
      </c>
      <c r="AB712" s="1" t="s">
        <v>5915</v>
      </c>
      <c r="AC712" s="1" t="s">
        <v>92</v>
      </c>
      <c r="AD712" s="1">
        <v>7.49</v>
      </c>
      <c r="AE712" s="1" t="s">
        <v>93</v>
      </c>
      <c r="AF712" s="1" t="s">
        <v>13098</v>
      </c>
      <c r="AG712" s="1" t="s">
        <v>525</v>
      </c>
      <c r="AH712" s="1" t="s">
        <v>101</v>
      </c>
      <c r="AI712" s="1" t="s">
        <v>409</v>
      </c>
      <c r="AJ712" s="1">
        <v>73</v>
      </c>
      <c r="AK712" s="1"/>
      <c r="AL712" s="1" t="s">
        <v>13099</v>
      </c>
      <c r="AM712" s="1" t="s">
        <v>476</v>
      </c>
      <c r="AN712" s="1" t="s">
        <v>228</v>
      </c>
      <c r="AO712" s="1" t="s">
        <v>1712</v>
      </c>
      <c r="AP712" s="1">
        <v>76.33</v>
      </c>
      <c r="AQ712" s="1"/>
      <c r="AR712" s="1"/>
      <c r="AS712" s="1"/>
      <c r="AT712" s="1"/>
      <c r="AU712" s="1"/>
      <c r="AV712" s="1"/>
      <c r="AW712" s="1"/>
      <c r="AX712" s="1" t="s">
        <v>13100</v>
      </c>
      <c r="AY712" s="1" t="s">
        <v>13101</v>
      </c>
      <c r="AZ712" s="1" t="s">
        <v>897</v>
      </c>
      <c r="BA712" s="1" t="s">
        <v>1361</v>
      </c>
      <c r="BB712" s="1">
        <v>60.69</v>
      </c>
      <c r="BC712" s="1"/>
      <c r="BD712" s="1"/>
      <c r="BE712" s="1"/>
      <c r="BF712" s="1"/>
      <c r="BG712" s="1"/>
      <c r="BH712" s="1"/>
      <c r="BI712" s="1"/>
      <c r="BJ712" s="1" t="s">
        <v>13102</v>
      </c>
      <c r="BK712" s="1"/>
      <c r="BL712" s="1"/>
      <c r="BM712" s="1" t="s">
        <v>13103</v>
      </c>
      <c r="BN712" s="1">
        <v>5</v>
      </c>
      <c r="BO712" s="1"/>
      <c r="BP712" s="1" t="str">
        <f>HYPERLINK("https://nconnect.nicmar.ac.in/storage/profile/ProfilePhoto_P25700676_965278.jpg","Download")</f>
        <v>0</v>
      </c>
      <c r="BQ712" s="3"/>
      <c r="BR712" s="3"/>
    </row>
    <row r="713" spans="1:70">
      <c r="A713" s="1" t="s">
        <v>70</v>
      </c>
      <c r="B713" s="1" t="s">
        <v>1269</v>
      </c>
      <c r="C713" s="1" t="s">
        <v>13104</v>
      </c>
      <c r="D713" s="1" t="s">
        <v>12270</v>
      </c>
      <c r="E713" s="1" t="s">
        <v>2483</v>
      </c>
      <c r="F713" s="1" t="s">
        <v>13105</v>
      </c>
      <c r="G713" s="1" t="s">
        <v>13106</v>
      </c>
      <c r="H713" s="1" t="s">
        <v>13107</v>
      </c>
      <c r="I713" s="1" t="s">
        <v>13108</v>
      </c>
      <c r="J713" s="1">
        <v>8983831511</v>
      </c>
      <c r="K713" s="1" t="s">
        <v>79</v>
      </c>
      <c r="L713" s="1" t="s">
        <v>10575</v>
      </c>
      <c r="M713" s="1" t="s">
        <v>81</v>
      </c>
      <c r="N713" s="1" t="s">
        <v>13109</v>
      </c>
      <c r="O713" s="1"/>
      <c r="P713" s="1" t="s">
        <v>1298</v>
      </c>
      <c r="Q713" s="1" t="s">
        <v>13110</v>
      </c>
      <c r="R713" s="1" t="s">
        <v>2483</v>
      </c>
      <c r="S713" s="1">
        <v>9423953511</v>
      </c>
      <c r="T713" s="1" t="s">
        <v>7415</v>
      </c>
      <c r="U713" s="1" t="s">
        <v>1071</v>
      </c>
      <c r="V713" s="1">
        <v>8983831511</v>
      </c>
      <c r="W713" s="1" t="s">
        <v>273</v>
      </c>
      <c r="X713" s="1" t="s">
        <v>13111</v>
      </c>
      <c r="Y713" s="1" t="s">
        <v>304</v>
      </c>
      <c r="Z713" s="1" t="s">
        <v>92</v>
      </c>
      <c r="AA713" s="1" t="s">
        <v>13111</v>
      </c>
      <c r="AB713" s="1" t="s">
        <v>304</v>
      </c>
      <c r="AC713" s="1" t="s">
        <v>92</v>
      </c>
      <c r="AD713" s="1" t="s">
        <v>93</v>
      </c>
      <c r="AE713" s="1" t="s">
        <v>93</v>
      </c>
      <c r="AF713" s="1" t="s">
        <v>13112</v>
      </c>
      <c r="AG713" s="1" t="s">
        <v>13113</v>
      </c>
      <c r="AH713" s="1" t="s">
        <v>161</v>
      </c>
      <c r="AI713" s="1" t="s">
        <v>162</v>
      </c>
      <c r="AJ713" s="1">
        <v>79</v>
      </c>
      <c r="AK713" s="1"/>
      <c r="AL713" s="1" t="s">
        <v>13114</v>
      </c>
      <c r="AM713" s="1" t="s">
        <v>13113</v>
      </c>
      <c r="AN713" s="1" t="s">
        <v>165</v>
      </c>
      <c r="AO713" s="1" t="s">
        <v>166</v>
      </c>
      <c r="AP713" s="1">
        <v>66.31</v>
      </c>
      <c r="AQ713" s="1"/>
      <c r="AR713" s="1"/>
      <c r="AS713" s="1"/>
      <c r="AT713" s="1"/>
      <c r="AU713" s="1"/>
      <c r="AV713" s="1"/>
      <c r="AW713" s="1"/>
      <c r="AX713" s="1" t="s">
        <v>13115</v>
      </c>
      <c r="AY713" s="1" t="s">
        <v>13115</v>
      </c>
      <c r="AZ713" s="1" t="s">
        <v>169</v>
      </c>
      <c r="BA713" s="1" t="s">
        <v>481</v>
      </c>
      <c r="BB713" s="1">
        <v>65.9</v>
      </c>
      <c r="BC713" s="1"/>
      <c r="BD713" s="1"/>
      <c r="BE713" s="1"/>
      <c r="BF713" s="1"/>
      <c r="BG713" s="1"/>
      <c r="BH713" s="1"/>
      <c r="BI713" s="1"/>
      <c r="BJ713" s="1" t="s">
        <v>13116</v>
      </c>
      <c r="BK713" s="1" t="s">
        <v>13117</v>
      </c>
      <c r="BL713" s="1" t="s">
        <v>1561</v>
      </c>
      <c r="BM713" s="1" t="s">
        <v>13118</v>
      </c>
      <c r="BN713" s="1">
        <v>17</v>
      </c>
      <c r="BO713" s="1" t="s">
        <v>13119</v>
      </c>
      <c r="BP713" s="1" t="str">
        <f>HYPERLINK("https://nconnect.nicmar.ac.in/storage/profile/ProfilePhoto_P25700677_147963.jpg","Download")</f>
        <v>0</v>
      </c>
      <c r="BQ713" s="3"/>
      <c r="BR713" s="3"/>
    </row>
    <row r="714" spans="1:70">
      <c r="A714" s="1" t="s">
        <v>70</v>
      </c>
      <c r="B714" s="1" t="s">
        <v>1269</v>
      </c>
      <c r="C714" s="1" t="s">
        <v>13120</v>
      </c>
      <c r="D714" s="1" t="s">
        <v>3999</v>
      </c>
      <c r="E714" s="1" t="s">
        <v>13121</v>
      </c>
      <c r="F714" s="1" t="s">
        <v>13122</v>
      </c>
      <c r="G714" s="1" t="s">
        <v>13123</v>
      </c>
      <c r="H714" s="1" t="s">
        <v>13124</v>
      </c>
      <c r="I714" s="1" t="s">
        <v>13125</v>
      </c>
      <c r="J714" s="1">
        <v>7972934945</v>
      </c>
      <c r="K714" s="1" t="s">
        <v>148</v>
      </c>
      <c r="L714" s="1" t="s">
        <v>6079</v>
      </c>
      <c r="M714" s="1" t="s">
        <v>81</v>
      </c>
      <c r="N714" s="1" t="s">
        <v>8131</v>
      </c>
      <c r="O714" s="1"/>
      <c r="P714" s="1" t="s">
        <v>1278</v>
      </c>
      <c r="Q714" s="1" t="s">
        <v>13126</v>
      </c>
      <c r="R714" s="1" t="s">
        <v>13127</v>
      </c>
      <c r="S714" s="1">
        <v>9922695213</v>
      </c>
      <c r="T714" s="1" t="s">
        <v>496</v>
      </c>
      <c r="U714" s="1" t="s">
        <v>13128</v>
      </c>
      <c r="V714" s="1">
        <v>8087196329</v>
      </c>
      <c r="W714" s="1" t="s">
        <v>122</v>
      </c>
      <c r="X714" s="1" t="s">
        <v>13129</v>
      </c>
      <c r="Y714" s="1" t="s">
        <v>328</v>
      </c>
      <c r="Z714" s="1" t="s">
        <v>92</v>
      </c>
      <c r="AA714" s="1" t="s">
        <v>13129</v>
      </c>
      <c r="AB714" s="1" t="s">
        <v>328</v>
      </c>
      <c r="AC714" s="1" t="s">
        <v>92</v>
      </c>
      <c r="AD714" s="1">
        <v>7.59</v>
      </c>
      <c r="AE714" s="1" t="s">
        <v>93</v>
      </c>
      <c r="AF714" s="1" t="s">
        <v>13130</v>
      </c>
      <c r="AG714" s="1" t="s">
        <v>13131</v>
      </c>
      <c r="AH714" s="1" t="s">
        <v>101</v>
      </c>
      <c r="AI714" s="1" t="s">
        <v>433</v>
      </c>
      <c r="AJ714" s="1">
        <v>66.2</v>
      </c>
      <c r="AK714" s="1"/>
      <c r="AL714" s="1"/>
      <c r="AM714" s="1"/>
      <c r="AN714" s="1"/>
      <c r="AO714" s="1"/>
      <c r="AP714" s="1"/>
      <c r="AQ714" s="1"/>
      <c r="AR714" s="1" t="s">
        <v>434</v>
      </c>
      <c r="AS714" s="1" t="s">
        <v>13132</v>
      </c>
      <c r="AT714" s="1" t="s">
        <v>310</v>
      </c>
      <c r="AU714" s="1" t="s">
        <v>481</v>
      </c>
      <c r="AV714" s="1">
        <v>73.79</v>
      </c>
      <c r="AW714" s="1"/>
      <c r="AX714" s="1" t="s">
        <v>361</v>
      </c>
      <c r="AY714" s="1" t="s">
        <v>13133</v>
      </c>
      <c r="AZ714" s="1" t="s">
        <v>2690</v>
      </c>
      <c r="BA714" s="1" t="s">
        <v>1714</v>
      </c>
      <c r="BB714" s="1">
        <v>66.8</v>
      </c>
      <c r="BC714" s="1">
        <v>7.43</v>
      </c>
      <c r="BD714" s="1"/>
      <c r="BE714" s="1"/>
      <c r="BF714" s="1"/>
      <c r="BG714" s="1"/>
      <c r="BH714" s="1"/>
      <c r="BI714" s="1"/>
      <c r="BJ714" s="1" t="s">
        <v>13134</v>
      </c>
      <c r="BK714" s="1"/>
      <c r="BL714" s="1"/>
      <c r="BM714" s="1" t="s">
        <v>13135</v>
      </c>
      <c r="BN714" s="1">
        <v>17</v>
      </c>
      <c r="BO714" s="1"/>
      <c r="BP714" s="1" t="str">
        <f>HYPERLINK("https://nconnect.nicmar.ac.in/storage/profile/ProfilePhoto_P25700678_436728.jpg","Download")</f>
        <v>0</v>
      </c>
      <c r="BQ714" s="3"/>
      <c r="BR714" s="3"/>
    </row>
    <row r="715" spans="1:70">
      <c r="A715" s="1" t="s">
        <v>70</v>
      </c>
      <c r="B715" s="1" t="s">
        <v>1269</v>
      </c>
      <c r="C715" s="1" t="s">
        <v>13136</v>
      </c>
      <c r="D715" s="1" t="s">
        <v>13137</v>
      </c>
      <c r="E715" s="1" t="s">
        <v>1139</v>
      </c>
      <c r="F715" s="1" t="s">
        <v>13138</v>
      </c>
      <c r="G715" s="1" t="s">
        <v>13139</v>
      </c>
      <c r="H715" s="1" t="s">
        <v>13140</v>
      </c>
      <c r="I715" s="1" t="s">
        <v>13141</v>
      </c>
      <c r="J715" s="1">
        <v>8010366158</v>
      </c>
      <c r="K715" s="1" t="s">
        <v>79</v>
      </c>
      <c r="L715" s="1" t="s">
        <v>13142</v>
      </c>
      <c r="M715" s="1" t="s">
        <v>81</v>
      </c>
      <c r="N715" s="1" t="s">
        <v>9349</v>
      </c>
      <c r="O715" s="1"/>
      <c r="P715" s="1" t="s">
        <v>1278</v>
      </c>
      <c r="Q715" s="1" t="s">
        <v>13143</v>
      </c>
      <c r="R715" s="1" t="s">
        <v>13144</v>
      </c>
      <c r="S715" s="1">
        <v>9423892974</v>
      </c>
      <c r="T715" s="1" t="s">
        <v>763</v>
      </c>
      <c r="U715" s="1" t="s">
        <v>13145</v>
      </c>
      <c r="V715" s="1">
        <v>8767840940</v>
      </c>
      <c r="W715" s="1" t="s">
        <v>156</v>
      </c>
      <c r="X715" s="1" t="s">
        <v>13146</v>
      </c>
      <c r="Y715" s="1" t="s">
        <v>191</v>
      </c>
      <c r="Z715" s="1" t="s">
        <v>92</v>
      </c>
      <c r="AA715" s="1" t="s">
        <v>13146</v>
      </c>
      <c r="AB715" s="1" t="s">
        <v>191</v>
      </c>
      <c r="AC715" s="1" t="s">
        <v>92</v>
      </c>
      <c r="AD715" s="1" t="s">
        <v>93</v>
      </c>
      <c r="AE715" s="1" t="s">
        <v>93</v>
      </c>
      <c r="AF715" s="1" t="s">
        <v>13147</v>
      </c>
      <c r="AG715" s="1" t="s">
        <v>160</v>
      </c>
      <c r="AH715" s="1" t="s">
        <v>101</v>
      </c>
      <c r="AI715" s="1" t="s">
        <v>409</v>
      </c>
      <c r="AJ715" s="1">
        <v>72</v>
      </c>
      <c r="AK715" s="1">
        <v>0</v>
      </c>
      <c r="AL715" s="1" t="s">
        <v>13148</v>
      </c>
      <c r="AM715" s="1" t="s">
        <v>160</v>
      </c>
      <c r="AN715" s="1" t="s">
        <v>699</v>
      </c>
      <c r="AO715" s="1" t="s">
        <v>504</v>
      </c>
      <c r="AP715" s="1">
        <v>80</v>
      </c>
      <c r="AQ715" s="1">
        <v>0</v>
      </c>
      <c r="AR715" s="1"/>
      <c r="AS715" s="1"/>
      <c r="AT715" s="1"/>
      <c r="AU715" s="1"/>
      <c r="AV715" s="1"/>
      <c r="AW715" s="1"/>
      <c r="AX715" s="1" t="s">
        <v>9358</v>
      </c>
      <c r="AY715" s="1" t="s">
        <v>13149</v>
      </c>
      <c r="AZ715" s="1" t="s">
        <v>506</v>
      </c>
      <c r="BA715" s="1" t="s">
        <v>1714</v>
      </c>
      <c r="BB715" s="1">
        <v>73.2</v>
      </c>
      <c r="BC715" s="1">
        <v>8.07</v>
      </c>
      <c r="BD715" s="1"/>
      <c r="BE715" s="1"/>
      <c r="BF715" s="1"/>
      <c r="BG715" s="1"/>
      <c r="BH715" s="1"/>
      <c r="BI715" s="1"/>
      <c r="BJ715" s="1" t="s">
        <v>1715</v>
      </c>
      <c r="BK715" s="1"/>
      <c r="BL715" s="1"/>
      <c r="BM715" s="1"/>
      <c r="BN715" s="1"/>
      <c r="BO715" s="1"/>
      <c r="BP715" s="1" t="str">
        <f>HYPERLINK("https://nconnect.nicmar.ac.in/storage/profile/ProfilePhoto_P25700679_568347.jpg","Download")</f>
        <v>0</v>
      </c>
      <c r="BQ715" s="3"/>
      <c r="BR715" s="3"/>
    </row>
    <row r="716" spans="1:70">
      <c r="A716" s="1" t="s">
        <v>70</v>
      </c>
      <c r="B716" s="1" t="s">
        <v>1269</v>
      </c>
      <c r="C716" s="1" t="s">
        <v>13150</v>
      </c>
      <c r="D716" s="1" t="s">
        <v>13151</v>
      </c>
      <c r="E716" s="1" t="s">
        <v>2128</v>
      </c>
      <c r="F716" s="1" t="s">
        <v>13152</v>
      </c>
      <c r="G716" s="1" t="s">
        <v>13153</v>
      </c>
      <c r="H716" s="1" t="s">
        <v>13154</v>
      </c>
      <c r="I716" s="1" t="s">
        <v>13155</v>
      </c>
      <c r="J716" s="1">
        <v>9880722771</v>
      </c>
      <c r="K716" s="1" t="s">
        <v>79</v>
      </c>
      <c r="L716" s="1" t="s">
        <v>8442</v>
      </c>
      <c r="M716" s="1" t="s">
        <v>81</v>
      </c>
      <c r="N716" s="1" t="s">
        <v>13156</v>
      </c>
      <c r="O716" s="1"/>
      <c r="P716" s="1" t="s">
        <v>1298</v>
      </c>
      <c r="Q716" s="1" t="s">
        <v>13157</v>
      </c>
      <c r="R716" s="1" t="s">
        <v>13158</v>
      </c>
      <c r="S716" s="1">
        <v>9448425872</v>
      </c>
      <c r="T716" s="1" t="s">
        <v>496</v>
      </c>
      <c r="U716" s="1" t="s">
        <v>13159</v>
      </c>
      <c r="V716" s="1">
        <v>9739377993</v>
      </c>
      <c r="W716" s="1" t="s">
        <v>273</v>
      </c>
      <c r="X716" s="1" t="s">
        <v>13160</v>
      </c>
      <c r="Y716" s="1" t="s">
        <v>3818</v>
      </c>
      <c r="Z716" s="1" t="s">
        <v>1084</v>
      </c>
      <c r="AA716" s="1" t="s">
        <v>13160</v>
      </c>
      <c r="AB716" s="1" t="s">
        <v>3818</v>
      </c>
      <c r="AC716" s="1" t="s">
        <v>1084</v>
      </c>
      <c r="AD716" s="1">
        <v>7.54</v>
      </c>
      <c r="AE716" s="1" t="s">
        <v>93</v>
      </c>
      <c r="AF716" s="1" t="s">
        <v>13161</v>
      </c>
      <c r="AG716" s="1" t="s">
        <v>13162</v>
      </c>
      <c r="AH716" s="1" t="s">
        <v>479</v>
      </c>
      <c r="AI716" s="1" t="s">
        <v>636</v>
      </c>
      <c r="AJ716" s="1">
        <v>68.16</v>
      </c>
      <c r="AK716" s="1">
        <v>7.17</v>
      </c>
      <c r="AL716" s="1"/>
      <c r="AM716" s="1"/>
      <c r="AN716" s="1"/>
      <c r="AO716" s="1"/>
      <c r="AP716" s="1"/>
      <c r="AQ716" s="1"/>
      <c r="AR716" s="1" t="s">
        <v>434</v>
      </c>
      <c r="AS716" s="1" t="s">
        <v>13163</v>
      </c>
      <c r="AT716" s="1" t="s">
        <v>308</v>
      </c>
      <c r="AU716" s="1" t="s">
        <v>1003</v>
      </c>
      <c r="AV716" s="1">
        <v>62.93</v>
      </c>
      <c r="AW716" s="1">
        <v>6.62</v>
      </c>
      <c r="AX716" s="1" t="s">
        <v>13164</v>
      </c>
      <c r="AY716" s="1" t="s">
        <v>13165</v>
      </c>
      <c r="AZ716" s="1" t="s">
        <v>2690</v>
      </c>
      <c r="BA716" s="1" t="s">
        <v>1361</v>
      </c>
      <c r="BB716" s="1">
        <v>65.7</v>
      </c>
      <c r="BC716" s="1">
        <v>7.32</v>
      </c>
      <c r="BD716" s="1"/>
      <c r="BE716" s="1"/>
      <c r="BF716" s="1"/>
      <c r="BG716" s="1"/>
      <c r="BH716" s="1"/>
      <c r="BI716" s="1"/>
      <c r="BJ716" s="1" t="s">
        <v>13166</v>
      </c>
      <c r="BK716" s="1"/>
      <c r="BL716" s="1"/>
      <c r="BM716" s="1" t="s">
        <v>13167</v>
      </c>
      <c r="BN716" s="1">
        <v>16</v>
      </c>
      <c r="BO716" s="1" t="s">
        <v>13168</v>
      </c>
      <c r="BP716" s="1" t="str">
        <f>HYPERLINK("https://nconnect.nicmar.ac.in/storage/profile/ProfilePhoto_P25700680_758621.jpg","Download")</f>
        <v>0</v>
      </c>
      <c r="BQ716" s="3"/>
      <c r="BR716" s="3"/>
    </row>
    <row r="717" spans="1:70">
      <c r="A717" s="1" t="s">
        <v>70</v>
      </c>
      <c r="B717" s="1" t="s">
        <v>1269</v>
      </c>
      <c r="C717" s="1" t="s">
        <v>13169</v>
      </c>
      <c r="D717" s="1" t="s">
        <v>1964</v>
      </c>
      <c r="E717" s="1" t="s">
        <v>13170</v>
      </c>
      <c r="F717" s="1" t="s">
        <v>13171</v>
      </c>
      <c r="G717" s="1" t="s">
        <v>13172</v>
      </c>
      <c r="H717" s="1" t="s">
        <v>13173</v>
      </c>
      <c r="I717" s="1" t="s">
        <v>13174</v>
      </c>
      <c r="J717" s="1">
        <v>9307961904</v>
      </c>
      <c r="K717" s="1" t="s">
        <v>79</v>
      </c>
      <c r="L717" s="1" t="s">
        <v>13175</v>
      </c>
      <c r="M717" s="1" t="s">
        <v>81</v>
      </c>
      <c r="N717" s="1" t="s">
        <v>1765</v>
      </c>
      <c r="O717" s="1"/>
      <c r="P717" s="1" t="s">
        <v>1278</v>
      </c>
      <c r="Q717" s="1" t="s">
        <v>13176</v>
      </c>
      <c r="R717" s="1" t="s">
        <v>13170</v>
      </c>
      <c r="S717" s="1">
        <v>9623816798</v>
      </c>
      <c r="T717" s="1" t="s">
        <v>13177</v>
      </c>
      <c r="U717" s="1" t="s">
        <v>4287</v>
      </c>
      <c r="V717" s="1">
        <v>7350062451</v>
      </c>
      <c r="W717" s="1" t="s">
        <v>156</v>
      </c>
      <c r="X717" s="1" t="s">
        <v>13178</v>
      </c>
      <c r="Y717" s="1" t="s">
        <v>191</v>
      </c>
      <c r="Z717" s="1" t="s">
        <v>92</v>
      </c>
      <c r="AA717" s="1" t="s">
        <v>13178</v>
      </c>
      <c r="AB717" s="1" t="s">
        <v>191</v>
      </c>
      <c r="AC717" s="1" t="s">
        <v>92</v>
      </c>
      <c r="AD717" s="1">
        <v>8.95</v>
      </c>
      <c r="AE717" s="1" t="s">
        <v>93</v>
      </c>
      <c r="AF717" s="1" t="s">
        <v>13179</v>
      </c>
      <c r="AG717" s="1" t="s">
        <v>8031</v>
      </c>
      <c r="AH717" s="1" t="s">
        <v>161</v>
      </c>
      <c r="AI717" s="1" t="s">
        <v>162</v>
      </c>
      <c r="AJ717" s="1">
        <v>86</v>
      </c>
      <c r="AK717" s="1"/>
      <c r="AL717" s="1"/>
      <c r="AM717" s="1"/>
      <c r="AN717" s="1"/>
      <c r="AO717" s="1"/>
      <c r="AP717" s="1"/>
      <c r="AQ717" s="1"/>
      <c r="AR717" s="1" t="s">
        <v>98</v>
      </c>
      <c r="AS717" s="1" t="s">
        <v>8521</v>
      </c>
      <c r="AT717" s="1" t="s">
        <v>733</v>
      </c>
      <c r="AU717" s="1" t="s">
        <v>308</v>
      </c>
      <c r="AV717" s="1">
        <v>84.33</v>
      </c>
      <c r="AW717" s="1"/>
      <c r="AX717" s="1" t="s">
        <v>361</v>
      </c>
      <c r="AY717" s="1" t="s">
        <v>13180</v>
      </c>
      <c r="AZ717" s="1" t="s">
        <v>433</v>
      </c>
      <c r="BA717" s="1" t="s">
        <v>284</v>
      </c>
      <c r="BB717" s="1">
        <v>83.68</v>
      </c>
      <c r="BC717" s="1">
        <v>9.51</v>
      </c>
      <c r="BD717" s="1"/>
      <c r="BE717" s="1"/>
      <c r="BF717" s="1"/>
      <c r="BG717" s="1"/>
      <c r="BH717" s="1"/>
      <c r="BI717" s="1"/>
      <c r="BJ717" s="1" t="s">
        <v>13181</v>
      </c>
      <c r="BK717" s="1"/>
      <c r="BL717" s="1"/>
      <c r="BM717" s="1" t="s">
        <v>13182</v>
      </c>
      <c r="BN717" s="1">
        <v>8</v>
      </c>
      <c r="BO717" s="1" t="s">
        <v>13183</v>
      </c>
      <c r="BP717" s="1" t="str">
        <f>HYPERLINK("https://nconnect.nicmar.ac.in/storage/profile/ProfilePhoto_P25700681_619574.jpg","Download")</f>
        <v>0</v>
      </c>
      <c r="BQ717" s="3"/>
      <c r="BR717" s="3"/>
    </row>
    <row r="718" spans="1:70">
      <c r="A718" s="1" t="s">
        <v>70</v>
      </c>
      <c r="B718" s="1" t="s">
        <v>1269</v>
      </c>
      <c r="C718" s="1" t="s">
        <v>13184</v>
      </c>
      <c r="D718" s="1" t="s">
        <v>13185</v>
      </c>
      <c r="E718" s="1" t="s">
        <v>10036</v>
      </c>
      <c r="F718" s="1" t="s">
        <v>13186</v>
      </c>
      <c r="G718" s="1" t="s">
        <v>13187</v>
      </c>
      <c r="H718" s="1" t="s">
        <v>13188</v>
      </c>
      <c r="I718" s="1" t="s">
        <v>13189</v>
      </c>
      <c r="J718" s="1">
        <v>9481655061</v>
      </c>
      <c r="K718" s="1" t="s">
        <v>79</v>
      </c>
      <c r="L718" s="1" t="s">
        <v>1531</v>
      </c>
      <c r="M718" s="1" t="s">
        <v>81</v>
      </c>
      <c r="N718" s="1" t="s">
        <v>13190</v>
      </c>
      <c r="O718" s="1"/>
      <c r="P718" s="1" t="s">
        <v>1278</v>
      </c>
      <c r="Q718" s="1" t="s">
        <v>13191</v>
      </c>
      <c r="R718" s="1" t="s">
        <v>13192</v>
      </c>
      <c r="S718" s="1">
        <v>9900028348</v>
      </c>
      <c r="T718" s="1" t="s">
        <v>496</v>
      </c>
      <c r="U718" s="1" t="s">
        <v>13193</v>
      </c>
      <c r="V718" s="1">
        <v>8105088699</v>
      </c>
      <c r="W718" s="1" t="s">
        <v>651</v>
      </c>
      <c r="X718" s="1" t="s">
        <v>13194</v>
      </c>
      <c r="Y718" s="1" t="s">
        <v>1083</v>
      </c>
      <c r="Z718" s="1" t="s">
        <v>1084</v>
      </c>
      <c r="AA718" s="1" t="s">
        <v>13194</v>
      </c>
      <c r="AB718" s="1" t="s">
        <v>1083</v>
      </c>
      <c r="AC718" s="1" t="s">
        <v>1084</v>
      </c>
      <c r="AD718" s="1">
        <v>7.9</v>
      </c>
      <c r="AE718" s="1" t="s">
        <v>93</v>
      </c>
      <c r="AF718" s="1" t="s">
        <v>13195</v>
      </c>
      <c r="AG718" s="1" t="s">
        <v>939</v>
      </c>
      <c r="AH718" s="1" t="s">
        <v>165</v>
      </c>
      <c r="AI718" s="1" t="s">
        <v>166</v>
      </c>
      <c r="AJ718" s="1">
        <v>77.2</v>
      </c>
      <c r="AK718" s="1"/>
      <c r="AL718" s="1" t="s">
        <v>13196</v>
      </c>
      <c r="AM718" s="1" t="s">
        <v>2056</v>
      </c>
      <c r="AN718" s="1" t="s">
        <v>433</v>
      </c>
      <c r="AO718" s="1" t="s">
        <v>173</v>
      </c>
      <c r="AP718" s="1">
        <v>76.3</v>
      </c>
      <c r="AQ718" s="1"/>
      <c r="AR718" s="1"/>
      <c r="AS718" s="1"/>
      <c r="AT718" s="1"/>
      <c r="AU718" s="1"/>
      <c r="AV718" s="1"/>
      <c r="AW718" s="1"/>
      <c r="AX718" s="1" t="s">
        <v>1519</v>
      </c>
      <c r="AY718" s="1" t="s">
        <v>13197</v>
      </c>
      <c r="AZ718" s="1" t="s">
        <v>228</v>
      </c>
      <c r="BA718" s="1" t="s">
        <v>1361</v>
      </c>
      <c r="BB718" s="1">
        <v>62.8</v>
      </c>
      <c r="BC718" s="1"/>
      <c r="BD718" s="1"/>
      <c r="BE718" s="1"/>
      <c r="BF718" s="1"/>
      <c r="BG718" s="1"/>
      <c r="BH718" s="1"/>
      <c r="BI718" s="1"/>
      <c r="BJ718" s="1" t="s">
        <v>13198</v>
      </c>
      <c r="BK718" s="1"/>
      <c r="BL718" s="1"/>
      <c r="BM718" s="1" t="s">
        <v>13199</v>
      </c>
      <c r="BN718" s="1">
        <v>23</v>
      </c>
      <c r="BO718" s="1"/>
      <c r="BP718" s="1" t="str">
        <f>HYPERLINK("https://nconnect.nicmar.ac.in/storage/profile/ProfilePhoto_P25700682_615498.jpg","Download")</f>
        <v>0</v>
      </c>
      <c r="BQ718" s="3"/>
      <c r="BR718" s="3"/>
    </row>
    <row r="719" spans="1:70">
      <c r="A719" s="1" t="s">
        <v>70</v>
      </c>
      <c r="B719" s="1" t="s">
        <v>1269</v>
      </c>
      <c r="C719" s="1" t="s">
        <v>13200</v>
      </c>
      <c r="D719" s="1" t="s">
        <v>13201</v>
      </c>
      <c r="E719" s="1" t="s">
        <v>3224</v>
      </c>
      <c r="F719" s="1" t="s">
        <v>2024</v>
      </c>
      <c r="G719" s="1" t="s">
        <v>13202</v>
      </c>
      <c r="H719" s="1" t="s">
        <v>13203</v>
      </c>
      <c r="I719" s="1" t="s">
        <v>13204</v>
      </c>
      <c r="J719" s="1">
        <v>8551899733</v>
      </c>
      <c r="K719" s="1" t="s">
        <v>79</v>
      </c>
      <c r="L719" s="1" t="s">
        <v>4225</v>
      </c>
      <c r="M719" s="1" t="s">
        <v>81</v>
      </c>
      <c r="N719" s="1" t="s">
        <v>12662</v>
      </c>
      <c r="O719" s="1"/>
      <c r="P719" s="1" t="s">
        <v>1298</v>
      </c>
      <c r="Q719" s="1" t="s">
        <v>13205</v>
      </c>
      <c r="R719" s="1" t="s">
        <v>13206</v>
      </c>
      <c r="S719" s="1">
        <v>7972740452</v>
      </c>
      <c r="T719" s="1" t="s">
        <v>154</v>
      </c>
      <c r="U719" s="1" t="s">
        <v>13207</v>
      </c>
      <c r="V719" s="1">
        <v>9049482678</v>
      </c>
      <c r="W719" s="1" t="s">
        <v>156</v>
      </c>
      <c r="X719" s="1" t="s">
        <v>13208</v>
      </c>
      <c r="Y719" s="1" t="s">
        <v>304</v>
      </c>
      <c r="Z719" s="1" t="s">
        <v>92</v>
      </c>
      <c r="AA719" s="1" t="s">
        <v>13209</v>
      </c>
      <c r="AB719" s="1" t="s">
        <v>304</v>
      </c>
      <c r="AC719" s="1" t="s">
        <v>92</v>
      </c>
      <c r="AD719" s="1">
        <v>7.89</v>
      </c>
      <c r="AE719" s="1" t="s">
        <v>93</v>
      </c>
      <c r="AF719" s="1" t="s">
        <v>13210</v>
      </c>
      <c r="AG719" s="1" t="s">
        <v>160</v>
      </c>
      <c r="AH719" s="1" t="s">
        <v>161</v>
      </c>
      <c r="AI719" s="1" t="s">
        <v>162</v>
      </c>
      <c r="AJ719" s="1">
        <v>77</v>
      </c>
      <c r="AK719" s="1">
        <v>0</v>
      </c>
      <c r="AL719" s="1"/>
      <c r="AM719" s="1"/>
      <c r="AN719" s="1"/>
      <c r="AO719" s="1"/>
      <c r="AP719" s="1"/>
      <c r="AQ719" s="1"/>
      <c r="AR719" s="1" t="s">
        <v>434</v>
      </c>
      <c r="AS719" s="1" t="s">
        <v>13211</v>
      </c>
      <c r="AT719" s="1" t="s">
        <v>134</v>
      </c>
      <c r="AU719" s="1" t="s">
        <v>433</v>
      </c>
      <c r="AV719" s="1">
        <v>69.52</v>
      </c>
      <c r="AW719" s="1"/>
      <c r="AX719" s="1" t="s">
        <v>13212</v>
      </c>
      <c r="AY719" s="1" t="s">
        <v>13211</v>
      </c>
      <c r="AZ719" s="1" t="s">
        <v>201</v>
      </c>
      <c r="BA719" s="1" t="s">
        <v>105</v>
      </c>
      <c r="BB719" s="1">
        <v>75.56</v>
      </c>
      <c r="BC719" s="1">
        <v>8.2</v>
      </c>
      <c r="BD719" s="1"/>
      <c r="BE719" s="1"/>
      <c r="BF719" s="1"/>
      <c r="BG719" s="1"/>
      <c r="BH719" s="1"/>
      <c r="BI719" s="1"/>
      <c r="BJ719" s="1" t="s">
        <v>13213</v>
      </c>
      <c r="BK719" s="1" t="s">
        <v>13214</v>
      </c>
      <c r="BL719" s="1" t="s">
        <v>639</v>
      </c>
      <c r="BM719" s="1" t="s">
        <v>13215</v>
      </c>
      <c r="BN719" s="1">
        <v>21</v>
      </c>
      <c r="BO719" s="1" t="s">
        <v>13216</v>
      </c>
      <c r="BP719" s="1" t="str">
        <f>HYPERLINK("https://nconnect.nicmar.ac.in/storage/profile/ProfilePhoto_P25700683_957612.jpg","Download")</f>
        <v>0</v>
      </c>
      <c r="BQ719" s="3"/>
      <c r="BR719" s="3"/>
    </row>
    <row r="720" spans="1:70">
      <c r="A720" s="1" t="s">
        <v>70</v>
      </c>
      <c r="B720" s="1" t="s">
        <v>1269</v>
      </c>
      <c r="C720" s="1" t="s">
        <v>13217</v>
      </c>
      <c r="D720" s="1" t="s">
        <v>13218</v>
      </c>
      <c r="E720" s="1" t="s">
        <v>1680</v>
      </c>
      <c r="F720" s="1" t="s">
        <v>13219</v>
      </c>
      <c r="G720" s="1" t="s">
        <v>13220</v>
      </c>
      <c r="H720" s="1" t="s">
        <v>13221</v>
      </c>
      <c r="I720" s="1" t="s">
        <v>13222</v>
      </c>
      <c r="J720" s="1">
        <v>6238276637</v>
      </c>
      <c r="K720" s="1" t="s">
        <v>79</v>
      </c>
      <c r="L720" s="1" t="s">
        <v>13223</v>
      </c>
      <c r="M720" s="1" t="s">
        <v>81</v>
      </c>
      <c r="N720" s="1" t="s">
        <v>13224</v>
      </c>
      <c r="O720" s="1"/>
      <c r="P720" s="1" t="s">
        <v>1298</v>
      </c>
      <c r="Q720" s="1" t="s">
        <v>13225</v>
      </c>
      <c r="R720" s="1" t="s">
        <v>13226</v>
      </c>
      <c r="S720" s="1">
        <v>9447988464</v>
      </c>
      <c r="T720" s="1" t="s">
        <v>13227</v>
      </c>
      <c r="U720" s="1" t="s">
        <v>13228</v>
      </c>
      <c r="V720" s="1">
        <v>9744754425</v>
      </c>
      <c r="W720" s="1" t="s">
        <v>13229</v>
      </c>
      <c r="X720" s="1" t="s">
        <v>13230</v>
      </c>
      <c r="Y720" s="1" t="s">
        <v>1491</v>
      </c>
      <c r="Z720" s="1" t="s">
        <v>125</v>
      </c>
      <c r="AA720" s="1" t="s">
        <v>13230</v>
      </c>
      <c r="AB720" s="1" t="s">
        <v>1491</v>
      </c>
      <c r="AC720" s="1" t="s">
        <v>125</v>
      </c>
      <c r="AD720" s="1">
        <v>8.68</v>
      </c>
      <c r="AE720" s="1" t="s">
        <v>93</v>
      </c>
      <c r="AF720" s="1" t="s">
        <v>13231</v>
      </c>
      <c r="AG720" s="1" t="s">
        <v>3953</v>
      </c>
      <c r="AH720" s="1" t="s">
        <v>161</v>
      </c>
      <c r="AI720" s="1" t="s">
        <v>527</v>
      </c>
      <c r="AJ720" s="1">
        <v>89.3</v>
      </c>
      <c r="AK720" s="1"/>
      <c r="AL720" s="1" t="s">
        <v>13232</v>
      </c>
      <c r="AM720" s="1" t="s">
        <v>3953</v>
      </c>
      <c r="AN720" s="1" t="s">
        <v>165</v>
      </c>
      <c r="AO720" s="1" t="s">
        <v>166</v>
      </c>
      <c r="AP720" s="1">
        <v>76.8</v>
      </c>
      <c r="AQ720" s="1"/>
      <c r="AR720" s="1"/>
      <c r="AS720" s="1"/>
      <c r="AT720" s="1"/>
      <c r="AU720" s="1"/>
      <c r="AV720" s="1"/>
      <c r="AW720" s="1"/>
      <c r="AX720" s="1" t="s">
        <v>132</v>
      </c>
      <c r="AY720" s="1" t="s">
        <v>13233</v>
      </c>
      <c r="AZ720" s="1" t="s">
        <v>636</v>
      </c>
      <c r="BA720" s="1" t="s">
        <v>2690</v>
      </c>
      <c r="BB720" s="1">
        <v>73</v>
      </c>
      <c r="BC720" s="1">
        <v>7.3</v>
      </c>
      <c r="BD720" s="1"/>
      <c r="BE720" s="1"/>
      <c r="BF720" s="1"/>
      <c r="BG720" s="1"/>
      <c r="BH720" s="1"/>
      <c r="BI720" s="1"/>
      <c r="BJ720" s="1" t="s">
        <v>13234</v>
      </c>
      <c r="BK720" s="1" t="s">
        <v>13235</v>
      </c>
      <c r="BL720" s="1" t="s">
        <v>8309</v>
      </c>
      <c r="BM720" s="1"/>
      <c r="BN720" s="1"/>
      <c r="BO720" s="1" t="s">
        <v>13236</v>
      </c>
      <c r="BP720" s="1" t="str">
        <f>HYPERLINK("https://nconnect.nicmar.ac.in/storage/profile/ProfilePhoto_P25700684_186534.jpg","Download")</f>
        <v>0</v>
      </c>
      <c r="BQ720" s="3"/>
      <c r="BR720" s="3"/>
    </row>
    <row r="721" spans="1:70">
      <c r="A721" s="1" t="s">
        <v>70</v>
      </c>
      <c r="B721" s="1" t="s">
        <v>1269</v>
      </c>
      <c r="C721" s="1" t="s">
        <v>13237</v>
      </c>
      <c r="D721" s="1" t="s">
        <v>13238</v>
      </c>
      <c r="E721" s="1" t="s">
        <v>2577</v>
      </c>
      <c r="F721" s="1" t="s">
        <v>2024</v>
      </c>
      <c r="G721" s="1" t="s">
        <v>13239</v>
      </c>
      <c r="H721" s="1" t="s">
        <v>13240</v>
      </c>
      <c r="I721" s="1" t="s">
        <v>13241</v>
      </c>
      <c r="J721" s="1">
        <v>8767503950</v>
      </c>
      <c r="K721" s="1" t="s">
        <v>148</v>
      </c>
      <c r="L721" s="1" t="s">
        <v>13242</v>
      </c>
      <c r="M721" s="1" t="s">
        <v>81</v>
      </c>
      <c r="N721" s="1" t="s">
        <v>860</v>
      </c>
      <c r="O721" s="1"/>
      <c r="P721" s="1" t="s">
        <v>1298</v>
      </c>
      <c r="Q721" s="1" t="s">
        <v>13243</v>
      </c>
      <c r="R721" s="1" t="s">
        <v>2577</v>
      </c>
      <c r="S721" s="1">
        <v>9552221322</v>
      </c>
      <c r="T721" s="1" t="s">
        <v>496</v>
      </c>
      <c r="U721" s="1" t="s">
        <v>6618</v>
      </c>
      <c r="V721" s="1">
        <v>9850372400</v>
      </c>
      <c r="W721" s="1" t="s">
        <v>156</v>
      </c>
      <c r="X721" s="1" t="s">
        <v>13244</v>
      </c>
      <c r="Y721" s="1" t="s">
        <v>6375</v>
      </c>
      <c r="Z721" s="1" t="s">
        <v>92</v>
      </c>
      <c r="AA721" s="1" t="s">
        <v>13244</v>
      </c>
      <c r="AB721" s="1" t="s">
        <v>6375</v>
      </c>
      <c r="AC721" s="1" t="s">
        <v>92</v>
      </c>
      <c r="AD721" s="1">
        <v>9.29</v>
      </c>
      <c r="AE721" s="1" t="s">
        <v>93</v>
      </c>
      <c r="AF721" s="1" t="s">
        <v>13245</v>
      </c>
      <c r="AG721" s="1" t="s">
        <v>13246</v>
      </c>
      <c r="AH721" s="1" t="s">
        <v>281</v>
      </c>
      <c r="AI721" s="1" t="s">
        <v>409</v>
      </c>
      <c r="AJ721" s="1">
        <v>90</v>
      </c>
      <c r="AK721" s="1"/>
      <c r="AL721" s="1" t="s">
        <v>13247</v>
      </c>
      <c r="AM721" s="1" t="s">
        <v>9483</v>
      </c>
      <c r="AN721" s="1" t="s">
        <v>409</v>
      </c>
      <c r="AO721" s="1" t="s">
        <v>504</v>
      </c>
      <c r="AP721" s="1">
        <v>90</v>
      </c>
      <c r="AQ721" s="1"/>
      <c r="AR721" s="1"/>
      <c r="AS721" s="1"/>
      <c r="AT721" s="1"/>
      <c r="AU721" s="1"/>
      <c r="AV721" s="1"/>
      <c r="AW721" s="1"/>
      <c r="AX721" s="1" t="s">
        <v>102</v>
      </c>
      <c r="AY721" s="1" t="s">
        <v>13248</v>
      </c>
      <c r="AZ721" s="1" t="s">
        <v>897</v>
      </c>
      <c r="BA721" s="1" t="s">
        <v>1584</v>
      </c>
      <c r="BB721" s="1">
        <v>82.5</v>
      </c>
      <c r="BC721" s="1">
        <v>8.75</v>
      </c>
      <c r="BD721" s="1"/>
      <c r="BE721" s="1"/>
      <c r="BF721" s="1"/>
      <c r="BG721" s="1"/>
      <c r="BH721" s="1"/>
      <c r="BI721" s="1"/>
      <c r="BJ721" s="1" t="s">
        <v>13249</v>
      </c>
      <c r="BK721" s="1"/>
      <c r="BL721" s="1"/>
      <c r="BM721" s="1" t="s">
        <v>13250</v>
      </c>
      <c r="BN721" s="1">
        <v>21</v>
      </c>
      <c r="BO721" s="1" t="s">
        <v>13251</v>
      </c>
      <c r="BP721" s="1" t="str">
        <f>HYPERLINK("https://nconnect.nicmar.ac.in/storage/profile/ProfilePhoto_P25700685_324561.jpg","Download")</f>
        <v>0</v>
      </c>
      <c r="BQ721" s="3"/>
      <c r="BR721" s="3"/>
    </row>
    <row r="722" spans="1:70">
      <c r="A722" s="1" t="s">
        <v>70</v>
      </c>
      <c r="B722" s="1" t="s">
        <v>1269</v>
      </c>
      <c r="C722" s="1" t="s">
        <v>13252</v>
      </c>
      <c r="D722" s="1" t="s">
        <v>13253</v>
      </c>
      <c r="E722" s="1" t="s">
        <v>5092</v>
      </c>
      <c r="F722" s="1" t="s">
        <v>13254</v>
      </c>
      <c r="G722" s="1" t="s">
        <v>13255</v>
      </c>
      <c r="H722" s="1" t="s">
        <v>13256</v>
      </c>
      <c r="I722" s="1" t="s">
        <v>13257</v>
      </c>
      <c r="J722" s="1">
        <v>8237958132</v>
      </c>
      <c r="K722" s="1" t="s">
        <v>79</v>
      </c>
      <c r="L722" s="1" t="s">
        <v>13258</v>
      </c>
      <c r="M722" s="1" t="s">
        <v>81</v>
      </c>
      <c r="N722" s="1" t="s">
        <v>3229</v>
      </c>
      <c r="O722" s="1"/>
      <c r="P722" s="1" t="s">
        <v>1298</v>
      </c>
      <c r="Q722" s="1" t="s">
        <v>13259</v>
      </c>
      <c r="R722" s="1" t="s">
        <v>13260</v>
      </c>
      <c r="S722" s="1">
        <v>9320612182</v>
      </c>
      <c r="T722" s="1" t="s">
        <v>216</v>
      </c>
      <c r="U722" s="1" t="s">
        <v>13261</v>
      </c>
      <c r="V722" s="1">
        <v>8237445401</v>
      </c>
      <c r="W722" s="1" t="s">
        <v>216</v>
      </c>
      <c r="X722" s="1" t="s">
        <v>13262</v>
      </c>
      <c r="Y722" s="1" t="s">
        <v>766</v>
      </c>
      <c r="Z722" s="1" t="s">
        <v>92</v>
      </c>
      <c r="AA722" s="1" t="s">
        <v>13262</v>
      </c>
      <c r="AB722" s="1" t="s">
        <v>766</v>
      </c>
      <c r="AC722" s="1" t="s">
        <v>92</v>
      </c>
      <c r="AD722" s="1">
        <v>8.59</v>
      </c>
      <c r="AE722" s="1" t="s">
        <v>93</v>
      </c>
      <c r="AF722" s="1" t="s">
        <v>13263</v>
      </c>
      <c r="AG722" s="1" t="s">
        <v>160</v>
      </c>
      <c r="AH722" s="1" t="s">
        <v>96</v>
      </c>
      <c r="AI722" s="1" t="s">
        <v>131</v>
      </c>
      <c r="AJ722" s="1">
        <v>84.2</v>
      </c>
      <c r="AK722" s="1">
        <v>0</v>
      </c>
      <c r="AL722" s="1" t="s">
        <v>13264</v>
      </c>
      <c r="AM722" s="1" t="s">
        <v>160</v>
      </c>
      <c r="AN722" s="1" t="s">
        <v>279</v>
      </c>
      <c r="AO722" s="1" t="s">
        <v>165</v>
      </c>
      <c r="AP722" s="1">
        <v>62.15</v>
      </c>
      <c r="AQ722" s="1">
        <v>0</v>
      </c>
      <c r="AR722" s="1"/>
      <c r="AS722" s="1"/>
      <c r="AT722" s="1"/>
      <c r="AU722" s="1"/>
      <c r="AV722" s="1"/>
      <c r="AW722" s="1"/>
      <c r="AX722" s="1" t="s">
        <v>253</v>
      </c>
      <c r="AY722" s="1" t="s">
        <v>13265</v>
      </c>
      <c r="AZ722" s="1" t="s">
        <v>383</v>
      </c>
      <c r="BA722" s="1" t="s">
        <v>105</v>
      </c>
      <c r="BB722" s="1">
        <v>64.2</v>
      </c>
      <c r="BC722" s="1">
        <v>7.09</v>
      </c>
      <c r="BD722" s="1"/>
      <c r="BE722" s="1"/>
      <c r="BF722" s="1"/>
      <c r="BG722" s="1"/>
      <c r="BH722" s="1"/>
      <c r="BI722" s="1"/>
      <c r="BJ722" s="1" t="s">
        <v>255</v>
      </c>
      <c r="BK722" s="1" t="s">
        <v>13266</v>
      </c>
      <c r="BL722" s="1" t="s">
        <v>1543</v>
      </c>
      <c r="BM722" s="1" t="s">
        <v>13267</v>
      </c>
      <c r="BN722" s="1">
        <v>8</v>
      </c>
      <c r="BO722" s="1"/>
      <c r="BP722" s="1" t="str">
        <f>HYPERLINK("https://nconnect.nicmar.ac.in/storage/profile/ProfilePhoto_P25700686_647582.jpg","Download")</f>
        <v>0</v>
      </c>
      <c r="BQ722" s="3"/>
      <c r="BR722" s="3"/>
    </row>
    <row r="723" spans="1:70">
      <c r="A723" s="1" t="s">
        <v>70</v>
      </c>
      <c r="B723" s="1" t="s">
        <v>1269</v>
      </c>
      <c r="C723" s="1" t="s">
        <v>13268</v>
      </c>
      <c r="D723" s="1" t="s">
        <v>234</v>
      </c>
      <c r="E723" s="1" t="s">
        <v>13269</v>
      </c>
      <c r="F723" s="1" t="s">
        <v>13270</v>
      </c>
      <c r="G723" s="1" t="s">
        <v>13271</v>
      </c>
      <c r="H723" s="1" t="s">
        <v>13272</v>
      </c>
      <c r="I723" s="1" t="s">
        <v>13273</v>
      </c>
      <c r="J723" s="1">
        <v>7218418264</v>
      </c>
      <c r="K723" s="1" t="s">
        <v>79</v>
      </c>
      <c r="L723" s="1" t="s">
        <v>13274</v>
      </c>
      <c r="M723" s="1" t="s">
        <v>81</v>
      </c>
      <c r="N723" s="1" t="s">
        <v>1765</v>
      </c>
      <c r="O723" s="1"/>
      <c r="P723" s="1" t="s">
        <v>1298</v>
      </c>
      <c r="Q723" s="1" t="s">
        <v>13275</v>
      </c>
      <c r="R723" s="1" t="s">
        <v>13276</v>
      </c>
      <c r="S723" s="1">
        <v>9503011061</v>
      </c>
      <c r="T723" s="1" t="s">
        <v>13277</v>
      </c>
      <c r="U723" s="1" t="s">
        <v>13278</v>
      </c>
      <c r="V723" s="1">
        <v>8390005616</v>
      </c>
      <c r="W723" s="1" t="s">
        <v>156</v>
      </c>
      <c r="X723" s="1" t="s">
        <v>13279</v>
      </c>
      <c r="Y723" s="1" t="s">
        <v>246</v>
      </c>
      <c r="Z723" s="1" t="s">
        <v>92</v>
      </c>
      <c r="AA723" s="1" t="s">
        <v>13279</v>
      </c>
      <c r="AB723" s="1" t="s">
        <v>246</v>
      </c>
      <c r="AC723" s="1" t="s">
        <v>92</v>
      </c>
      <c r="AD723" s="1" t="s">
        <v>93</v>
      </c>
      <c r="AE723" s="1" t="s">
        <v>93</v>
      </c>
      <c r="AF723" s="1" t="s">
        <v>13280</v>
      </c>
      <c r="AG723" s="1" t="s">
        <v>13281</v>
      </c>
      <c r="AH723" s="1" t="s">
        <v>998</v>
      </c>
      <c r="AI723" s="1" t="s">
        <v>999</v>
      </c>
      <c r="AJ723" s="1">
        <v>67.8</v>
      </c>
      <c r="AK723" s="1"/>
      <c r="AL723" s="1" t="s">
        <v>13282</v>
      </c>
      <c r="AM723" s="1" t="s">
        <v>13281</v>
      </c>
      <c r="AN723" s="1" t="s">
        <v>161</v>
      </c>
      <c r="AO723" s="1" t="s">
        <v>1001</v>
      </c>
      <c r="AP723" s="1">
        <v>60</v>
      </c>
      <c r="AQ723" s="1">
        <v>0</v>
      </c>
      <c r="AR723" s="1"/>
      <c r="AS723" s="1"/>
      <c r="AT723" s="1"/>
      <c r="AU723" s="1"/>
      <c r="AV723" s="1"/>
      <c r="AW723" s="1"/>
      <c r="AX723" s="1" t="s">
        <v>361</v>
      </c>
      <c r="AY723" s="1" t="s">
        <v>13283</v>
      </c>
      <c r="AZ723" s="1" t="s">
        <v>134</v>
      </c>
      <c r="BA723" s="1" t="s">
        <v>506</v>
      </c>
      <c r="BB723" s="1">
        <v>61.94</v>
      </c>
      <c r="BC723" s="1">
        <v>6.96</v>
      </c>
      <c r="BD723" s="1"/>
      <c r="BE723" s="1"/>
      <c r="BF723" s="1"/>
      <c r="BG723" s="1"/>
      <c r="BH723" s="1"/>
      <c r="BI723" s="1"/>
      <c r="BJ723" s="1" t="s">
        <v>8002</v>
      </c>
      <c r="BK723" s="1"/>
      <c r="BL723" s="1"/>
      <c r="BM723" s="1" t="s">
        <v>13284</v>
      </c>
      <c r="BN723" s="1">
        <v>112</v>
      </c>
      <c r="BO723" s="1"/>
      <c r="BP723" s="1" t="str">
        <f>HYPERLINK("https://nconnect.nicmar.ac.in/storage/profile/ProfilePhoto_P25700687_475918.jpg","Download")</f>
        <v>0</v>
      </c>
      <c r="BQ723" s="3"/>
      <c r="BR723" s="3"/>
    </row>
    <row r="724" spans="1:70">
      <c r="A724" s="1" t="s">
        <v>70</v>
      </c>
      <c r="B724" s="1" t="s">
        <v>1269</v>
      </c>
      <c r="C724" s="1" t="s">
        <v>13285</v>
      </c>
      <c r="D724" s="1" t="s">
        <v>2892</v>
      </c>
      <c r="E724" s="1" t="s">
        <v>4124</v>
      </c>
      <c r="F724" s="1" t="s">
        <v>13270</v>
      </c>
      <c r="G724" s="1" t="s">
        <v>13286</v>
      </c>
      <c r="H724" s="1" t="s">
        <v>13287</v>
      </c>
      <c r="I724" s="1" t="s">
        <v>13288</v>
      </c>
      <c r="J724" s="1">
        <v>9923888100</v>
      </c>
      <c r="K724" s="1" t="s">
        <v>79</v>
      </c>
      <c r="L724" s="1" t="s">
        <v>10387</v>
      </c>
      <c r="M724" s="1" t="s">
        <v>81</v>
      </c>
      <c r="N724" s="1" t="s">
        <v>2008</v>
      </c>
      <c r="O724" s="1"/>
      <c r="P724" s="1" t="s">
        <v>1766</v>
      </c>
      <c r="Q724" s="1" t="s">
        <v>13289</v>
      </c>
      <c r="R724" s="1" t="s">
        <v>4124</v>
      </c>
      <c r="S724" s="1">
        <v>9923365555</v>
      </c>
      <c r="T724" s="1" t="s">
        <v>763</v>
      </c>
      <c r="U724" s="1" t="s">
        <v>693</v>
      </c>
      <c r="V724" s="1">
        <v>8208881510</v>
      </c>
      <c r="W724" s="1" t="s">
        <v>716</v>
      </c>
      <c r="X724" s="1" t="s">
        <v>13290</v>
      </c>
      <c r="Y724" s="1" t="s">
        <v>91</v>
      </c>
      <c r="Z724" s="1" t="s">
        <v>92</v>
      </c>
      <c r="AA724" s="1" t="s">
        <v>13290</v>
      </c>
      <c r="AB724" s="1" t="s">
        <v>91</v>
      </c>
      <c r="AC724" s="1" t="s">
        <v>92</v>
      </c>
      <c r="AD724" s="1">
        <v>7.62</v>
      </c>
      <c r="AE724" s="1" t="s">
        <v>93</v>
      </c>
      <c r="AF724" s="1" t="s">
        <v>13291</v>
      </c>
      <c r="AG724" s="1" t="s">
        <v>160</v>
      </c>
      <c r="AH724" s="1" t="s">
        <v>96</v>
      </c>
      <c r="AI724" s="1" t="s">
        <v>97</v>
      </c>
      <c r="AJ724" s="1">
        <v>80.2</v>
      </c>
      <c r="AK724" s="1"/>
      <c r="AL724" s="1" t="s">
        <v>13292</v>
      </c>
      <c r="AM724" s="1" t="s">
        <v>160</v>
      </c>
      <c r="AN724" s="1" t="s">
        <v>162</v>
      </c>
      <c r="AO724" s="1" t="s">
        <v>1332</v>
      </c>
      <c r="AP724" s="1">
        <v>61.54</v>
      </c>
      <c r="AQ724" s="1"/>
      <c r="AR724" s="1"/>
      <c r="AS724" s="1"/>
      <c r="AT724" s="1"/>
      <c r="AU724" s="1"/>
      <c r="AV724" s="1"/>
      <c r="AW724" s="1"/>
      <c r="AX724" s="1" t="s">
        <v>361</v>
      </c>
      <c r="AY724" s="1" t="s">
        <v>5466</v>
      </c>
      <c r="AZ724" s="1" t="s">
        <v>2906</v>
      </c>
      <c r="BA724" s="1" t="s">
        <v>575</v>
      </c>
      <c r="BB724" s="1">
        <v>72.18</v>
      </c>
      <c r="BC724" s="1">
        <v>8.11</v>
      </c>
      <c r="BD724" s="1"/>
      <c r="BE724" s="1"/>
      <c r="BF724" s="1"/>
      <c r="BG724" s="1"/>
      <c r="BH724" s="1"/>
      <c r="BI724" s="1"/>
      <c r="BJ724" s="1" t="s">
        <v>8572</v>
      </c>
      <c r="BK724" s="1"/>
      <c r="BL724" s="1"/>
      <c r="BM724" s="1" t="s">
        <v>13293</v>
      </c>
      <c r="BN724" s="1">
        <v>38</v>
      </c>
      <c r="BO724" s="1"/>
      <c r="BP724" s="1" t="str">
        <f>HYPERLINK("https://nconnect.nicmar.ac.in/storage/profile/ProfilePhoto_P25700688_241639.jpg","Download")</f>
        <v>0</v>
      </c>
      <c r="BQ724" s="3"/>
      <c r="BR724" s="3"/>
    </row>
    <row r="725" spans="1:70">
      <c r="A725" s="1" t="s">
        <v>70</v>
      </c>
      <c r="B725" s="1" t="s">
        <v>1269</v>
      </c>
      <c r="C725" s="1" t="s">
        <v>13294</v>
      </c>
      <c r="D725" s="1" t="s">
        <v>13295</v>
      </c>
      <c r="E725" s="1" t="s">
        <v>756</v>
      </c>
      <c r="F725" s="1" t="s">
        <v>13296</v>
      </c>
      <c r="G725" s="1" t="s">
        <v>13297</v>
      </c>
      <c r="H725" s="1" t="s">
        <v>13298</v>
      </c>
      <c r="I725" s="1" t="s">
        <v>13299</v>
      </c>
      <c r="J725" s="1">
        <v>9356160041</v>
      </c>
      <c r="K725" s="1" t="s">
        <v>79</v>
      </c>
      <c r="L725" s="1" t="s">
        <v>11739</v>
      </c>
      <c r="M725" s="1" t="s">
        <v>81</v>
      </c>
      <c r="N725" s="1" t="s">
        <v>860</v>
      </c>
      <c r="O725" s="1"/>
      <c r="P725" s="1" t="s">
        <v>1766</v>
      </c>
      <c r="Q725" s="1" t="s">
        <v>13300</v>
      </c>
      <c r="R725" s="1" t="s">
        <v>13301</v>
      </c>
      <c r="S725" s="1">
        <v>8459435855</v>
      </c>
      <c r="T725" s="1" t="s">
        <v>154</v>
      </c>
      <c r="U725" s="1" t="s">
        <v>693</v>
      </c>
      <c r="V725" s="1">
        <v>7620148479</v>
      </c>
      <c r="W725" s="1" t="s">
        <v>156</v>
      </c>
      <c r="X725" s="1" t="s">
        <v>13302</v>
      </c>
      <c r="Y725" s="1" t="s">
        <v>2786</v>
      </c>
      <c r="Z725" s="1" t="s">
        <v>92</v>
      </c>
      <c r="AA725" s="1" t="s">
        <v>13302</v>
      </c>
      <c r="AB725" s="1" t="s">
        <v>2786</v>
      </c>
      <c r="AC725" s="1" t="s">
        <v>92</v>
      </c>
      <c r="AD725" s="1">
        <v>7.36</v>
      </c>
      <c r="AE725" s="1" t="s">
        <v>93</v>
      </c>
      <c r="AF725" s="1" t="s">
        <v>13303</v>
      </c>
      <c r="AG725" s="1" t="s">
        <v>160</v>
      </c>
      <c r="AH725" s="1" t="s">
        <v>165</v>
      </c>
      <c r="AI725" s="1" t="s">
        <v>281</v>
      </c>
      <c r="AJ725" s="1">
        <v>81</v>
      </c>
      <c r="AK725" s="1"/>
      <c r="AL725" s="1"/>
      <c r="AM725" s="1"/>
      <c r="AN725" s="1"/>
      <c r="AO725" s="1"/>
      <c r="AP725" s="1"/>
      <c r="AQ725" s="1"/>
      <c r="AR725" s="1" t="s">
        <v>434</v>
      </c>
      <c r="AS725" s="1" t="s">
        <v>13304</v>
      </c>
      <c r="AT725" s="1" t="s">
        <v>636</v>
      </c>
      <c r="AU725" s="1" t="s">
        <v>481</v>
      </c>
      <c r="AV725" s="1">
        <v>78.32</v>
      </c>
      <c r="AW725" s="1"/>
      <c r="AX725" s="1" t="s">
        <v>2688</v>
      </c>
      <c r="AY725" s="1" t="s">
        <v>13305</v>
      </c>
      <c r="AZ725" s="1" t="s">
        <v>2690</v>
      </c>
      <c r="BA725" s="1" t="s">
        <v>1714</v>
      </c>
      <c r="BB725" s="1">
        <v>62.8</v>
      </c>
      <c r="BC725" s="1"/>
      <c r="BD725" s="1"/>
      <c r="BE725" s="1"/>
      <c r="BF725" s="1"/>
      <c r="BG725" s="1"/>
      <c r="BH725" s="1"/>
      <c r="BI725" s="1"/>
      <c r="BJ725" s="1" t="s">
        <v>13306</v>
      </c>
      <c r="BK725" s="1"/>
      <c r="BL725" s="1"/>
      <c r="BM725" s="1" t="s">
        <v>13307</v>
      </c>
      <c r="BN725" s="1">
        <v>12</v>
      </c>
      <c r="BO725" s="1" t="s">
        <v>13308</v>
      </c>
      <c r="BP725" s="1" t="str">
        <f>HYPERLINK("https://nconnect.nicmar.ac.in/storage/profile/ProfilePhoto_P25700689_513962.jpg","Download")</f>
        <v>0</v>
      </c>
      <c r="BQ725" s="3"/>
      <c r="BR725" s="3"/>
    </row>
    <row r="726" spans="1:70">
      <c r="A726" s="1" t="s">
        <v>70</v>
      </c>
      <c r="B726" s="1" t="s">
        <v>1269</v>
      </c>
      <c r="C726" s="1" t="s">
        <v>13309</v>
      </c>
      <c r="D726" s="1" t="s">
        <v>13310</v>
      </c>
      <c r="E726" s="1" t="s">
        <v>13311</v>
      </c>
      <c r="F726" s="1" t="s">
        <v>13312</v>
      </c>
      <c r="G726" s="1" t="s">
        <v>13313</v>
      </c>
      <c r="H726" s="1" t="s">
        <v>13314</v>
      </c>
      <c r="I726" s="1" t="s">
        <v>13315</v>
      </c>
      <c r="J726" s="1">
        <v>8999040700</v>
      </c>
      <c r="K726" s="1" t="s">
        <v>79</v>
      </c>
      <c r="L726" s="1" t="s">
        <v>13316</v>
      </c>
      <c r="M726" s="1" t="s">
        <v>81</v>
      </c>
      <c r="N726" s="1" t="s">
        <v>3229</v>
      </c>
      <c r="O726" s="1"/>
      <c r="P726" s="1" t="s">
        <v>1323</v>
      </c>
      <c r="Q726" s="1" t="s">
        <v>13317</v>
      </c>
      <c r="R726" s="1" t="s">
        <v>13311</v>
      </c>
      <c r="S726" s="1">
        <v>9767192552</v>
      </c>
      <c r="T726" s="1" t="s">
        <v>13318</v>
      </c>
      <c r="U726" s="1" t="s">
        <v>13319</v>
      </c>
      <c r="V726" s="1">
        <v>7498328887</v>
      </c>
      <c r="W726" s="1" t="s">
        <v>156</v>
      </c>
      <c r="X726" s="1" t="s">
        <v>13320</v>
      </c>
      <c r="Y726" s="1" t="s">
        <v>191</v>
      </c>
      <c r="Z726" s="1" t="s">
        <v>92</v>
      </c>
      <c r="AA726" s="1" t="s">
        <v>13321</v>
      </c>
      <c r="AB726" s="1" t="s">
        <v>5915</v>
      </c>
      <c r="AC726" s="1" t="s">
        <v>92</v>
      </c>
      <c r="AD726" s="1">
        <v>8.31</v>
      </c>
      <c r="AE726" s="1" t="s">
        <v>93</v>
      </c>
      <c r="AF726" s="1" t="s">
        <v>13322</v>
      </c>
      <c r="AG726" s="1" t="s">
        <v>13323</v>
      </c>
      <c r="AH726" s="1" t="s">
        <v>165</v>
      </c>
      <c r="AI726" s="1" t="s">
        <v>281</v>
      </c>
      <c r="AJ726" s="1">
        <v>80.6</v>
      </c>
      <c r="AK726" s="1"/>
      <c r="AL726" s="1" t="s">
        <v>13322</v>
      </c>
      <c r="AM726" s="1" t="s">
        <v>13323</v>
      </c>
      <c r="AN726" s="1" t="s">
        <v>433</v>
      </c>
      <c r="AO726" s="1" t="s">
        <v>360</v>
      </c>
      <c r="AP726" s="1">
        <v>62.46</v>
      </c>
      <c r="AQ726" s="1"/>
      <c r="AR726" s="1"/>
      <c r="AS726" s="1"/>
      <c r="AT726" s="1"/>
      <c r="AU726" s="1"/>
      <c r="AV726" s="1"/>
      <c r="AW726" s="1"/>
      <c r="AX726" s="1" t="s">
        <v>253</v>
      </c>
      <c r="AY726" s="1" t="s">
        <v>13324</v>
      </c>
      <c r="AZ726" s="1" t="s">
        <v>699</v>
      </c>
      <c r="BA726" s="1" t="s">
        <v>1361</v>
      </c>
      <c r="BB726" s="1">
        <v>64.24</v>
      </c>
      <c r="BC726" s="1">
        <v>7.06</v>
      </c>
      <c r="BD726" s="1"/>
      <c r="BE726" s="1"/>
      <c r="BF726" s="1"/>
      <c r="BG726" s="1"/>
      <c r="BH726" s="1"/>
      <c r="BI726" s="1"/>
      <c r="BJ726" s="1" t="s">
        <v>13325</v>
      </c>
      <c r="BK726" s="1"/>
      <c r="BL726" s="1"/>
      <c r="BM726" s="1" t="s">
        <v>13326</v>
      </c>
      <c r="BN726" s="1">
        <v>17</v>
      </c>
      <c r="BO726" s="1" t="s">
        <v>13327</v>
      </c>
      <c r="BP726" s="1" t="str">
        <f>HYPERLINK("https://nconnect.nicmar.ac.in/storage/profile/ProfilePhoto_P25700690_598276.jpg","Download")</f>
        <v>0</v>
      </c>
      <c r="BQ726" s="3"/>
      <c r="BR726" s="3"/>
    </row>
    <row r="727" spans="1:70">
      <c r="A727" s="1" t="s">
        <v>70</v>
      </c>
      <c r="B727" s="1" t="s">
        <v>1269</v>
      </c>
      <c r="C727" s="1" t="s">
        <v>13328</v>
      </c>
      <c r="D727" s="1" t="s">
        <v>4143</v>
      </c>
      <c r="E727" s="1" t="s">
        <v>13329</v>
      </c>
      <c r="F727" s="1" t="s">
        <v>13330</v>
      </c>
      <c r="G727" s="1" t="s">
        <v>13331</v>
      </c>
      <c r="H727" s="1" t="s">
        <v>13332</v>
      </c>
      <c r="I727" s="1" t="s">
        <v>13333</v>
      </c>
      <c r="J727" s="1">
        <v>8104032269</v>
      </c>
      <c r="K727" s="1" t="s">
        <v>79</v>
      </c>
      <c r="L727" s="1" t="s">
        <v>13334</v>
      </c>
      <c r="M727" s="1" t="s">
        <v>81</v>
      </c>
      <c r="N727" s="1" t="s">
        <v>12962</v>
      </c>
      <c r="O727" s="1"/>
      <c r="P727" s="1" t="s">
        <v>1278</v>
      </c>
      <c r="Q727" s="1" t="s">
        <v>13335</v>
      </c>
      <c r="R727" s="1" t="s">
        <v>13329</v>
      </c>
      <c r="S727" s="1">
        <v>9820397681</v>
      </c>
      <c r="T727" s="1" t="s">
        <v>13336</v>
      </c>
      <c r="U727" s="1" t="s">
        <v>10761</v>
      </c>
      <c r="V727" s="1">
        <v>9920367838</v>
      </c>
      <c r="W727" s="1" t="s">
        <v>156</v>
      </c>
      <c r="X727" s="1" t="s">
        <v>13337</v>
      </c>
      <c r="Y727" s="1" t="s">
        <v>1623</v>
      </c>
      <c r="Z727" s="1" t="s">
        <v>92</v>
      </c>
      <c r="AA727" s="1" t="s">
        <v>13337</v>
      </c>
      <c r="AB727" s="1" t="s">
        <v>1623</v>
      </c>
      <c r="AC727" s="1" t="s">
        <v>92</v>
      </c>
      <c r="AD727" s="1">
        <v>8.49</v>
      </c>
      <c r="AE727" s="1" t="s">
        <v>93</v>
      </c>
      <c r="AF727" s="1" t="s">
        <v>13338</v>
      </c>
      <c r="AG727" s="1" t="s">
        <v>13339</v>
      </c>
      <c r="AH727" s="1" t="s">
        <v>165</v>
      </c>
      <c r="AI727" s="1" t="s">
        <v>1307</v>
      </c>
      <c r="AJ727" s="1">
        <v>83.2</v>
      </c>
      <c r="AK727" s="1"/>
      <c r="AL727" s="1" t="s">
        <v>13340</v>
      </c>
      <c r="AM727" s="1" t="s">
        <v>13339</v>
      </c>
      <c r="AN727" s="1" t="s">
        <v>433</v>
      </c>
      <c r="AO727" s="1" t="s">
        <v>360</v>
      </c>
      <c r="AP727" s="1">
        <v>62.62</v>
      </c>
      <c r="AQ727" s="1"/>
      <c r="AR727" s="1"/>
      <c r="AS727" s="1"/>
      <c r="AT727" s="1"/>
      <c r="AU727" s="1"/>
      <c r="AV727" s="1"/>
      <c r="AW727" s="1"/>
      <c r="AX727" s="1" t="s">
        <v>253</v>
      </c>
      <c r="AY727" s="1" t="s">
        <v>13341</v>
      </c>
      <c r="AZ727" s="1" t="s">
        <v>363</v>
      </c>
      <c r="BA727" s="1" t="s">
        <v>1361</v>
      </c>
      <c r="BB727" s="1">
        <v>75.34</v>
      </c>
      <c r="BC727" s="1">
        <v>8.56</v>
      </c>
      <c r="BD727" s="1"/>
      <c r="BE727" s="1"/>
      <c r="BF727" s="1"/>
      <c r="BG727" s="1"/>
      <c r="BH727" s="1"/>
      <c r="BI727" s="1"/>
      <c r="BJ727" s="1" t="s">
        <v>13342</v>
      </c>
      <c r="BK727" s="1"/>
      <c r="BL727" s="1"/>
      <c r="BM727" s="1" t="s">
        <v>13343</v>
      </c>
      <c r="BN727" s="1">
        <v>25</v>
      </c>
      <c r="BO727" s="1"/>
      <c r="BP727" s="1" t="str">
        <f>HYPERLINK("https://nconnect.nicmar.ac.in/storage/profile/ProfilePhoto_P25700691_937165.jpg","Download")</f>
        <v>0</v>
      </c>
      <c r="BQ727" s="3"/>
      <c r="BR727" s="3"/>
    </row>
    <row r="728" spans="1:70">
      <c r="A728" s="1" t="s">
        <v>70</v>
      </c>
      <c r="B728" s="1" t="s">
        <v>1269</v>
      </c>
      <c r="C728" s="1" t="s">
        <v>13344</v>
      </c>
      <c r="D728" s="1" t="s">
        <v>13345</v>
      </c>
      <c r="E728" s="1"/>
      <c r="F728" s="1" t="s">
        <v>13346</v>
      </c>
      <c r="G728" s="1" t="s">
        <v>13347</v>
      </c>
      <c r="H728" s="1" t="s">
        <v>13348</v>
      </c>
      <c r="I728" s="1" t="s">
        <v>13349</v>
      </c>
      <c r="J728" s="1">
        <v>9705938096</v>
      </c>
      <c r="K728" s="1" t="s">
        <v>148</v>
      </c>
      <c r="L728" s="1" t="s">
        <v>672</v>
      </c>
      <c r="M728" s="1" t="s">
        <v>81</v>
      </c>
      <c r="N728" s="1" t="s">
        <v>4245</v>
      </c>
      <c r="O728" s="1"/>
      <c r="P728" s="1" t="s">
        <v>1323</v>
      </c>
      <c r="Q728" s="1" t="s">
        <v>13350</v>
      </c>
      <c r="R728" s="1" t="s">
        <v>13351</v>
      </c>
      <c r="S728" s="1">
        <v>8121045396</v>
      </c>
      <c r="T728" s="1" t="s">
        <v>496</v>
      </c>
      <c r="U728" s="1" t="s">
        <v>13352</v>
      </c>
      <c r="V728" s="1">
        <v>9492879124</v>
      </c>
      <c r="W728" s="1" t="s">
        <v>496</v>
      </c>
      <c r="X728" s="1" t="s">
        <v>13353</v>
      </c>
      <c r="Y728" s="1" t="s">
        <v>191</v>
      </c>
      <c r="Z728" s="1" t="s">
        <v>92</v>
      </c>
      <c r="AA728" s="1" t="s">
        <v>13354</v>
      </c>
      <c r="AB728" s="1" t="s">
        <v>1578</v>
      </c>
      <c r="AC728" s="1" t="s">
        <v>276</v>
      </c>
      <c r="AD728" s="1">
        <v>7.39</v>
      </c>
      <c r="AE728" s="1" t="s">
        <v>93</v>
      </c>
      <c r="AF728" s="1" t="s">
        <v>13355</v>
      </c>
      <c r="AG728" s="1" t="s">
        <v>9174</v>
      </c>
      <c r="AH728" s="1" t="s">
        <v>479</v>
      </c>
      <c r="AI728" s="1" t="s">
        <v>166</v>
      </c>
      <c r="AJ728" s="1">
        <v>72.5</v>
      </c>
      <c r="AK728" s="1"/>
      <c r="AL728" s="1" t="s">
        <v>13356</v>
      </c>
      <c r="AM728" s="1" t="s">
        <v>1154</v>
      </c>
      <c r="AN728" s="1" t="s">
        <v>101</v>
      </c>
      <c r="AO728" s="1" t="s">
        <v>699</v>
      </c>
      <c r="AP728" s="1">
        <v>74.2</v>
      </c>
      <c r="AQ728" s="1">
        <v>7.42</v>
      </c>
      <c r="AR728" s="1"/>
      <c r="AS728" s="1"/>
      <c r="AT728" s="1"/>
      <c r="AU728" s="1"/>
      <c r="AV728" s="1"/>
      <c r="AW728" s="1"/>
      <c r="AX728" s="1" t="s">
        <v>13357</v>
      </c>
      <c r="AY728" s="1" t="s">
        <v>13358</v>
      </c>
      <c r="AZ728" s="1" t="s">
        <v>920</v>
      </c>
      <c r="BA728" s="1" t="s">
        <v>202</v>
      </c>
      <c r="BB728" s="1">
        <v>67.07</v>
      </c>
      <c r="BC728" s="1">
        <v>8.14</v>
      </c>
      <c r="BD728" s="1"/>
      <c r="BE728" s="1"/>
      <c r="BF728" s="1"/>
      <c r="BG728" s="1"/>
      <c r="BH728" s="1"/>
      <c r="BI728" s="1"/>
      <c r="BJ728" s="1" t="s">
        <v>13359</v>
      </c>
      <c r="BK728" s="1"/>
      <c r="BL728" s="1"/>
      <c r="BM728" s="1" t="s">
        <v>13360</v>
      </c>
      <c r="BN728" s="1">
        <v>47</v>
      </c>
      <c r="BO728" s="1"/>
      <c r="BP728" s="1" t="str">
        <f>HYPERLINK("https://nconnect.nicmar.ac.in/storage/profile/ProfilePhoto_P25700692_921468.jpg","Download")</f>
        <v>0</v>
      </c>
      <c r="BQ728" s="3"/>
      <c r="BR728" s="3"/>
    </row>
    <row r="729" spans="1:70">
      <c r="A729" s="1" t="s">
        <v>70</v>
      </c>
      <c r="B729" s="1" t="s">
        <v>1269</v>
      </c>
      <c r="C729" s="1" t="s">
        <v>13361</v>
      </c>
      <c r="D729" s="1" t="s">
        <v>4143</v>
      </c>
      <c r="E729" s="1" t="s">
        <v>9849</v>
      </c>
      <c r="F729" s="1" t="s">
        <v>9817</v>
      </c>
      <c r="G729" s="1" t="s">
        <v>13362</v>
      </c>
      <c r="H729" s="1" t="s">
        <v>13363</v>
      </c>
      <c r="I729" s="1" t="s">
        <v>13364</v>
      </c>
      <c r="J729" s="1">
        <v>7499176590</v>
      </c>
      <c r="K729" s="1" t="s">
        <v>79</v>
      </c>
      <c r="L729" s="1" t="s">
        <v>13365</v>
      </c>
      <c r="M729" s="1" t="s">
        <v>81</v>
      </c>
      <c r="N729" s="1" t="s">
        <v>151</v>
      </c>
      <c r="O729" s="1"/>
      <c r="P729" s="1" t="s">
        <v>1323</v>
      </c>
      <c r="Q729" s="1" t="s">
        <v>13366</v>
      </c>
      <c r="R729" s="1" t="s">
        <v>9849</v>
      </c>
      <c r="S729" s="1">
        <v>8888837485</v>
      </c>
      <c r="T729" s="1" t="s">
        <v>9871</v>
      </c>
      <c r="U729" s="1" t="s">
        <v>9171</v>
      </c>
      <c r="V729" s="1">
        <v>8888852231</v>
      </c>
      <c r="W729" s="1" t="s">
        <v>89</v>
      </c>
      <c r="X729" s="1" t="s">
        <v>13367</v>
      </c>
      <c r="Y729" s="1" t="s">
        <v>523</v>
      </c>
      <c r="Z729" s="1" t="s">
        <v>92</v>
      </c>
      <c r="AA729" s="1" t="s">
        <v>13367</v>
      </c>
      <c r="AB729" s="1" t="s">
        <v>523</v>
      </c>
      <c r="AC729" s="1" t="s">
        <v>92</v>
      </c>
      <c r="AD729" s="1">
        <v>7.62</v>
      </c>
      <c r="AE729" s="1" t="s">
        <v>93</v>
      </c>
      <c r="AF729" s="1" t="s">
        <v>13368</v>
      </c>
      <c r="AG729" s="1" t="s">
        <v>8031</v>
      </c>
      <c r="AH729" s="1" t="s">
        <v>162</v>
      </c>
      <c r="AI729" s="1" t="s">
        <v>479</v>
      </c>
      <c r="AJ729" s="1">
        <v>82.8</v>
      </c>
      <c r="AK729" s="1"/>
      <c r="AL729" s="1"/>
      <c r="AM729" s="1"/>
      <c r="AN729" s="1"/>
      <c r="AO729" s="1"/>
      <c r="AP729" s="1"/>
      <c r="AQ729" s="1"/>
      <c r="AR729" s="1" t="s">
        <v>434</v>
      </c>
      <c r="AS729" s="1" t="s">
        <v>13369</v>
      </c>
      <c r="AT729" s="1" t="s">
        <v>225</v>
      </c>
      <c r="AU729" s="1" t="s">
        <v>170</v>
      </c>
      <c r="AV729" s="1">
        <v>89</v>
      </c>
      <c r="AW729" s="1"/>
      <c r="AX729" s="1" t="s">
        <v>361</v>
      </c>
      <c r="AY729" s="1" t="s">
        <v>8571</v>
      </c>
      <c r="AZ729" s="1" t="s">
        <v>363</v>
      </c>
      <c r="BA729" s="1" t="s">
        <v>386</v>
      </c>
      <c r="BB729" s="1">
        <v>85.42</v>
      </c>
      <c r="BC729" s="1">
        <v>9.05</v>
      </c>
      <c r="BD729" s="1"/>
      <c r="BE729" s="1"/>
      <c r="BF729" s="1"/>
      <c r="BG729" s="1"/>
      <c r="BH729" s="1"/>
      <c r="BI729" s="1"/>
      <c r="BJ729" s="1" t="s">
        <v>13370</v>
      </c>
      <c r="BK729" s="1"/>
      <c r="BL729" s="1"/>
      <c r="BM729" s="1" t="s">
        <v>13371</v>
      </c>
      <c r="BN729" s="1">
        <v>26</v>
      </c>
      <c r="BO729" s="1"/>
      <c r="BP729" s="1" t="str">
        <f>HYPERLINK("https://nconnect.nicmar.ac.in/storage/profile/ProfilePhoto_P25700693_573496.jpg","Download")</f>
        <v>0</v>
      </c>
      <c r="BQ729" s="3"/>
      <c r="BR729" s="3"/>
    </row>
    <row r="730" spans="1:70">
      <c r="A730" s="1" t="s">
        <v>70</v>
      </c>
      <c r="B730" s="1" t="s">
        <v>1269</v>
      </c>
      <c r="C730" s="1" t="s">
        <v>13372</v>
      </c>
      <c r="D730" s="1" t="s">
        <v>13269</v>
      </c>
      <c r="E730" s="1"/>
      <c r="F730" s="1" t="s">
        <v>13373</v>
      </c>
      <c r="G730" s="1" t="s">
        <v>13374</v>
      </c>
      <c r="H730" s="1" t="s">
        <v>13375</v>
      </c>
      <c r="I730" s="1" t="s">
        <v>13376</v>
      </c>
      <c r="J730" s="1">
        <v>8279486177</v>
      </c>
      <c r="K730" s="1" t="s">
        <v>79</v>
      </c>
      <c r="L730" s="1" t="s">
        <v>13377</v>
      </c>
      <c r="M730" s="1" t="s">
        <v>81</v>
      </c>
      <c r="N730" s="1" t="s">
        <v>9309</v>
      </c>
      <c r="O730" s="1"/>
      <c r="P730" s="1" t="s">
        <v>2505</v>
      </c>
      <c r="Q730" s="1" t="s">
        <v>13378</v>
      </c>
      <c r="R730" s="1" t="s">
        <v>13379</v>
      </c>
      <c r="S730" s="1">
        <v>9415027549</v>
      </c>
      <c r="T730" s="1" t="s">
        <v>863</v>
      </c>
      <c r="U730" s="1" t="s">
        <v>6003</v>
      </c>
      <c r="V730" s="1">
        <v>9415027249</v>
      </c>
      <c r="W730" s="1" t="s">
        <v>2094</v>
      </c>
      <c r="X730" s="1" t="s">
        <v>13380</v>
      </c>
      <c r="Y730" s="1" t="s">
        <v>1911</v>
      </c>
      <c r="Z730" s="1" t="s">
        <v>1355</v>
      </c>
      <c r="AA730" s="1" t="s">
        <v>13380</v>
      </c>
      <c r="AB730" s="1" t="s">
        <v>1911</v>
      </c>
      <c r="AC730" s="1" t="s">
        <v>1355</v>
      </c>
      <c r="AD730" s="1">
        <v>8.51</v>
      </c>
      <c r="AE730" s="1" t="s">
        <v>93</v>
      </c>
      <c r="AF730" s="1" t="s">
        <v>13381</v>
      </c>
      <c r="AG730" s="1" t="s">
        <v>13382</v>
      </c>
      <c r="AH730" s="1" t="s">
        <v>13383</v>
      </c>
      <c r="AI730" s="1" t="s">
        <v>334</v>
      </c>
      <c r="AJ730" s="1">
        <v>77</v>
      </c>
      <c r="AK730" s="1"/>
      <c r="AL730" s="1" t="s">
        <v>13381</v>
      </c>
      <c r="AM730" s="1" t="s">
        <v>13382</v>
      </c>
      <c r="AN730" s="1" t="s">
        <v>249</v>
      </c>
      <c r="AO730" s="1" t="s">
        <v>998</v>
      </c>
      <c r="AP730" s="1">
        <v>76.4</v>
      </c>
      <c r="AQ730" s="1"/>
      <c r="AR730" s="1"/>
      <c r="AS730" s="1"/>
      <c r="AT730" s="1"/>
      <c r="AU730" s="1"/>
      <c r="AV730" s="1"/>
      <c r="AW730" s="1"/>
      <c r="AX730" s="1" t="s">
        <v>13384</v>
      </c>
      <c r="AY730" s="1" t="s">
        <v>13385</v>
      </c>
      <c r="AZ730" s="1" t="s">
        <v>252</v>
      </c>
      <c r="BA730" s="1" t="s">
        <v>169</v>
      </c>
      <c r="BB730" s="1">
        <v>69.26</v>
      </c>
      <c r="BC730" s="1"/>
      <c r="BD730" s="1" t="s">
        <v>13384</v>
      </c>
      <c r="BE730" s="1" t="s">
        <v>2403</v>
      </c>
      <c r="BF730" s="1" t="s">
        <v>874</v>
      </c>
      <c r="BG730" s="1" t="s">
        <v>944</v>
      </c>
      <c r="BH730" s="1">
        <v>79.3</v>
      </c>
      <c r="BI730" s="1">
        <v>7.93</v>
      </c>
      <c r="BJ730" s="1" t="s">
        <v>1383</v>
      </c>
      <c r="BK730" s="1" t="s">
        <v>13386</v>
      </c>
      <c r="BL730" s="1" t="s">
        <v>13387</v>
      </c>
      <c r="BM730" s="1"/>
      <c r="BN730" s="1"/>
      <c r="BO730" s="1" t="s">
        <v>13388</v>
      </c>
      <c r="BP730" s="1" t="str">
        <f>HYPERLINK("https://nconnect.nicmar.ac.in/storage/profile/ProfilePhoto_P25700695_518436.jpg","Download")</f>
        <v>0</v>
      </c>
      <c r="BQ730" s="3"/>
      <c r="BR730" s="3"/>
    </row>
    <row r="731" spans="1:70">
      <c r="A731" s="1" t="s">
        <v>70</v>
      </c>
      <c r="B731" s="1" t="s">
        <v>1269</v>
      </c>
      <c r="C731" s="1" t="s">
        <v>13389</v>
      </c>
      <c r="D731" s="1" t="s">
        <v>13390</v>
      </c>
      <c r="E731" s="1" t="s">
        <v>2308</v>
      </c>
      <c r="F731" s="1" t="s">
        <v>13391</v>
      </c>
      <c r="G731" s="1" t="s">
        <v>13392</v>
      </c>
      <c r="H731" s="1" t="s">
        <v>13393</v>
      </c>
      <c r="I731" s="1" t="s">
        <v>13394</v>
      </c>
      <c r="J731" s="1">
        <v>7892383736</v>
      </c>
      <c r="K731" s="1" t="s">
        <v>79</v>
      </c>
      <c r="L731" s="1" t="s">
        <v>4812</v>
      </c>
      <c r="M731" s="1" t="s">
        <v>81</v>
      </c>
      <c r="N731" s="1" t="s">
        <v>11597</v>
      </c>
      <c r="O731" s="1"/>
      <c r="P731" s="1" t="s">
        <v>1278</v>
      </c>
      <c r="Q731" s="1" t="s">
        <v>13395</v>
      </c>
      <c r="R731" s="1" t="s">
        <v>13379</v>
      </c>
      <c r="S731" s="1">
        <v>7892472711</v>
      </c>
      <c r="T731" s="1" t="s">
        <v>496</v>
      </c>
      <c r="U731" s="1" t="s">
        <v>977</v>
      </c>
      <c r="V731" s="1">
        <v>8217514975</v>
      </c>
      <c r="W731" s="1" t="s">
        <v>156</v>
      </c>
      <c r="X731" s="1" t="s">
        <v>13396</v>
      </c>
      <c r="Y731" s="1" t="s">
        <v>4755</v>
      </c>
      <c r="Z731" s="1" t="s">
        <v>1084</v>
      </c>
      <c r="AA731" s="1" t="s">
        <v>13396</v>
      </c>
      <c r="AB731" s="1" t="s">
        <v>4755</v>
      </c>
      <c r="AC731" s="1" t="s">
        <v>1084</v>
      </c>
      <c r="AD731" s="1">
        <v>7.91</v>
      </c>
      <c r="AE731" s="1" t="s">
        <v>93</v>
      </c>
      <c r="AF731" s="1" t="s">
        <v>11817</v>
      </c>
      <c r="AG731" s="1" t="s">
        <v>13397</v>
      </c>
      <c r="AH731" s="1" t="s">
        <v>101</v>
      </c>
      <c r="AI731" s="1" t="s">
        <v>1065</v>
      </c>
      <c r="AJ731" s="1">
        <v>81.92</v>
      </c>
      <c r="AK731" s="1"/>
      <c r="AL731" s="1" t="s">
        <v>13398</v>
      </c>
      <c r="AM731" s="1" t="s">
        <v>13399</v>
      </c>
      <c r="AN731" s="1" t="s">
        <v>433</v>
      </c>
      <c r="AO731" s="1" t="s">
        <v>506</v>
      </c>
      <c r="AP731" s="1">
        <v>71.16</v>
      </c>
      <c r="AQ731" s="1"/>
      <c r="AR731" s="1"/>
      <c r="AS731" s="1"/>
      <c r="AT731" s="1"/>
      <c r="AU731" s="1"/>
      <c r="AV731" s="1"/>
      <c r="AW731" s="1"/>
      <c r="AX731" s="1" t="s">
        <v>1088</v>
      </c>
      <c r="AY731" s="1" t="s">
        <v>13400</v>
      </c>
      <c r="AZ731" s="1" t="s">
        <v>897</v>
      </c>
      <c r="BA731" s="1" t="s">
        <v>1714</v>
      </c>
      <c r="BB731" s="1">
        <v>64.3</v>
      </c>
      <c r="BC731" s="1">
        <v>6.43</v>
      </c>
      <c r="BD731" s="1"/>
      <c r="BE731" s="1"/>
      <c r="BF731" s="1"/>
      <c r="BG731" s="1"/>
      <c r="BH731" s="1"/>
      <c r="BI731" s="1"/>
      <c r="BJ731" s="1" t="s">
        <v>364</v>
      </c>
      <c r="BK731" s="1"/>
      <c r="BL731" s="1"/>
      <c r="BM731" s="1" t="s">
        <v>13401</v>
      </c>
      <c r="BN731" s="1">
        <v>21</v>
      </c>
      <c r="BO731" s="1" t="s">
        <v>13402</v>
      </c>
      <c r="BP731" s="1" t="str">
        <f>HYPERLINK("https://nconnect.nicmar.ac.in/storage/profile/ProfilePhoto_P25700696_167394.jpg","Download")</f>
        <v>0</v>
      </c>
      <c r="BQ731" s="3"/>
      <c r="BR731" s="3"/>
    </row>
    <row r="732" spans="1:70">
      <c r="A732" s="1" t="s">
        <v>70</v>
      </c>
      <c r="B732" s="1" t="s">
        <v>1269</v>
      </c>
      <c r="C732" s="1" t="s">
        <v>13403</v>
      </c>
      <c r="D732" s="1" t="s">
        <v>3900</v>
      </c>
      <c r="E732" s="1" t="s">
        <v>1924</v>
      </c>
      <c r="F732" s="1" t="s">
        <v>13404</v>
      </c>
      <c r="G732" s="1" t="s">
        <v>13405</v>
      </c>
      <c r="H732" s="1" t="s">
        <v>13406</v>
      </c>
      <c r="I732" s="1" t="s">
        <v>13407</v>
      </c>
      <c r="J732" s="1">
        <v>9881258305</v>
      </c>
      <c r="K732" s="1" t="s">
        <v>79</v>
      </c>
      <c r="L732" s="1" t="s">
        <v>13408</v>
      </c>
      <c r="M732" s="1" t="s">
        <v>81</v>
      </c>
      <c r="N732" s="1" t="s">
        <v>13409</v>
      </c>
      <c r="O732" s="1"/>
      <c r="P732" s="1"/>
      <c r="Q732" s="1" t="s">
        <v>13410</v>
      </c>
      <c r="R732" s="1" t="s">
        <v>13411</v>
      </c>
      <c r="S732" s="1">
        <v>9881258495</v>
      </c>
      <c r="T732" s="1" t="s">
        <v>2922</v>
      </c>
      <c r="U732" s="1" t="s">
        <v>13412</v>
      </c>
      <c r="V732" s="1">
        <v>9881258306</v>
      </c>
      <c r="W732" s="1" t="s">
        <v>273</v>
      </c>
      <c r="X732" s="1" t="s">
        <v>13413</v>
      </c>
      <c r="Y732" s="1" t="s">
        <v>158</v>
      </c>
      <c r="Z732" s="1" t="s">
        <v>92</v>
      </c>
      <c r="AA732" s="1" t="s">
        <v>13413</v>
      </c>
      <c r="AB732" s="1" t="s">
        <v>158</v>
      </c>
      <c r="AC732" s="1" t="s">
        <v>92</v>
      </c>
      <c r="AD732" s="1">
        <v>8.01</v>
      </c>
      <c r="AE732" s="1" t="s">
        <v>93</v>
      </c>
      <c r="AF732" s="1" t="s">
        <v>13414</v>
      </c>
      <c r="AG732" s="1" t="s">
        <v>13415</v>
      </c>
      <c r="AH732" s="1" t="s">
        <v>636</v>
      </c>
      <c r="AI732" s="1" t="s">
        <v>409</v>
      </c>
      <c r="AJ732" s="1">
        <v>64.4</v>
      </c>
      <c r="AK732" s="1">
        <v>0</v>
      </c>
      <c r="AL732" s="1"/>
      <c r="AM732" s="1"/>
      <c r="AN732" s="1"/>
      <c r="AO732" s="1"/>
      <c r="AP732" s="1"/>
      <c r="AQ732" s="1"/>
      <c r="AR732" s="1" t="s">
        <v>13416</v>
      </c>
      <c r="AS732" s="1" t="s">
        <v>13417</v>
      </c>
      <c r="AT732" s="1" t="s">
        <v>201</v>
      </c>
      <c r="AU732" s="1" t="s">
        <v>481</v>
      </c>
      <c r="AV732" s="1">
        <v>81.68</v>
      </c>
      <c r="AW732" s="1">
        <v>0</v>
      </c>
      <c r="AX732" s="1" t="s">
        <v>2422</v>
      </c>
      <c r="AY732" s="1" t="s">
        <v>13418</v>
      </c>
      <c r="AZ732" s="1" t="s">
        <v>481</v>
      </c>
      <c r="BA732" s="1" t="s">
        <v>1361</v>
      </c>
      <c r="BB732" s="1">
        <v>77.71</v>
      </c>
      <c r="BC732" s="1">
        <v>8.55</v>
      </c>
      <c r="BD732" s="1"/>
      <c r="BE732" s="1"/>
      <c r="BF732" s="1"/>
      <c r="BG732" s="1"/>
      <c r="BH732" s="1"/>
      <c r="BI732" s="1"/>
      <c r="BJ732" s="1" t="s">
        <v>364</v>
      </c>
      <c r="BK732" s="1"/>
      <c r="BL732" s="1"/>
      <c r="BM732" s="1" t="s">
        <v>13419</v>
      </c>
      <c r="BN732" s="1">
        <v>28</v>
      </c>
      <c r="BO732" s="1"/>
      <c r="BP732" s="1" t="str">
        <f>HYPERLINK("https://nconnect.nicmar.ac.in/storage/profile/ProfilePhoto_P25700697_765314.jpg","Download")</f>
        <v>0</v>
      </c>
      <c r="BQ732" s="3"/>
      <c r="BR732" s="3"/>
    </row>
    <row r="733" spans="1:70">
      <c r="A733" s="1" t="s">
        <v>70</v>
      </c>
      <c r="B733" s="1" t="s">
        <v>1269</v>
      </c>
      <c r="C733" s="1" t="s">
        <v>13420</v>
      </c>
      <c r="D733" s="1" t="s">
        <v>13421</v>
      </c>
      <c r="E733" s="1" t="s">
        <v>746</v>
      </c>
      <c r="F733" s="1" t="s">
        <v>13422</v>
      </c>
      <c r="G733" s="1" t="s">
        <v>13423</v>
      </c>
      <c r="H733" s="1" t="s">
        <v>13424</v>
      </c>
      <c r="I733" s="1" t="s">
        <v>13425</v>
      </c>
      <c r="J733" s="1">
        <v>8928317822</v>
      </c>
      <c r="K733" s="1" t="s">
        <v>79</v>
      </c>
      <c r="L733" s="1" t="s">
        <v>13426</v>
      </c>
      <c r="M733" s="1" t="s">
        <v>81</v>
      </c>
      <c r="N733" s="1" t="s">
        <v>1418</v>
      </c>
      <c r="O733" s="1"/>
      <c r="P733" s="1" t="s">
        <v>1323</v>
      </c>
      <c r="Q733" s="1" t="s">
        <v>13427</v>
      </c>
      <c r="R733" s="1" t="s">
        <v>746</v>
      </c>
      <c r="S733" s="1">
        <v>7798511980</v>
      </c>
      <c r="T733" s="1" t="s">
        <v>763</v>
      </c>
      <c r="U733" s="1" t="s">
        <v>13428</v>
      </c>
      <c r="V733" s="1">
        <v>9765375083</v>
      </c>
      <c r="W733" s="1" t="s">
        <v>156</v>
      </c>
      <c r="X733" s="1" t="s">
        <v>13429</v>
      </c>
      <c r="Y733" s="1" t="s">
        <v>4322</v>
      </c>
      <c r="Z733" s="1" t="s">
        <v>92</v>
      </c>
      <c r="AA733" s="1" t="s">
        <v>13429</v>
      </c>
      <c r="AB733" s="1" t="s">
        <v>4322</v>
      </c>
      <c r="AC733" s="1" t="s">
        <v>92</v>
      </c>
      <c r="AD733" s="1">
        <v>7.64</v>
      </c>
      <c r="AE733" s="1" t="s">
        <v>93</v>
      </c>
      <c r="AF733" s="1" t="s">
        <v>13430</v>
      </c>
      <c r="AG733" s="1" t="s">
        <v>13431</v>
      </c>
      <c r="AH733" s="1" t="s">
        <v>161</v>
      </c>
      <c r="AI733" s="1" t="s">
        <v>456</v>
      </c>
      <c r="AJ733" s="1">
        <v>79.4</v>
      </c>
      <c r="AK733" s="1"/>
      <c r="AL733" s="1" t="s">
        <v>13432</v>
      </c>
      <c r="AM733" s="1" t="s">
        <v>13431</v>
      </c>
      <c r="AN733" s="1" t="s">
        <v>165</v>
      </c>
      <c r="AO733" s="1" t="s">
        <v>457</v>
      </c>
      <c r="AP733" s="1">
        <v>68.15</v>
      </c>
      <c r="AQ733" s="1"/>
      <c r="AR733" s="1"/>
      <c r="AS733" s="1"/>
      <c r="AT733" s="1"/>
      <c r="AU733" s="1"/>
      <c r="AV733" s="1"/>
      <c r="AW733" s="1"/>
      <c r="AX733" s="1" t="s">
        <v>1024</v>
      </c>
      <c r="AY733" s="1" t="s">
        <v>13433</v>
      </c>
      <c r="AZ733" s="1" t="s">
        <v>636</v>
      </c>
      <c r="BA733" s="1" t="s">
        <v>1003</v>
      </c>
      <c r="BB733" s="1">
        <v>65.21</v>
      </c>
      <c r="BC733" s="1">
        <v>7.19</v>
      </c>
      <c r="BD733" s="1"/>
      <c r="BE733" s="1"/>
      <c r="BF733" s="1"/>
      <c r="BG733" s="1"/>
      <c r="BH733" s="1"/>
      <c r="BI733" s="1"/>
      <c r="BJ733" s="1" t="s">
        <v>9189</v>
      </c>
      <c r="BK733" s="1" t="s">
        <v>13434</v>
      </c>
      <c r="BL733" s="1" t="s">
        <v>1385</v>
      </c>
      <c r="BM733" s="1" t="s">
        <v>13435</v>
      </c>
      <c r="BN733" s="1">
        <v>16</v>
      </c>
      <c r="BO733" s="1"/>
      <c r="BP733" s="1" t="str">
        <f>HYPERLINK("https://nconnect.nicmar.ac.in/storage/profile/ProfilePhoto_P25700698_564379.jpg","Download")</f>
        <v>0</v>
      </c>
      <c r="BQ733" s="3"/>
      <c r="BR733" s="3"/>
    </row>
    <row r="734" spans="1:70">
      <c r="A734" s="1" t="s">
        <v>70</v>
      </c>
      <c r="B734" s="1" t="s">
        <v>1269</v>
      </c>
      <c r="C734" s="1" t="s">
        <v>13436</v>
      </c>
      <c r="D734" s="1" t="s">
        <v>13437</v>
      </c>
      <c r="E734" s="1" t="s">
        <v>13438</v>
      </c>
      <c r="F734" s="1" t="s">
        <v>13439</v>
      </c>
      <c r="G734" s="1" t="s">
        <v>13440</v>
      </c>
      <c r="H734" s="1" t="s">
        <v>13441</v>
      </c>
      <c r="I734" s="1" t="s">
        <v>13442</v>
      </c>
      <c r="J734" s="1">
        <v>8591113784</v>
      </c>
      <c r="K734" s="1" t="s">
        <v>79</v>
      </c>
      <c r="L734" s="1" t="s">
        <v>13443</v>
      </c>
      <c r="M734" s="1" t="s">
        <v>81</v>
      </c>
      <c r="N734" s="1" t="s">
        <v>13444</v>
      </c>
      <c r="O734" s="1"/>
      <c r="P734" s="1" t="s">
        <v>1278</v>
      </c>
      <c r="Q734" s="1" t="s">
        <v>13445</v>
      </c>
      <c r="R734" s="1" t="s">
        <v>13446</v>
      </c>
      <c r="S734" s="1">
        <v>9619191590</v>
      </c>
      <c r="T734" s="1" t="s">
        <v>87</v>
      </c>
      <c r="U734" s="1" t="s">
        <v>13447</v>
      </c>
      <c r="V734" s="1">
        <v>9619191330</v>
      </c>
      <c r="W734" s="1" t="s">
        <v>13448</v>
      </c>
      <c r="X734" s="1" t="s">
        <v>13449</v>
      </c>
      <c r="Y734" s="1" t="s">
        <v>995</v>
      </c>
      <c r="Z734" s="1" t="s">
        <v>92</v>
      </c>
      <c r="AA734" s="1" t="s">
        <v>13449</v>
      </c>
      <c r="AB734" s="1" t="s">
        <v>995</v>
      </c>
      <c r="AC734" s="1" t="s">
        <v>92</v>
      </c>
      <c r="AD734" s="1" t="s">
        <v>93</v>
      </c>
      <c r="AE734" s="1" t="s">
        <v>93</v>
      </c>
      <c r="AF734" s="1" t="s">
        <v>13450</v>
      </c>
      <c r="AG734" s="1" t="s">
        <v>13451</v>
      </c>
      <c r="AH734" s="1" t="s">
        <v>166</v>
      </c>
      <c r="AI734" s="1" t="s">
        <v>308</v>
      </c>
      <c r="AJ734" s="1">
        <v>83</v>
      </c>
      <c r="AK734" s="1">
        <v>8.7</v>
      </c>
      <c r="AL734" s="1" t="s">
        <v>13452</v>
      </c>
      <c r="AM734" s="1" t="s">
        <v>13453</v>
      </c>
      <c r="AN734" s="1" t="s">
        <v>310</v>
      </c>
      <c r="AO734" s="1" t="s">
        <v>436</v>
      </c>
      <c r="AP734" s="1">
        <v>79.8</v>
      </c>
      <c r="AQ734" s="1">
        <v>8.4</v>
      </c>
      <c r="AR734" s="1"/>
      <c r="AS734" s="1"/>
      <c r="AT734" s="1"/>
      <c r="AU734" s="1"/>
      <c r="AV734" s="1"/>
      <c r="AW734" s="1"/>
      <c r="AX734" s="1" t="s">
        <v>253</v>
      </c>
      <c r="AY734" s="1" t="s">
        <v>13454</v>
      </c>
      <c r="AZ734" s="1" t="s">
        <v>506</v>
      </c>
      <c r="BA734" s="1" t="s">
        <v>1584</v>
      </c>
      <c r="BB734" s="1">
        <v>60.86</v>
      </c>
      <c r="BC734" s="1">
        <v>6.63</v>
      </c>
      <c r="BD734" s="1"/>
      <c r="BE734" s="1"/>
      <c r="BF734" s="1"/>
      <c r="BG734" s="1"/>
      <c r="BH734" s="1"/>
      <c r="BI734" s="1"/>
      <c r="BJ734" s="1" t="s">
        <v>1383</v>
      </c>
      <c r="BK734" s="1"/>
      <c r="BL734" s="1"/>
      <c r="BM734" s="1" t="s">
        <v>13455</v>
      </c>
      <c r="BN734" s="1">
        <v>8</v>
      </c>
      <c r="BO734" s="1"/>
      <c r="BP734" s="1" t="str">
        <f>HYPERLINK("https://nconnect.nicmar.ac.in/storage/profile/ProfilePhoto_P25700699_273694.jpg","Download")</f>
        <v>0</v>
      </c>
      <c r="BQ734" s="3"/>
      <c r="BR734" s="3"/>
    </row>
    <row r="735" spans="1:70">
      <c r="A735" s="1" t="s">
        <v>70</v>
      </c>
      <c r="B735" s="1" t="s">
        <v>1269</v>
      </c>
      <c r="C735" s="1" t="s">
        <v>13456</v>
      </c>
      <c r="D735" s="1" t="s">
        <v>7286</v>
      </c>
      <c r="E735" s="1" t="s">
        <v>13457</v>
      </c>
      <c r="F735" s="1" t="s">
        <v>13458</v>
      </c>
      <c r="G735" s="1" t="s">
        <v>13459</v>
      </c>
      <c r="H735" s="1" t="s">
        <v>13460</v>
      </c>
      <c r="I735" s="1" t="s">
        <v>13461</v>
      </c>
      <c r="J735" s="1">
        <v>7499330075</v>
      </c>
      <c r="K735" s="1" t="s">
        <v>79</v>
      </c>
      <c r="L735" s="1" t="s">
        <v>13462</v>
      </c>
      <c r="M735" s="1" t="s">
        <v>81</v>
      </c>
      <c r="N735" s="1" t="s">
        <v>1418</v>
      </c>
      <c r="O735" s="1"/>
      <c r="P735" s="1" t="s">
        <v>1298</v>
      </c>
      <c r="Q735" s="1" t="s">
        <v>13463</v>
      </c>
      <c r="R735" s="1" t="s">
        <v>13464</v>
      </c>
      <c r="S735" s="1">
        <v>9152010059</v>
      </c>
      <c r="T735" s="1" t="s">
        <v>87</v>
      </c>
      <c r="U735" s="1" t="s">
        <v>7864</v>
      </c>
      <c r="V735" s="1">
        <v>7756891346</v>
      </c>
      <c r="W735" s="1" t="s">
        <v>122</v>
      </c>
      <c r="X735" s="1" t="s">
        <v>13465</v>
      </c>
      <c r="Y735" s="1" t="s">
        <v>191</v>
      </c>
      <c r="Z735" s="1" t="s">
        <v>92</v>
      </c>
      <c r="AA735" s="1" t="s">
        <v>13466</v>
      </c>
      <c r="AB735" s="1" t="s">
        <v>2786</v>
      </c>
      <c r="AC735" s="1" t="s">
        <v>92</v>
      </c>
      <c r="AD735" s="1">
        <v>8.49</v>
      </c>
      <c r="AE735" s="1" t="s">
        <v>93</v>
      </c>
      <c r="AF735" s="1" t="s">
        <v>13467</v>
      </c>
      <c r="AG735" s="1" t="s">
        <v>13468</v>
      </c>
      <c r="AH735" s="1" t="s">
        <v>527</v>
      </c>
      <c r="AI735" s="1" t="s">
        <v>195</v>
      </c>
      <c r="AJ735" s="1">
        <v>87.4</v>
      </c>
      <c r="AK735" s="1"/>
      <c r="AL735" s="1"/>
      <c r="AM735" s="1"/>
      <c r="AN735" s="1"/>
      <c r="AO735" s="1"/>
      <c r="AP735" s="1"/>
      <c r="AQ735" s="1"/>
      <c r="AR735" s="1" t="s">
        <v>434</v>
      </c>
      <c r="AS735" s="1" t="s">
        <v>13469</v>
      </c>
      <c r="AT735" s="1" t="s">
        <v>383</v>
      </c>
      <c r="AU735" s="1" t="s">
        <v>941</v>
      </c>
      <c r="AV735" s="1">
        <v>77.5</v>
      </c>
      <c r="AW735" s="1"/>
      <c r="AX735" s="1" t="s">
        <v>13470</v>
      </c>
      <c r="AY735" s="1" t="s">
        <v>13471</v>
      </c>
      <c r="AZ735" s="1" t="s">
        <v>681</v>
      </c>
      <c r="BA735" s="1" t="s">
        <v>1090</v>
      </c>
      <c r="BB735" s="1">
        <v>74.83</v>
      </c>
      <c r="BC735" s="1"/>
      <c r="BD735" s="1"/>
      <c r="BE735" s="1"/>
      <c r="BF735" s="1"/>
      <c r="BG735" s="1"/>
      <c r="BH735" s="1"/>
      <c r="BI735" s="1"/>
      <c r="BJ735" s="1" t="s">
        <v>1383</v>
      </c>
      <c r="BK735" s="1" t="s">
        <v>13472</v>
      </c>
      <c r="BL735" s="1" t="s">
        <v>619</v>
      </c>
      <c r="BM735" s="1" t="s">
        <v>13473</v>
      </c>
      <c r="BN735" s="1">
        <v>17</v>
      </c>
      <c r="BO735" s="1"/>
      <c r="BP735" s="1" t="str">
        <f>HYPERLINK("https://nconnect.nicmar.ac.in/storage/profile/ProfilePhoto_P25700700_612583.jpg","Download")</f>
        <v>0</v>
      </c>
      <c r="BQ735" s="3"/>
      <c r="BR735" s="3"/>
    </row>
    <row r="736" spans="1:70">
      <c r="A736" s="1" t="s">
        <v>70</v>
      </c>
      <c r="B736" s="1" t="s">
        <v>1269</v>
      </c>
      <c r="C736" s="1" t="s">
        <v>13474</v>
      </c>
      <c r="D736" s="1" t="s">
        <v>13475</v>
      </c>
      <c r="E736" s="1" t="s">
        <v>13476</v>
      </c>
      <c r="F736" s="1" t="s">
        <v>13477</v>
      </c>
      <c r="G736" s="1" t="s">
        <v>13478</v>
      </c>
      <c r="H736" s="1" t="s">
        <v>13479</v>
      </c>
      <c r="I736" s="1" t="s">
        <v>13480</v>
      </c>
      <c r="J736" s="1">
        <v>9987646219</v>
      </c>
      <c r="K736" s="1" t="s">
        <v>148</v>
      </c>
      <c r="L736" s="1" t="s">
        <v>13481</v>
      </c>
      <c r="M736" s="1" t="s">
        <v>81</v>
      </c>
      <c r="N736" s="1" t="s">
        <v>13482</v>
      </c>
      <c r="O736" s="1"/>
      <c r="P736" s="1" t="s">
        <v>1323</v>
      </c>
      <c r="Q736" s="1" t="s">
        <v>13483</v>
      </c>
      <c r="R736" s="1" t="s">
        <v>13484</v>
      </c>
      <c r="S736" s="1">
        <v>9890186920</v>
      </c>
      <c r="T736" s="1" t="s">
        <v>13485</v>
      </c>
      <c r="U736" s="1" t="s">
        <v>13486</v>
      </c>
      <c r="V736" s="1">
        <v>9890504648</v>
      </c>
      <c r="W736" s="1" t="s">
        <v>13487</v>
      </c>
      <c r="X736" s="1" t="s">
        <v>13488</v>
      </c>
      <c r="Y736" s="1" t="s">
        <v>191</v>
      </c>
      <c r="Z736" s="1" t="s">
        <v>92</v>
      </c>
      <c r="AA736" s="1" t="s">
        <v>13488</v>
      </c>
      <c r="AB736" s="1" t="s">
        <v>191</v>
      </c>
      <c r="AC736" s="1" t="s">
        <v>92</v>
      </c>
      <c r="AD736" s="1">
        <v>7.69</v>
      </c>
      <c r="AE736" s="1" t="s">
        <v>93</v>
      </c>
      <c r="AF736" s="1" t="s">
        <v>13489</v>
      </c>
      <c r="AG736" s="1" t="s">
        <v>3853</v>
      </c>
      <c r="AH736" s="1" t="s">
        <v>165</v>
      </c>
      <c r="AI736" s="1" t="s">
        <v>101</v>
      </c>
      <c r="AJ736" s="1">
        <v>76.4</v>
      </c>
      <c r="AK736" s="1"/>
      <c r="AL736" s="1"/>
      <c r="AM736" s="1"/>
      <c r="AN736" s="1"/>
      <c r="AO736" s="1"/>
      <c r="AP736" s="1"/>
      <c r="AQ736" s="1"/>
      <c r="AR736" s="1" t="s">
        <v>98</v>
      </c>
      <c r="AS736" s="1" t="s">
        <v>13490</v>
      </c>
      <c r="AT736" s="1" t="s">
        <v>636</v>
      </c>
      <c r="AU736" s="1" t="s">
        <v>284</v>
      </c>
      <c r="AV736" s="1">
        <v>79.58</v>
      </c>
      <c r="AW736" s="1"/>
      <c r="AX736" s="1" t="s">
        <v>361</v>
      </c>
      <c r="AY736" s="1" t="s">
        <v>13491</v>
      </c>
      <c r="AZ736" s="1" t="s">
        <v>874</v>
      </c>
      <c r="BA736" s="1" t="s">
        <v>1584</v>
      </c>
      <c r="BB736" s="1">
        <v>65.6</v>
      </c>
      <c r="BC736" s="1">
        <v>7.31</v>
      </c>
      <c r="BD736" s="1"/>
      <c r="BE736" s="1"/>
      <c r="BF736" s="1"/>
      <c r="BG736" s="1"/>
      <c r="BH736" s="1"/>
      <c r="BI736" s="1"/>
      <c r="BJ736" s="1" t="s">
        <v>13492</v>
      </c>
      <c r="BK736" s="1"/>
      <c r="BL736" s="1"/>
      <c r="BM736" s="1" t="s">
        <v>13493</v>
      </c>
      <c r="BN736" s="1">
        <v>44</v>
      </c>
      <c r="BO736" s="1"/>
      <c r="BP736" s="1" t="str">
        <f>HYPERLINK("https://nconnect.nicmar.ac.in/storage/profile/6a64a0cad9a96.png","Download")</f>
        <v>0</v>
      </c>
      <c r="BQ736" s="3"/>
      <c r="BR736" s="3"/>
    </row>
    <row r="737" spans="1:70">
      <c r="A737" s="1" t="s">
        <v>70</v>
      </c>
      <c r="B737" s="1" t="s">
        <v>1269</v>
      </c>
      <c r="C737" s="1" t="s">
        <v>13494</v>
      </c>
      <c r="D737" s="1" t="s">
        <v>2166</v>
      </c>
      <c r="E737" s="1"/>
      <c r="F737" s="1" t="s">
        <v>835</v>
      </c>
      <c r="G737" s="1" t="s">
        <v>13495</v>
      </c>
      <c r="H737" s="1" t="s">
        <v>13496</v>
      </c>
      <c r="I737" s="1" t="s">
        <v>13497</v>
      </c>
      <c r="J737" s="1">
        <v>8530789414</v>
      </c>
      <c r="K737" s="1" t="s">
        <v>79</v>
      </c>
      <c r="L737" s="1" t="s">
        <v>11143</v>
      </c>
      <c r="M737" s="1" t="s">
        <v>81</v>
      </c>
      <c r="N737" s="1" t="s">
        <v>860</v>
      </c>
      <c r="O737" s="1"/>
      <c r="P737" s="1" t="s">
        <v>1323</v>
      </c>
      <c r="Q737" s="1" t="s">
        <v>13498</v>
      </c>
      <c r="R737" s="1" t="s">
        <v>13499</v>
      </c>
      <c r="S737" s="1">
        <v>9860278729</v>
      </c>
      <c r="T737" s="1" t="s">
        <v>13500</v>
      </c>
      <c r="U737" s="1" t="s">
        <v>13501</v>
      </c>
      <c r="V737" s="1">
        <v>9834480766</v>
      </c>
      <c r="W737" s="1" t="s">
        <v>13502</v>
      </c>
      <c r="X737" s="1" t="s">
        <v>13503</v>
      </c>
      <c r="Y737" s="1" t="s">
        <v>191</v>
      </c>
      <c r="Z737" s="1" t="s">
        <v>92</v>
      </c>
      <c r="AA737" s="1" t="s">
        <v>13503</v>
      </c>
      <c r="AB737" s="1" t="s">
        <v>191</v>
      </c>
      <c r="AC737" s="1" t="s">
        <v>92</v>
      </c>
      <c r="AD737" s="1">
        <v>7.37</v>
      </c>
      <c r="AE737" s="1" t="s">
        <v>93</v>
      </c>
      <c r="AF737" s="1" t="s">
        <v>12445</v>
      </c>
      <c r="AG737" s="1" t="s">
        <v>13504</v>
      </c>
      <c r="AH737" s="1" t="s">
        <v>503</v>
      </c>
      <c r="AI737" s="1" t="s">
        <v>456</v>
      </c>
      <c r="AJ737" s="1">
        <v>64.6</v>
      </c>
      <c r="AK737" s="1">
        <v>6.8</v>
      </c>
      <c r="AL737" s="1" t="s">
        <v>13505</v>
      </c>
      <c r="AM737" s="1" t="s">
        <v>13506</v>
      </c>
      <c r="AN737" s="1" t="s">
        <v>162</v>
      </c>
      <c r="AO737" s="1" t="s">
        <v>166</v>
      </c>
      <c r="AP737" s="1">
        <v>64.15</v>
      </c>
      <c r="AQ737" s="1"/>
      <c r="AR737" s="1"/>
      <c r="AS737" s="1"/>
      <c r="AT737" s="1"/>
      <c r="AU737" s="1"/>
      <c r="AV737" s="1"/>
      <c r="AW737" s="1"/>
      <c r="AX737" s="1" t="s">
        <v>361</v>
      </c>
      <c r="AY737" s="1" t="s">
        <v>13507</v>
      </c>
      <c r="AZ737" s="1" t="s">
        <v>169</v>
      </c>
      <c r="BA737" s="1" t="s">
        <v>575</v>
      </c>
      <c r="BB737" s="1">
        <v>61</v>
      </c>
      <c r="BC737" s="1">
        <v>8.14</v>
      </c>
      <c r="BD737" s="1"/>
      <c r="BE737" s="1"/>
      <c r="BF737" s="1"/>
      <c r="BG737" s="1"/>
      <c r="BH737" s="1"/>
      <c r="BI737" s="1"/>
      <c r="BJ737" s="1" t="s">
        <v>734</v>
      </c>
      <c r="BK737" s="1"/>
      <c r="BL737" s="1"/>
      <c r="BM737" s="1"/>
      <c r="BN737" s="1"/>
      <c r="BO737" s="1"/>
      <c r="BP737" s="1" t="str">
        <f>HYPERLINK("https://nconnect.nicmar.ac.in/storage/profile/ProfilePhoto_P25700702_167429.jpg","Download")</f>
        <v>0</v>
      </c>
      <c r="BQ737" s="3"/>
      <c r="BR737" s="3"/>
    </row>
    <row r="738" spans="1:70">
      <c r="A738" s="1" t="s">
        <v>70</v>
      </c>
      <c r="B738" s="1" t="s">
        <v>1269</v>
      </c>
      <c r="C738" s="1" t="s">
        <v>13508</v>
      </c>
      <c r="D738" s="1" t="s">
        <v>13509</v>
      </c>
      <c r="E738" s="1"/>
      <c r="F738" s="1" t="s">
        <v>13510</v>
      </c>
      <c r="G738" s="1" t="s">
        <v>13511</v>
      </c>
      <c r="H738" s="1" t="s">
        <v>13512</v>
      </c>
      <c r="I738" s="1" t="s">
        <v>13513</v>
      </c>
      <c r="J738" s="1">
        <v>8849604655</v>
      </c>
      <c r="K738" s="1" t="s">
        <v>148</v>
      </c>
      <c r="L738" s="1" t="s">
        <v>13514</v>
      </c>
      <c r="M738" s="1" t="s">
        <v>150</v>
      </c>
      <c r="N738" s="1" t="s">
        <v>13515</v>
      </c>
      <c r="O738" s="1"/>
      <c r="P738" s="1" t="s">
        <v>1278</v>
      </c>
      <c r="Q738" s="1" t="s">
        <v>13516</v>
      </c>
      <c r="R738" s="1" t="s">
        <v>13517</v>
      </c>
      <c r="S738" s="1">
        <v>9409087405</v>
      </c>
      <c r="T738" s="1" t="s">
        <v>120</v>
      </c>
      <c r="U738" s="1" t="s">
        <v>13518</v>
      </c>
      <c r="V738" s="1">
        <v>8849612019</v>
      </c>
      <c r="W738" s="1" t="s">
        <v>651</v>
      </c>
      <c r="X738" s="1" t="s">
        <v>13519</v>
      </c>
      <c r="Y738" s="1" t="s">
        <v>191</v>
      </c>
      <c r="Z738" s="1" t="s">
        <v>92</v>
      </c>
      <c r="AA738" s="1" t="s">
        <v>13520</v>
      </c>
      <c r="AB738" s="1" t="s">
        <v>6065</v>
      </c>
      <c r="AC738" s="1" t="s">
        <v>1237</v>
      </c>
      <c r="AD738" s="1">
        <v>8.56</v>
      </c>
      <c r="AE738" s="1" t="s">
        <v>93</v>
      </c>
      <c r="AF738" s="1" t="s">
        <v>13521</v>
      </c>
      <c r="AG738" s="1" t="s">
        <v>13522</v>
      </c>
      <c r="AH738" s="1" t="s">
        <v>7997</v>
      </c>
      <c r="AI738" s="1" t="s">
        <v>1668</v>
      </c>
      <c r="AJ738" s="1">
        <v>81.38</v>
      </c>
      <c r="AK738" s="1"/>
      <c r="AL738" s="1" t="s">
        <v>13523</v>
      </c>
      <c r="AM738" s="1" t="s">
        <v>13524</v>
      </c>
      <c r="AN738" s="1" t="s">
        <v>1240</v>
      </c>
      <c r="AO738" s="1" t="s">
        <v>727</v>
      </c>
      <c r="AP738" s="1">
        <v>81.53</v>
      </c>
      <c r="AQ738" s="1"/>
      <c r="AR738" s="1"/>
      <c r="AS738" s="1"/>
      <c r="AT738" s="1"/>
      <c r="AU738" s="1"/>
      <c r="AV738" s="1"/>
      <c r="AW738" s="1"/>
      <c r="AX738" s="1" t="s">
        <v>13525</v>
      </c>
      <c r="AY738" s="1" t="s">
        <v>13526</v>
      </c>
      <c r="AZ738" s="1" t="s">
        <v>128</v>
      </c>
      <c r="BA738" s="1" t="s">
        <v>383</v>
      </c>
      <c r="BB738" s="1">
        <v>65.37</v>
      </c>
      <c r="BC738" s="1"/>
      <c r="BD738" s="1"/>
      <c r="BE738" s="1"/>
      <c r="BF738" s="1"/>
      <c r="BG738" s="1"/>
      <c r="BH738" s="1"/>
      <c r="BI738" s="1"/>
      <c r="BJ738" s="1" t="s">
        <v>13527</v>
      </c>
      <c r="BK738" s="1" t="s">
        <v>13528</v>
      </c>
      <c r="BL738" s="1" t="s">
        <v>1202</v>
      </c>
      <c r="BM738" s="1" t="s">
        <v>13529</v>
      </c>
      <c r="BN738" s="1">
        <v>74</v>
      </c>
      <c r="BO738" s="1" t="s">
        <v>13530</v>
      </c>
      <c r="BP738" s="1" t="str">
        <f>HYPERLINK("https://nconnect.nicmar.ac.in/storage/profile/ProfilePhoto_P25700703_628351.jpg","Download")</f>
        <v>0</v>
      </c>
      <c r="BQ738" s="3"/>
      <c r="BR738" s="3"/>
    </row>
    <row r="739" spans="1:70">
      <c r="A739" s="1" t="s">
        <v>70</v>
      </c>
      <c r="B739" s="1" t="s">
        <v>1269</v>
      </c>
      <c r="C739" s="1" t="s">
        <v>13531</v>
      </c>
      <c r="D739" s="1" t="s">
        <v>793</v>
      </c>
      <c r="E739" s="1" t="s">
        <v>3297</v>
      </c>
      <c r="F739" s="1" t="s">
        <v>13532</v>
      </c>
      <c r="G739" s="1" t="s">
        <v>13533</v>
      </c>
      <c r="H739" s="1" t="s">
        <v>13534</v>
      </c>
      <c r="I739" s="1" t="s">
        <v>13535</v>
      </c>
      <c r="J739" s="1">
        <v>8766604754</v>
      </c>
      <c r="K739" s="1" t="s">
        <v>79</v>
      </c>
      <c r="L739" s="1" t="s">
        <v>13536</v>
      </c>
      <c r="M739" s="1" t="s">
        <v>81</v>
      </c>
      <c r="N739" s="1" t="s">
        <v>860</v>
      </c>
      <c r="O739" s="1"/>
      <c r="P739" s="1" t="s">
        <v>1278</v>
      </c>
      <c r="Q739" s="1" t="s">
        <v>13537</v>
      </c>
      <c r="R739" s="1" t="s">
        <v>3297</v>
      </c>
      <c r="S739" s="1">
        <v>7588043653</v>
      </c>
      <c r="T739" s="1" t="s">
        <v>472</v>
      </c>
      <c r="U739" s="1" t="s">
        <v>13538</v>
      </c>
      <c r="V739" s="1">
        <v>9325638120</v>
      </c>
      <c r="W739" s="1" t="s">
        <v>156</v>
      </c>
      <c r="X739" s="1" t="s">
        <v>13539</v>
      </c>
      <c r="Y739" s="1" t="s">
        <v>191</v>
      </c>
      <c r="Z739" s="1" t="s">
        <v>92</v>
      </c>
      <c r="AA739" s="1" t="s">
        <v>13540</v>
      </c>
      <c r="AB739" s="1" t="s">
        <v>91</v>
      </c>
      <c r="AC739" s="1" t="s">
        <v>92</v>
      </c>
      <c r="AD739" s="1">
        <v>7.77</v>
      </c>
      <c r="AE739" s="1" t="s">
        <v>93</v>
      </c>
      <c r="AF739" s="1" t="s">
        <v>13541</v>
      </c>
      <c r="AG739" s="1" t="s">
        <v>476</v>
      </c>
      <c r="AH739" s="1" t="s">
        <v>101</v>
      </c>
      <c r="AI739" s="1" t="s">
        <v>409</v>
      </c>
      <c r="AJ739" s="1">
        <v>72.4</v>
      </c>
      <c r="AK739" s="1"/>
      <c r="AL739" s="1" t="s">
        <v>13542</v>
      </c>
      <c r="AM739" s="1" t="s">
        <v>476</v>
      </c>
      <c r="AN739" s="1" t="s">
        <v>5484</v>
      </c>
      <c r="AO739" s="1" t="s">
        <v>1712</v>
      </c>
      <c r="AP739" s="1">
        <v>69.17</v>
      </c>
      <c r="AQ739" s="1"/>
      <c r="AR739" s="1"/>
      <c r="AS739" s="1"/>
      <c r="AT739" s="1"/>
      <c r="AU739" s="1"/>
      <c r="AV739" s="1"/>
      <c r="AW739" s="1"/>
      <c r="AX739" s="1" t="s">
        <v>361</v>
      </c>
      <c r="AY739" s="1" t="s">
        <v>13543</v>
      </c>
      <c r="AZ739" s="1" t="s">
        <v>897</v>
      </c>
      <c r="BA739" s="1" t="s">
        <v>1361</v>
      </c>
      <c r="BB739" s="1">
        <v>59.98</v>
      </c>
      <c r="BC739" s="1">
        <v>6.74</v>
      </c>
      <c r="BD739" s="1"/>
      <c r="BE739" s="1"/>
      <c r="BF739" s="1"/>
      <c r="BG739" s="1"/>
      <c r="BH739" s="1"/>
      <c r="BI739" s="1"/>
      <c r="BJ739" s="1" t="s">
        <v>13544</v>
      </c>
      <c r="BK739" s="1"/>
      <c r="BL739" s="1"/>
      <c r="BM739" s="1" t="s">
        <v>13545</v>
      </c>
      <c r="BN739" s="1">
        <v>5</v>
      </c>
      <c r="BO739" s="1" t="s">
        <v>13546</v>
      </c>
      <c r="BP739" s="1" t="str">
        <f>HYPERLINK("https://nconnect.nicmar.ac.in/storage/profile/ProfilePhoto_P25700704_865749.jpg","Download")</f>
        <v>0</v>
      </c>
      <c r="BQ739" s="3"/>
      <c r="BR739" s="3"/>
    </row>
    <row r="740" spans="1:70">
      <c r="A740" s="1" t="s">
        <v>70</v>
      </c>
      <c r="B740" s="1" t="s">
        <v>1269</v>
      </c>
      <c r="C740" s="1" t="s">
        <v>13547</v>
      </c>
      <c r="D740" s="1" t="s">
        <v>13548</v>
      </c>
      <c r="E740" s="1"/>
      <c r="F740" s="1" t="s">
        <v>13549</v>
      </c>
      <c r="G740" s="1" t="s">
        <v>13550</v>
      </c>
      <c r="H740" s="1" t="s">
        <v>13551</v>
      </c>
      <c r="I740" s="1" t="s">
        <v>13552</v>
      </c>
      <c r="J740" s="1">
        <v>7729951562</v>
      </c>
      <c r="K740" s="1" t="s">
        <v>79</v>
      </c>
      <c r="L740" s="1" t="s">
        <v>13553</v>
      </c>
      <c r="M740" s="1" t="s">
        <v>81</v>
      </c>
      <c r="N740" s="1" t="s">
        <v>13554</v>
      </c>
      <c r="O740" s="1"/>
      <c r="P740" s="1" t="s">
        <v>1278</v>
      </c>
      <c r="Q740" s="1" t="s">
        <v>13555</v>
      </c>
      <c r="R740" s="1" t="s">
        <v>13556</v>
      </c>
      <c r="S740" s="1">
        <v>8464861562</v>
      </c>
      <c r="T740" s="1" t="s">
        <v>496</v>
      </c>
      <c r="U740" s="1" t="s">
        <v>13557</v>
      </c>
      <c r="V740" s="1">
        <v>9182034044</v>
      </c>
      <c r="W740" s="1" t="s">
        <v>89</v>
      </c>
      <c r="X740" s="1" t="s">
        <v>13558</v>
      </c>
      <c r="Y740" s="1" t="s">
        <v>2261</v>
      </c>
      <c r="Z740" s="1" t="s">
        <v>276</v>
      </c>
      <c r="AA740" s="1" t="s">
        <v>13558</v>
      </c>
      <c r="AB740" s="1" t="s">
        <v>2261</v>
      </c>
      <c r="AC740" s="1" t="s">
        <v>276</v>
      </c>
      <c r="AD740" s="1">
        <v>8.2</v>
      </c>
      <c r="AE740" s="1" t="s">
        <v>93</v>
      </c>
      <c r="AF740" s="1" t="s">
        <v>13559</v>
      </c>
      <c r="AG740" s="1" t="s">
        <v>13560</v>
      </c>
      <c r="AH740" s="1" t="s">
        <v>165</v>
      </c>
      <c r="AI740" s="1" t="s">
        <v>281</v>
      </c>
      <c r="AJ740" s="1">
        <v>95</v>
      </c>
      <c r="AK740" s="1">
        <v>9.5</v>
      </c>
      <c r="AL740" s="1" t="s">
        <v>4308</v>
      </c>
      <c r="AM740" s="1" t="s">
        <v>1154</v>
      </c>
      <c r="AN740" s="1" t="s">
        <v>433</v>
      </c>
      <c r="AO740" s="1" t="s">
        <v>941</v>
      </c>
      <c r="AP740" s="1">
        <v>94</v>
      </c>
      <c r="AQ740" s="1">
        <v>9.4</v>
      </c>
      <c r="AR740" s="1"/>
      <c r="AS740" s="1"/>
      <c r="AT740" s="1"/>
      <c r="AU740" s="1"/>
      <c r="AV740" s="1"/>
      <c r="AW740" s="1"/>
      <c r="AX740" s="1" t="s">
        <v>13561</v>
      </c>
      <c r="AY740" s="1" t="s">
        <v>13561</v>
      </c>
      <c r="AZ740" s="1" t="s">
        <v>170</v>
      </c>
      <c r="BA740" s="1" t="s">
        <v>202</v>
      </c>
      <c r="BB740" s="1">
        <v>76.3</v>
      </c>
      <c r="BC740" s="1">
        <v>8.13</v>
      </c>
      <c r="BD740" s="1"/>
      <c r="BE740" s="1"/>
      <c r="BF740" s="1"/>
      <c r="BG740" s="1"/>
      <c r="BH740" s="1"/>
      <c r="BI740" s="1"/>
      <c r="BJ740" s="1" t="s">
        <v>13562</v>
      </c>
      <c r="BK740" s="1"/>
      <c r="BL740" s="1"/>
      <c r="BM740" s="1" t="s">
        <v>13563</v>
      </c>
      <c r="BN740" s="1">
        <v>16</v>
      </c>
      <c r="BO740" s="1" t="s">
        <v>13564</v>
      </c>
      <c r="BP740" s="1" t="str">
        <f>HYPERLINK("https://nconnect.nicmar.ac.in/storage/profile/ProfilePhoto_P25700705_645739.jpg","Download")</f>
        <v>0</v>
      </c>
      <c r="BQ740" s="3"/>
      <c r="BR740" s="3"/>
    </row>
    <row r="741" spans="1:70">
      <c r="A741" s="1" t="s">
        <v>70</v>
      </c>
      <c r="B741" s="1" t="s">
        <v>1269</v>
      </c>
      <c r="C741" s="1" t="s">
        <v>13565</v>
      </c>
      <c r="D741" s="1" t="s">
        <v>13566</v>
      </c>
      <c r="E741" s="1" t="s">
        <v>144</v>
      </c>
      <c r="F741" s="1" t="s">
        <v>13567</v>
      </c>
      <c r="G741" s="1" t="s">
        <v>13568</v>
      </c>
      <c r="H741" s="1" t="s">
        <v>13569</v>
      </c>
      <c r="I741" s="1" t="s">
        <v>13570</v>
      </c>
      <c r="J741" s="1">
        <v>9765720252</v>
      </c>
      <c r="K741" s="1" t="s">
        <v>79</v>
      </c>
      <c r="L741" s="1" t="s">
        <v>349</v>
      </c>
      <c r="M741" s="1" t="s">
        <v>81</v>
      </c>
      <c r="N741" s="1" t="s">
        <v>2008</v>
      </c>
      <c r="O741" s="1"/>
      <c r="P741" s="1" t="s">
        <v>1298</v>
      </c>
      <c r="Q741" s="1" t="s">
        <v>13571</v>
      </c>
      <c r="R741" s="1" t="s">
        <v>144</v>
      </c>
      <c r="S741" s="1">
        <v>9921944604</v>
      </c>
      <c r="T741" s="1" t="s">
        <v>496</v>
      </c>
      <c r="U741" s="1" t="s">
        <v>11950</v>
      </c>
      <c r="V741" s="1">
        <v>8007541104</v>
      </c>
      <c r="W741" s="1" t="s">
        <v>273</v>
      </c>
      <c r="X741" s="1" t="s">
        <v>13572</v>
      </c>
      <c r="Y741" s="1" t="s">
        <v>379</v>
      </c>
      <c r="Z741" s="1" t="s">
        <v>92</v>
      </c>
      <c r="AA741" s="1" t="s">
        <v>13572</v>
      </c>
      <c r="AB741" s="1" t="s">
        <v>379</v>
      </c>
      <c r="AC741" s="1" t="s">
        <v>92</v>
      </c>
      <c r="AD741" s="1">
        <v>7.61</v>
      </c>
      <c r="AE741" s="1" t="s">
        <v>93</v>
      </c>
      <c r="AF741" s="1" t="s">
        <v>13573</v>
      </c>
      <c r="AG741" s="1" t="s">
        <v>160</v>
      </c>
      <c r="AH741" s="1" t="s">
        <v>101</v>
      </c>
      <c r="AI741" s="1" t="s">
        <v>409</v>
      </c>
      <c r="AJ741" s="1">
        <v>71.8</v>
      </c>
      <c r="AK741" s="1"/>
      <c r="AL741" s="1"/>
      <c r="AM741" s="1"/>
      <c r="AN741" s="1"/>
      <c r="AO741" s="1"/>
      <c r="AP741" s="1"/>
      <c r="AQ741" s="1"/>
      <c r="AR741" s="1" t="s">
        <v>250</v>
      </c>
      <c r="AS741" s="1" t="s">
        <v>13574</v>
      </c>
      <c r="AT741" s="1" t="s">
        <v>13575</v>
      </c>
      <c r="AU741" s="1" t="s">
        <v>481</v>
      </c>
      <c r="AV741" s="1">
        <v>79.05</v>
      </c>
      <c r="AW741" s="1"/>
      <c r="AX741" s="1" t="s">
        <v>361</v>
      </c>
      <c r="AY741" s="1" t="s">
        <v>13576</v>
      </c>
      <c r="AZ741" s="1" t="s">
        <v>2690</v>
      </c>
      <c r="BA741" s="1" t="s">
        <v>1714</v>
      </c>
      <c r="BB741" s="1">
        <v>61.14</v>
      </c>
      <c r="BC741" s="1">
        <v>6.87</v>
      </c>
      <c r="BD741" s="1"/>
      <c r="BE741" s="1"/>
      <c r="BF741" s="1"/>
      <c r="BG741" s="1"/>
      <c r="BH741" s="1"/>
      <c r="BI741" s="1"/>
      <c r="BJ741" s="1" t="s">
        <v>13577</v>
      </c>
      <c r="BK741" s="1"/>
      <c r="BL741" s="1"/>
      <c r="BM741" s="1" t="s">
        <v>13578</v>
      </c>
      <c r="BN741" s="1">
        <v>4</v>
      </c>
      <c r="BO741" s="1" t="s">
        <v>10680</v>
      </c>
      <c r="BP741" s="1" t="str">
        <f>HYPERLINK("https://nconnect.nicmar.ac.in/storage/profile/ProfilePhoto_P25700706_624518.jpg","Download")</f>
        <v>0</v>
      </c>
      <c r="BQ741" s="3"/>
      <c r="BR741" s="3"/>
    </row>
    <row r="742" spans="1:70">
      <c r="A742" s="1" t="s">
        <v>70</v>
      </c>
      <c r="B742" s="1" t="s">
        <v>1269</v>
      </c>
      <c r="C742" s="1" t="s">
        <v>13579</v>
      </c>
      <c r="D742" s="1" t="s">
        <v>7847</v>
      </c>
      <c r="E742" s="1" t="s">
        <v>13580</v>
      </c>
      <c r="F742" s="1" t="s">
        <v>13581</v>
      </c>
      <c r="G742" s="1" t="s">
        <v>13582</v>
      </c>
      <c r="H742" s="1" t="s">
        <v>13583</v>
      </c>
      <c r="I742" s="1" t="s">
        <v>13584</v>
      </c>
      <c r="J742" s="1">
        <v>9370294385</v>
      </c>
      <c r="K742" s="1" t="s">
        <v>79</v>
      </c>
      <c r="L742" s="1" t="s">
        <v>13585</v>
      </c>
      <c r="M742" s="1" t="s">
        <v>81</v>
      </c>
      <c r="N742" s="1" t="s">
        <v>13586</v>
      </c>
      <c r="O742" s="1"/>
      <c r="P742" s="1" t="s">
        <v>1323</v>
      </c>
      <c r="Q742" s="1" t="s">
        <v>13587</v>
      </c>
      <c r="R742" s="1" t="s">
        <v>13588</v>
      </c>
      <c r="S742" s="1">
        <v>9881560984</v>
      </c>
      <c r="T742" s="1" t="s">
        <v>154</v>
      </c>
      <c r="U742" s="1" t="s">
        <v>13589</v>
      </c>
      <c r="V742" s="1">
        <v>9923888898</v>
      </c>
      <c r="W742" s="1" t="s">
        <v>13590</v>
      </c>
      <c r="X742" s="1" t="s">
        <v>13591</v>
      </c>
      <c r="Y742" s="1" t="s">
        <v>5767</v>
      </c>
      <c r="Z742" s="1" t="s">
        <v>92</v>
      </c>
      <c r="AA742" s="1" t="s">
        <v>13591</v>
      </c>
      <c r="AB742" s="1" t="s">
        <v>5767</v>
      </c>
      <c r="AC742" s="1" t="s">
        <v>92</v>
      </c>
      <c r="AD742" s="1">
        <v>8.44</v>
      </c>
      <c r="AE742" s="1" t="s">
        <v>93</v>
      </c>
      <c r="AF742" s="1" t="s">
        <v>13592</v>
      </c>
      <c r="AG742" s="1" t="s">
        <v>476</v>
      </c>
      <c r="AH742" s="1" t="s">
        <v>165</v>
      </c>
      <c r="AI742" s="1" t="s">
        <v>1307</v>
      </c>
      <c r="AJ742" s="1">
        <v>89.6</v>
      </c>
      <c r="AK742" s="1">
        <v>0</v>
      </c>
      <c r="AL742" s="1" t="s">
        <v>13592</v>
      </c>
      <c r="AM742" s="1" t="s">
        <v>476</v>
      </c>
      <c r="AN742" s="1" t="s">
        <v>433</v>
      </c>
      <c r="AO742" s="1" t="s">
        <v>1833</v>
      </c>
      <c r="AP742" s="1">
        <v>66</v>
      </c>
      <c r="AQ742" s="1">
        <v>0</v>
      </c>
      <c r="AR742" s="1"/>
      <c r="AS742" s="1"/>
      <c r="AT742" s="1"/>
      <c r="AU742" s="1"/>
      <c r="AV742" s="1"/>
      <c r="AW742" s="1"/>
      <c r="AX742" s="1" t="s">
        <v>361</v>
      </c>
      <c r="AY742" s="1" t="s">
        <v>13593</v>
      </c>
      <c r="AZ742" s="1" t="s">
        <v>173</v>
      </c>
      <c r="BA742" s="1" t="s">
        <v>202</v>
      </c>
      <c r="BB742" s="1">
        <v>66.4</v>
      </c>
      <c r="BC742" s="1">
        <v>7.39</v>
      </c>
      <c r="BD742" s="1"/>
      <c r="BE742" s="1"/>
      <c r="BF742" s="1"/>
      <c r="BG742" s="1"/>
      <c r="BH742" s="1"/>
      <c r="BI742" s="1"/>
      <c r="BJ742" s="1" t="s">
        <v>13594</v>
      </c>
      <c r="BK742" s="1"/>
      <c r="BL742" s="1"/>
      <c r="BM742" s="1" t="s">
        <v>13595</v>
      </c>
      <c r="BN742" s="1">
        <v>25</v>
      </c>
      <c r="BO742" s="1" t="s">
        <v>13596</v>
      </c>
      <c r="BP742" s="1" t="str">
        <f>HYPERLINK("https://nconnect.nicmar.ac.in/storage/profile/ProfilePhoto_P25700707_593176.jpg","Download")</f>
        <v>0</v>
      </c>
      <c r="BQ742" s="3"/>
      <c r="BR742" s="3"/>
    </row>
    <row r="743" spans="1:70">
      <c r="A743" s="1" t="s">
        <v>70</v>
      </c>
      <c r="B743" s="1" t="s">
        <v>1269</v>
      </c>
      <c r="C743" s="1" t="s">
        <v>13597</v>
      </c>
      <c r="D743" s="1" t="s">
        <v>533</v>
      </c>
      <c r="E743" s="1" t="s">
        <v>13598</v>
      </c>
      <c r="F743" s="1" t="s">
        <v>13599</v>
      </c>
      <c r="G743" s="1" t="s">
        <v>13600</v>
      </c>
      <c r="H743" s="1" t="s">
        <v>13601</v>
      </c>
      <c r="I743" s="1" t="s">
        <v>13602</v>
      </c>
      <c r="J743" s="1">
        <v>9579792417</v>
      </c>
      <c r="K743" s="1" t="s">
        <v>79</v>
      </c>
      <c r="L743" s="1" t="s">
        <v>10643</v>
      </c>
      <c r="M743" s="1" t="s">
        <v>81</v>
      </c>
      <c r="N743" s="1" t="s">
        <v>13603</v>
      </c>
      <c r="O743" s="1"/>
      <c r="P743" s="1" t="s">
        <v>1323</v>
      </c>
      <c r="Q743" s="1" t="s">
        <v>13604</v>
      </c>
      <c r="R743" s="1" t="s">
        <v>13605</v>
      </c>
      <c r="S743" s="1">
        <v>9850111787</v>
      </c>
      <c r="T743" s="1" t="s">
        <v>496</v>
      </c>
      <c r="U743" s="1" t="s">
        <v>13606</v>
      </c>
      <c r="V743" s="1">
        <v>7755954069</v>
      </c>
      <c r="W743" s="1" t="s">
        <v>156</v>
      </c>
      <c r="X743" s="1" t="s">
        <v>13607</v>
      </c>
      <c r="Y743" s="1" t="s">
        <v>328</v>
      </c>
      <c r="Z743" s="1" t="s">
        <v>92</v>
      </c>
      <c r="AA743" s="1" t="s">
        <v>13607</v>
      </c>
      <c r="AB743" s="1" t="s">
        <v>328</v>
      </c>
      <c r="AC743" s="1" t="s">
        <v>92</v>
      </c>
      <c r="AD743" s="1">
        <v>8.85</v>
      </c>
      <c r="AE743" s="1" t="s">
        <v>93</v>
      </c>
      <c r="AF743" s="1" t="s">
        <v>13608</v>
      </c>
      <c r="AG743" s="1" t="s">
        <v>13609</v>
      </c>
      <c r="AH743" s="1" t="s">
        <v>281</v>
      </c>
      <c r="AI743" s="1" t="s">
        <v>409</v>
      </c>
      <c r="AJ743" s="1">
        <v>87.6</v>
      </c>
      <c r="AK743" s="1">
        <v>0</v>
      </c>
      <c r="AL743" s="1"/>
      <c r="AM743" s="1"/>
      <c r="AN743" s="1"/>
      <c r="AO743" s="1"/>
      <c r="AP743" s="1"/>
      <c r="AQ743" s="1"/>
      <c r="AR743" s="1" t="s">
        <v>434</v>
      </c>
      <c r="AS743" s="1" t="s">
        <v>13610</v>
      </c>
      <c r="AT743" s="1" t="s">
        <v>201</v>
      </c>
      <c r="AU743" s="1" t="s">
        <v>874</v>
      </c>
      <c r="AV743" s="1">
        <v>81</v>
      </c>
      <c r="AW743" s="1">
        <v>0</v>
      </c>
      <c r="AX743" s="1" t="s">
        <v>13611</v>
      </c>
      <c r="AY743" s="1" t="s">
        <v>4292</v>
      </c>
      <c r="AZ743" s="1" t="s">
        <v>2690</v>
      </c>
      <c r="BA743" s="1" t="s">
        <v>1584</v>
      </c>
      <c r="BB743" s="1">
        <v>64.81</v>
      </c>
      <c r="BC743" s="1">
        <v>7.43</v>
      </c>
      <c r="BD743" s="1"/>
      <c r="BE743" s="1"/>
      <c r="BF743" s="1"/>
      <c r="BG743" s="1"/>
      <c r="BH743" s="1"/>
      <c r="BI743" s="1"/>
      <c r="BJ743" s="1" t="s">
        <v>1383</v>
      </c>
      <c r="BK743" s="1"/>
      <c r="BL743" s="1"/>
      <c r="BM743" s="1" t="s">
        <v>13612</v>
      </c>
      <c r="BN743" s="1">
        <v>11</v>
      </c>
      <c r="BO743" s="1"/>
      <c r="BP743" s="1" t="str">
        <f>HYPERLINK("https://nconnect.nicmar.ac.in/storage/profile/ProfilePhoto_P25700708_764359.jpg","Download")</f>
        <v>0</v>
      </c>
      <c r="BQ743" s="3"/>
      <c r="BR743" s="3"/>
    </row>
    <row r="744" spans="1:70">
      <c r="A744" s="1" t="s">
        <v>70</v>
      </c>
      <c r="B744" s="1" t="s">
        <v>1269</v>
      </c>
      <c r="C744" s="1" t="s">
        <v>13613</v>
      </c>
      <c r="D744" s="1" t="s">
        <v>13614</v>
      </c>
      <c r="E744" s="1"/>
      <c r="F744" s="1" t="s">
        <v>13615</v>
      </c>
      <c r="G744" s="1" t="s">
        <v>13616</v>
      </c>
      <c r="H744" s="1" t="s">
        <v>13617</v>
      </c>
      <c r="I744" s="1" t="s">
        <v>13618</v>
      </c>
      <c r="J744" s="1">
        <v>9766780953</v>
      </c>
      <c r="K744" s="1" t="s">
        <v>148</v>
      </c>
      <c r="L744" s="1" t="s">
        <v>10557</v>
      </c>
      <c r="M744" s="1" t="s">
        <v>81</v>
      </c>
      <c r="N744" s="1" t="s">
        <v>2008</v>
      </c>
      <c r="O744" s="1"/>
      <c r="P744" s="1" t="s">
        <v>1323</v>
      </c>
      <c r="Q744" s="1" t="s">
        <v>13619</v>
      </c>
      <c r="R744" s="1" t="s">
        <v>13620</v>
      </c>
      <c r="S744" s="1">
        <v>7887711477</v>
      </c>
      <c r="T744" s="1" t="s">
        <v>13621</v>
      </c>
      <c r="U744" s="1" t="s">
        <v>13622</v>
      </c>
      <c r="V744" s="1">
        <v>8530340222</v>
      </c>
      <c r="W744" s="1" t="s">
        <v>13623</v>
      </c>
      <c r="X744" s="1" t="s">
        <v>13624</v>
      </c>
      <c r="Y744" s="1" t="s">
        <v>766</v>
      </c>
      <c r="Z744" s="1" t="s">
        <v>92</v>
      </c>
      <c r="AA744" s="1" t="s">
        <v>13624</v>
      </c>
      <c r="AB744" s="1" t="s">
        <v>766</v>
      </c>
      <c r="AC744" s="1" t="s">
        <v>92</v>
      </c>
      <c r="AD744" s="1">
        <v>7.12</v>
      </c>
      <c r="AE744" s="1" t="s">
        <v>93</v>
      </c>
      <c r="AF744" s="1" t="s">
        <v>13625</v>
      </c>
      <c r="AG744" s="1" t="s">
        <v>13626</v>
      </c>
      <c r="AH744" s="1" t="s">
        <v>337</v>
      </c>
      <c r="AI744" s="1" t="s">
        <v>162</v>
      </c>
      <c r="AJ744" s="1">
        <v>75.4</v>
      </c>
      <c r="AK744" s="1"/>
      <c r="AL744" s="1" t="s">
        <v>13627</v>
      </c>
      <c r="AM744" s="1" t="s">
        <v>13628</v>
      </c>
      <c r="AN744" s="1" t="s">
        <v>383</v>
      </c>
      <c r="AO744" s="1" t="s">
        <v>166</v>
      </c>
      <c r="AP744" s="1">
        <v>73.2</v>
      </c>
      <c r="AQ744" s="1"/>
      <c r="AR744" s="1" t="s">
        <v>434</v>
      </c>
      <c r="AS744" s="1" t="s">
        <v>13629</v>
      </c>
      <c r="AT744" s="1" t="s">
        <v>636</v>
      </c>
      <c r="AU744" s="1" t="s">
        <v>412</v>
      </c>
      <c r="AV744" s="1">
        <v>78.26</v>
      </c>
      <c r="AW744" s="1"/>
      <c r="AX744" s="1" t="s">
        <v>1024</v>
      </c>
      <c r="AY744" s="1" t="s">
        <v>13630</v>
      </c>
      <c r="AZ744" s="1" t="s">
        <v>920</v>
      </c>
      <c r="BA744" s="1" t="s">
        <v>413</v>
      </c>
      <c r="BB744" s="1">
        <v>65.95</v>
      </c>
      <c r="BC744" s="1">
        <v>6.47</v>
      </c>
      <c r="BD744" s="1"/>
      <c r="BE744" s="1"/>
      <c r="BF744" s="1"/>
      <c r="BG744" s="1"/>
      <c r="BH744" s="1"/>
      <c r="BI744" s="1"/>
      <c r="BJ744" s="1" t="s">
        <v>255</v>
      </c>
      <c r="BK744" s="1"/>
      <c r="BL744" s="1"/>
      <c r="BM744" s="1"/>
      <c r="BN744" s="1"/>
      <c r="BO744" s="1"/>
      <c r="BP744" s="1" t="str">
        <f>HYPERLINK("https://nconnect.nicmar.ac.in/storage/profile/ProfilePhoto_P25700709_218653.jpg","Download")</f>
        <v>0</v>
      </c>
      <c r="BQ744" s="3"/>
      <c r="BR744" s="3"/>
    </row>
    <row r="745" spans="1:70">
      <c r="A745" s="1" t="s">
        <v>70</v>
      </c>
      <c r="B745" s="1" t="s">
        <v>1269</v>
      </c>
      <c r="C745" s="1" t="s">
        <v>13631</v>
      </c>
      <c r="D745" s="1" t="s">
        <v>8094</v>
      </c>
      <c r="E745" s="1" t="s">
        <v>13632</v>
      </c>
      <c r="F745" s="1" t="s">
        <v>4807</v>
      </c>
      <c r="G745" s="1" t="s">
        <v>13633</v>
      </c>
      <c r="H745" s="1" t="s">
        <v>13634</v>
      </c>
      <c r="I745" s="1" t="s">
        <v>13635</v>
      </c>
      <c r="J745" s="1">
        <v>8106398069</v>
      </c>
      <c r="K745" s="1" t="s">
        <v>79</v>
      </c>
      <c r="L745" s="1" t="s">
        <v>5222</v>
      </c>
      <c r="M745" s="1" t="s">
        <v>81</v>
      </c>
      <c r="N745" s="1" t="s">
        <v>2274</v>
      </c>
      <c r="O745" s="1"/>
      <c r="P745" s="1" t="s">
        <v>1298</v>
      </c>
      <c r="Q745" s="1" t="s">
        <v>13636</v>
      </c>
      <c r="R745" s="1" t="s">
        <v>13637</v>
      </c>
      <c r="S745" s="1">
        <v>9440100936</v>
      </c>
      <c r="T745" s="1" t="s">
        <v>496</v>
      </c>
      <c r="U745" s="1" t="s">
        <v>13638</v>
      </c>
      <c r="V745" s="1">
        <v>8309908261</v>
      </c>
      <c r="W745" s="1" t="s">
        <v>273</v>
      </c>
      <c r="X745" s="1" t="s">
        <v>13639</v>
      </c>
      <c r="Y745" s="1" t="s">
        <v>13640</v>
      </c>
      <c r="Z745" s="1" t="s">
        <v>276</v>
      </c>
      <c r="AA745" s="1" t="s">
        <v>13639</v>
      </c>
      <c r="AB745" s="1" t="s">
        <v>13640</v>
      </c>
      <c r="AC745" s="1" t="s">
        <v>276</v>
      </c>
      <c r="AD745" s="1">
        <v>8.44</v>
      </c>
      <c r="AE745" s="1" t="s">
        <v>93</v>
      </c>
      <c r="AF745" s="1" t="s">
        <v>8991</v>
      </c>
      <c r="AG745" s="1" t="s">
        <v>13641</v>
      </c>
      <c r="AH745" s="1" t="s">
        <v>165</v>
      </c>
      <c r="AI745" s="1" t="s">
        <v>1307</v>
      </c>
      <c r="AJ745" s="1">
        <v>95</v>
      </c>
      <c r="AK745" s="1">
        <v>9.5</v>
      </c>
      <c r="AL745" s="1" t="s">
        <v>612</v>
      </c>
      <c r="AM745" s="1" t="s">
        <v>13642</v>
      </c>
      <c r="AN745" s="1" t="s">
        <v>166</v>
      </c>
      <c r="AO745" s="1" t="s">
        <v>699</v>
      </c>
      <c r="AP745" s="1">
        <v>93.4</v>
      </c>
      <c r="AQ745" s="1">
        <v>9.82</v>
      </c>
      <c r="AR745" s="1"/>
      <c r="AS745" s="1"/>
      <c r="AT745" s="1"/>
      <c r="AU745" s="1"/>
      <c r="AV745" s="1"/>
      <c r="AW745" s="1"/>
      <c r="AX745" s="1" t="s">
        <v>7614</v>
      </c>
      <c r="AY745" s="1" t="s">
        <v>11990</v>
      </c>
      <c r="AZ745" s="1" t="s">
        <v>699</v>
      </c>
      <c r="BA745" s="1" t="s">
        <v>1938</v>
      </c>
      <c r="BB745" s="1">
        <v>79.2</v>
      </c>
      <c r="BC745" s="1">
        <v>7.92</v>
      </c>
      <c r="BD745" s="1"/>
      <c r="BE745" s="1"/>
      <c r="BF745" s="1"/>
      <c r="BG745" s="1"/>
      <c r="BH745" s="1"/>
      <c r="BI745" s="1"/>
      <c r="BJ745" s="1" t="s">
        <v>364</v>
      </c>
      <c r="BK745" s="1"/>
      <c r="BL745" s="1"/>
      <c r="BM745" s="1" t="s">
        <v>13643</v>
      </c>
      <c r="BN745" s="1">
        <v>1</v>
      </c>
      <c r="BO745" s="1"/>
      <c r="BP745" s="1" t="str">
        <f>HYPERLINK("https://nconnect.nicmar.ac.in/storage/profile/ProfilePhoto_P25700710_586142.jpg","Download")</f>
        <v>0</v>
      </c>
      <c r="BQ745" s="3"/>
      <c r="BR745" s="3"/>
    </row>
    <row r="746" spans="1:70">
      <c r="A746" s="1" t="s">
        <v>70</v>
      </c>
      <c r="B746" s="1" t="s">
        <v>1269</v>
      </c>
      <c r="C746" s="1" t="s">
        <v>13644</v>
      </c>
      <c r="D746" s="1" t="s">
        <v>13645</v>
      </c>
      <c r="E746" s="1" t="s">
        <v>13646</v>
      </c>
      <c r="F746" s="1" t="s">
        <v>13647</v>
      </c>
      <c r="G746" s="1" t="s">
        <v>13648</v>
      </c>
      <c r="H746" s="1" t="s">
        <v>13649</v>
      </c>
      <c r="I746" s="1" t="s">
        <v>13650</v>
      </c>
      <c r="J746" s="1">
        <v>9370752657</v>
      </c>
      <c r="K746" s="1" t="s">
        <v>79</v>
      </c>
      <c r="L746" s="1" t="s">
        <v>2717</v>
      </c>
      <c r="M746" s="1" t="s">
        <v>81</v>
      </c>
      <c r="N746" s="1" t="s">
        <v>13651</v>
      </c>
      <c r="O746" s="1"/>
      <c r="P746" s="1" t="s">
        <v>1278</v>
      </c>
      <c r="Q746" s="1" t="s">
        <v>13652</v>
      </c>
      <c r="R746" s="1" t="s">
        <v>13646</v>
      </c>
      <c r="S746" s="1">
        <v>7038098693</v>
      </c>
      <c r="T746" s="1" t="s">
        <v>13653</v>
      </c>
      <c r="U746" s="1" t="s">
        <v>9156</v>
      </c>
      <c r="V746" s="1">
        <v>8999943904</v>
      </c>
      <c r="W746" s="1" t="s">
        <v>156</v>
      </c>
      <c r="X746" s="1" t="s">
        <v>13654</v>
      </c>
      <c r="Y746" s="1" t="s">
        <v>2786</v>
      </c>
      <c r="Z746" s="1" t="s">
        <v>92</v>
      </c>
      <c r="AA746" s="1" t="s">
        <v>13654</v>
      </c>
      <c r="AB746" s="1" t="s">
        <v>2786</v>
      </c>
      <c r="AC746" s="1" t="s">
        <v>92</v>
      </c>
      <c r="AD746" s="1">
        <v>7.97</v>
      </c>
      <c r="AE746" s="1" t="s">
        <v>93</v>
      </c>
      <c r="AF746" s="1" t="s">
        <v>13655</v>
      </c>
      <c r="AG746" s="1" t="s">
        <v>160</v>
      </c>
      <c r="AH746" s="1" t="s">
        <v>165</v>
      </c>
      <c r="AI746" s="1" t="s">
        <v>281</v>
      </c>
      <c r="AJ746" s="1">
        <v>95.8</v>
      </c>
      <c r="AK746" s="1"/>
      <c r="AL746" s="1" t="s">
        <v>13656</v>
      </c>
      <c r="AM746" s="1" t="s">
        <v>160</v>
      </c>
      <c r="AN746" s="1" t="s">
        <v>310</v>
      </c>
      <c r="AO746" s="1" t="s">
        <v>13657</v>
      </c>
      <c r="AP746" s="1">
        <v>63.68</v>
      </c>
      <c r="AQ746" s="1"/>
      <c r="AR746" s="1"/>
      <c r="AS746" s="1"/>
      <c r="AT746" s="1"/>
      <c r="AU746" s="1"/>
      <c r="AV746" s="1"/>
      <c r="AW746" s="1"/>
      <c r="AX746" s="1" t="s">
        <v>1891</v>
      </c>
      <c r="AY746" s="1" t="s">
        <v>13658</v>
      </c>
      <c r="AZ746" s="1" t="s">
        <v>1051</v>
      </c>
      <c r="BA746" s="1" t="s">
        <v>1361</v>
      </c>
      <c r="BB746" s="1">
        <v>65.17</v>
      </c>
      <c r="BC746" s="1">
        <v>6.86</v>
      </c>
      <c r="BD746" s="1"/>
      <c r="BE746" s="1"/>
      <c r="BF746" s="1"/>
      <c r="BG746" s="1"/>
      <c r="BH746" s="1"/>
      <c r="BI746" s="1"/>
      <c r="BJ746" s="1" t="s">
        <v>255</v>
      </c>
      <c r="BK746" s="1"/>
      <c r="BL746" s="1"/>
      <c r="BM746" s="1" t="s">
        <v>13659</v>
      </c>
      <c r="BN746" s="1">
        <v>12</v>
      </c>
      <c r="BO746" s="1" t="s">
        <v>13660</v>
      </c>
      <c r="BP746" s="1" t="str">
        <f>HYPERLINK("https://nconnect.nicmar.ac.in/storage/profile/ProfilePhoto_P25700711_478962.jpg","Download")</f>
        <v>0</v>
      </c>
      <c r="BQ746" s="3"/>
      <c r="BR746" s="3"/>
    </row>
    <row r="747" spans="1:70">
      <c r="A747" s="1" t="s">
        <v>70</v>
      </c>
      <c r="B747" s="1" t="s">
        <v>1269</v>
      </c>
      <c r="C747" s="1" t="s">
        <v>13661</v>
      </c>
      <c r="D747" s="1" t="s">
        <v>3051</v>
      </c>
      <c r="E747" s="1" t="s">
        <v>6466</v>
      </c>
      <c r="F747" s="1" t="s">
        <v>2024</v>
      </c>
      <c r="G747" s="1" t="s">
        <v>13662</v>
      </c>
      <c r="H747" s="1" t="s">
        <v>13663</v>
      </c>
      <c r="I747" s="1" t="s">
        <v>13664</v>
      </c>
      <c r="J747" s="1">
        <v>7768921071</v>
      </c>
      <c r="K747" s="1" t="s">
        <v>79</v>
      </c>
      <c r="L747" s="1" t="s">
        <v>13665</v>
      </c>
      <c r="M747" s="1" t="s">
        <v>81</v>
      </c>
      <c r="N747" s="1" t="s">
        <v>4149</v>
      </c>
      <c r="O747" s="1"/>
      <c r="P747" s="1" t="s">
        <v>1323</v>
      </c>
      <c r="Q747" s="1" t="s">
        <v>13666</v>
      </c>
      <c r="R747" s="1" t="s">
        <v>13667</v>
      </c>
      <c r="S747" s="1">
        <v>9527401071</v>
      </c>
      <c r="T747" s="1" t="s">
        <v>154</v>
      </c>
      <c r="U747" s="1" t="s">
        <v>13668</v>
      </c>
      <c r="V747" s="1">
        <v>7414971071</v>
      </c>
      <c r="W747" s="1" t="s">
        <v>156</v>
      </c>
      <c r="X747" s="1" t="s">
        <v>13669</v>
      </c>
      <c r="Y747" s="1" t="s">
        <v>158</v>
      </c>
      <c r="Z747" s="1" t="s">
        <v>92</v>
      </c>
      <c r="AA747" s="1" t="s">
        <v>13669</v>
      </c>
      <c r="AB747" s="1" t="s">
        <v>158</v>
      </c>
      <c r="AC747" s="1" t="s">
        <v>92</v>
      </c>
      <c r="AD747" s="1">
        <v>9.29</v>
      </c>
      <c r="AE747" s="1" t="s">
        <v>93</v>
      </c>
      <c r="AF747" s="1" t="s">
        <v>13670</v>
      </c>
      <c r="AG747" s="1" t="s">
        <v>160</v>
      </c>
      <c r="AH747" s="1" t="s">
        <v>96</v>
      </c>
      <c r="AI747" s="1" t="s">
        <v>97</v>
      </c>
      <c r="AJ747" s="1">
        <v>89.6</v>
      </c>
      <c r="AK747" s="1"/>
      <c r="AL747" s="1" t="s">
        <v>13671</v>
      </c>
      <c r="AM747" s="1" t="s">
        <v>160</v>
      </c>
      <c r="AN747" s="1" t="s">
        <v>162</v>
      </c>
      <c r="AO747" s="1" t="s">
        <v>1332</v>
      </c>
      <c r="AP747" s="1">
        <v>71.85</v>
      </c>
      <c r="AQ747" s="1"/>
      <c r="AR747" s="1"/>
      <c r="AS747" s="1"/>
      <c r="AT747" s="1"/>
      <c r="AU747" s="1"/>
      <c r="AV747" s="1"/>
      <c r="AW747" s="1"/>
      <c r="AX747" s="1" t="s">
        <v>1891</v>
      </c>
      <c r="AY747" s="1" t="s">
        <v>13672</v>
      </c>
      <c r="AZ747" s="1" t="s">
        <v>383</v>
      </c>
      <c r="BA747" s="1" t="s">
        <v>1131</v>
      </c>
      <c r="BB747" s="1">
        <v>79.2</v>
      </c>
      <c r="BC747" s="1">
        <v>8.67</v>
      </c>
      <c r="BD747" s="1"/>
      <c r="BE747" s="1"/>
      <c r="BF747" s="1"/>
      <c r="BG747" s="1"/>
      <c r="BH747" s="1"/>
      <c r="BI747" s="1"/>
      <c r="BJ747" s="1" t="s">
        <v>1383</v>
      </c>
      <c r="BK747" s="1" t="s">
        <v>13673</v>
      </c>
      <c r="BL747" s="1" t="s">
        <v>5308</v>
      </c>
      <c r="BM747" s="1"/>
      <c r="BN747" s="1"/>
      <c r="BO747" s="1"/>
      <c r="BP747" s="1" t="str">
        <f>HYPERLINK("https://nconnect.nicmar.ac.in/storage/profile/ProfilePhoto_P25700712_684593.jpg","Download")</f>
        <v>0</v>
      </c>
      <c r="BQ747" s="3"/>
      <c r="BR747" s="3"/>
    </row>
    <row r="748" spans="1:70">
      <c r="A748" s="1" t="s">
        <v>70</v>
      </c>
      <c r="B748" s="1" t="s">
        <v>1269</v>
      </c>
      <c r="C748" s="1" t="s">
        <v>13674</v>
      </c>
      <c r="D748" s="1" t="s">
        <v>13675</v>
      </c>
      <c r="E748" s="1" t="s">
        <v>1640</v>
      </c>
      <c r="F748" s="1" t="s">
        <v>596</v>
      </c>
      <c r="G748" s="1" t="s">
        <v>13676</v>
      </c>
      <c r="H748" s="1" t="s">
        <v>13677</v>
      </c>
      <c r="I748" s="1" t="s">
        <v>13678</v>
      </c>
      <c r="J748" s="1">
        <v>8919898312</v>
      </c>
      <c r="K748" s="1" t="s">
        <v>79</v>
      </c>
      <c r="L748" s="1" t="s">
        <v>13679</v>
      </c>
      <c r="M748" s="1" t="s">
        <v>81</v>
      </c>
      <c r="N748" s="1" t="s">
        <v>8985</v>
      </c>
      <c r="O748" s="1"/>
      <c r="P748" s="1" t="s">
        <v>1323</v>
      </c>
      <c r="Q748" s="1" t="s">
        <v>13680</v>
      </c>
      <c r="R748" s="1" t="s">
        <v>13681</v>
      </c>
      <c r="S748" s="1">
        <v>9866271646</v>
      </c>
      <c r="T748" s="1" t="s">
        <v>13682</v>
      </c>
      <c r="U748" s="1" t="s">
        <v>13683</v>
      </c>
      <c r="V748" s="1">
        <v>7330835457</v>
      </c>
      <c r="W748" s="1" t="s">
        <v>89</v>
      </c>
      <c r="X748" s="1" t="s">
        <v>13684</v>
      </c>
      <c r="Y748" s="1" t="s">
        <v>1150</v>
      </c>
      <c r="Z748" s="1" t="s">
        <v>276</v>
      </c>
      <c r="AA748" s="1" t="s">
        <v>13685</v>
      </c>
      <c r="AB748" s="1" t="s">
        <v>2261</v>
      </c>
      <c r="AC748" s="1" t="s">
        <v>276</v>
      </c>
      <c r="AD748" s="1">
        <v>8.25</v>
      </c>
      <c r="AE748" s="1" t="s">
        <v>93</v>
      </c>
      <c r="AF748" s="1" t="s">
        <v>3459</v>
      </c>
      <c r="AG748" s="1" t="s">
        <v>13686</v>
      </c>
      <c r="AH748" s="1" t="s">
        <v>101</v>
      </c>
      <c r="AI748" s="1" t="s">
        <v>409</v>
      </c>
      <c r="AJ748" s="1">
        <v>97</v>
      </c>
      <c r="AK748" s="1">
        <v>9.7</v>
      </c>
      <c r="AL748" s="1" t="s">
        <v>1153</v>
      </c>
      <c r="AM748" s="1" t="s">
        <v>10937</v>
      </c>
      <c r="AN748" s="1" t="s">
        <v>433</v>
      </c>
      <c r="AO748" s="1" t="s">
        <v>504</v>
      </c>
      <c r="AP748" s="1">
        <v>88.3</v>
      </c>
      <c r="AQ748" s="1"/>
      <c r="AR748" s="1"/>
      <c r="AS748" s="1"/>
      <c r="AT748" s="1"/>
      <c r="AU748" s="1"/>
      <c r="AV748" s="1"/>
      <c r="AW748" s="1"/>
      <c r="AX748" s="1" t="s">
        <v>12359</v>
      </c>
      <c r="AY748" s="1" t="s">
        <v>13687</v>
      </c>
      <c r="AZ748" s="1" t="s">
        <v>135</v>
      </c>
      <c r="BA748" s="1" t="s">
        <v>1408</v>
      </c>
      <c r="BB748" s="1">
        <v>73.8</v>
      </c>
      <c r="BC748" s="1">
        <v>7.38</v>
      </c>
      <c r="BD748" s="1"/>
      <c r="BE748" s="1"/>
      <c r="BF748" s="1"/>
      <c r="BG748" s="1"/>
      <c r="BH748" s="1"/>
      <c r="BI748" s="1"/>
      <c r="BJ748" s="1" t="s">
        <v>13688</v>
      </c>
      <c r="BK748" s="1"/>
      <c r="BL748" s="1"/>
      <c r="BM748" s="1" t="s">
        <v>13689</v>
      </c>
      <c r="BN748" s="1">
        <v>3</v>
      </c>
      <c r="BO748" s="1"/>
      <c r="BP748" s="1" t="str">
        <f>HYPERLINK("https://nconnect.nicmar.ac.in/storage/profile/ProfilePhoto_P25700714_634851.jpg","Download")</f>
        <v>0</v>
      </c>
      <c r="BQ748" s="3"/>
      <c r="BR748" s="3"/>
    </row>
    <row r="749" spans="1:70">
      <c r="A749" s="1" t="s">
        <v>70</v>
      </c>
      <c r="B749" s="1" t="s">
        <v>1269</v>
      </c>
      <c r="C749" s="1" t="s">
        <v>13690</v>
      </c>
      <c r="D749" s="1" t="s">
        <v>2149</v>
      </c>
      <c r="E749" s="1" t="s">
        <v>6466</v>
      </c>
      <c r="F749" s="1" t="s">
        <v>13691</v>
      </c>
      <c r="G749" s="1" t="s">
        <v>13692</v>
      </c>
      <c r="H749" s="1" t="s">
        <v>13693</v>
      </c>
      <c r="I749" s="1" t="s">
        <v>13694</v>
      </c>
      <c r="J749" s="1">
        <v>8669354345</v>
      </c>
      <c r="K749" s="1" t="s">
        <v>79</v>
      </c>
      <c r="L749" s="1" t="s">
        <v>8162</v>
      </c>
      <c r="M749" s="1" t="s">
        <v>81</v>
      </c>
      <c r="N749" s="1" t="s">
        <v>1418</v>
      </c>
      <c r="O749" s="1"/>
      <c r="P749" s="1" t="s">
        <v>1766</v>
      </c>
      <c r="Q749" s="1" t="s">
        <v>13695</v>
      </c>
      <c r="R749" s="1" t="s">
        <v>13696</v>
      </c>
      <c r="S749" s="1">
        <v>9423434094</v>
      </c>
      <c r="T749" s="1" t="s">
        <v>13697</v>
      </c>
      <c r="U749" s="1" t="s">
        <v>13698</v>
      </c>
      <c r="V749" s="1">
        <v>9822392030</v>
      </c>
      <c r="W749" s="1" t="s">
        <v>273</v>
      </c>
      <c r="X749" s="1" t="s">
        <v>13699</v>
      </c>
      <c r="Y749" s="1" t="s">
        <v>191</v>
      </c>
      <c r="Z749" s="1" t="s">
        <v>92</v>
      </c>
      <c r="AA749" s="1" t="s">
        <v>13700</v>
      </c>
      <c r="AB749" s="1" t="s">
        <v>5819</v>
      </c>
      <c r="AC749" s="1" t="s">
        <v>92</v>
      </c>
      <c r="AD749" s="1">
        <v>8.24</v>
      </c>
      <c r="AE749" s="1" t="s">
        <v>93</v>
      </c>
      <c r="AF749" s="1" t="s">
        <v>13701</v>
      </c>
      <c r="AG749" s="1" t="s">
        <v>5086</v>
      </c>
      <c r="AH749" s="1" t="s">
        <v>101</v>
      </c>
      <c r="AI749" s="1" t="s">
        <v>409</v>
      </c>
      <c r="AJ749" s="1">
        <v>82.42</v>
      </c>
      <c r="AK749" s="1">
        <v>0</v>
      </c>
      <c r="AL749" s="1"/>
      <c r="AM749" s="1"/>
      <c r="AN749" s="1"/>
      <c r="AO749" s="1"/>
      <c r="AP749" s="1"/>
      <c r="AQ749" s="1"/>
      <c r="AR749" s="1" t="s">
        <v>98</v>
      </c>
      <c r="AS749" s="1" t="s">
        <v>13702</v>
      </c>
      <c r="AT749" s="1" t="s">
        <v>310</v>
      </c>
      <c r="AU749" s="1" t="s">
        <v>105</v>
      </c>
      <c r="AV749" s="1">
        <v>82.63</v>
      </c>
      <c r="AW749" s="1">
        <v>0</v>
      </c>
      <c r="AX749" s="1" t="s">
        <v>361</v>
      </c>
      <c r="AY749" s="1" t="s">
        <v>13703</v>
      </c>
      <c r="AZ749" s="1" t="s">
        <v>2690</v>
      </c>
      <c r="BA749" s="1" t="s">
        <v>1584</v>
      </c>
      <c r="BB749" s="1">
        <v>60.9</v>
      </c>
      <c r="BC749" s="1">
        <v>6.83</v>
      </c>
      <c r="BD749" s="1"/>
      <c r="BE749" s="1"/>
      <c r="BF749" s="1"/>
      <c r="BG749" s="1"/>
      <c r="BH749" s="1"/>
      <c r="BI749" s="1"/>
      <c r="BJ749" s="1" t="s">
        <v>13704</v>
      </c>
      <c r="BK749" s="1"/>
      <c r="BL749" s="1"/>
      <c r="BM749" s="1" t="s">
        <v>13705</v>
      </c>
      <c r="BN749" s="1">
        <v>8</v>
      </c>
      <c r="BO749" s="1"/>
      <c r="BP749" s="1" t="str">
        <f>HYPERLINK("https://nconnect.nicmar.ac.in/storage/profile/ProfilePhoto_P25700715_431895.jpg","Download")</f>
        <v>0</v>
      </c>
      <c r="BQ749" s="3"/>
      <c r="BR749" s="3"/>
    </row>
    <row r="750" spans="1:70">
      <c r="A750" s="1" t="s">
        <v>70</v>
      </c>
      <c r="B750" s="1" t="s">
        <v>1269</v>
      </c>
      <c r="C750" s="1" t="s">
        <v>13706</v>
      </c>
      <c r="D750" s="1" t="s">
        <v>13707</v>
      </c>
      <c r="E750" s="1"/>
      <c r="F750" s="1" t="s">
        <v>13708</v>
      </c>
      <c r="G750" s="1" t="s">
        <v>13709</v>
      </c>
      <c r="H750" s="1" t="s">
        <v>13710</v>
      </c>
      <c r="I750" s="1" t="s">
        <v>13711</v>
      </c>
      <c r="J750" s="1">
        <v>9805566233</v>
      </c>
      <c r="K750" s="1" t="s">
        <v>79</v>
      </c>
      <c r="L750" s="1" t="s">
        <v>13712</v>
      </c>
      <c r="M750" s="1" t="s">
        <v>81</v>
      </c>
      <c r="N750" s="1" t="s">
        <v>13713</v>
      </c>
      <c r="O750" s="1"/>
      <c r="P750" s="1" t="s">
        <v>1278</v>
      </c>
      <c r="Q750" s="1" t="s">
        <v>13714</v>
      </c>
      <c r="R750" s="1" t="s">
        <v>13715</v>
      </c>
      <c r="S750" s="1">
        <v>9418761430</v>
      </c>
      <c r="T750" s="1" t="s">
        <v>13716</v>
      </c>
      <c r="U750" s="1" t="s">
        <v>13717</v>
      </c>
      <c r="V750" s="1">
        <v>9459521418</v>
      </c>
      <c r="W750" s="1" t="s">
        <v>89</v>
      </c>
      <c r="X750" s="1" t="s">
        <v>13718</v>
      </c>
      <c r="Y750" s="1" t="s">
        <v>13719</v>
      </c>
      <c r="Z750" s="1" t="s">
        <v>3419</v>
      </c>
      <c r="AA750" s="1" t="s">
        <v>13718</v>
      </c>
      <c r="AB750" s="1" t="s">
        <v>13719</v>
      </c>
      <c r="AC750" s="1" t="s">
        <v>3419</v>
      </c>
      <c r="AD750" s="1">
        <v>8.46</v>
      </c>
      <c r="AE750" s="1" t="s">
        <v>93</v>
      </c>
      <c r="AF750" s="1" t="s">
        <v>10457</v>
      </c>
      <c r="AG750" s="1" t="s">
        <v>13720</v>
      </c>
      <c r="AH750" s="1" t="s">
        <v>162</v>
      </c>
      <c r="AI750" s="1" t="s">
        <v>165</v>
      </c>
      <c r="AJ750" s="1">
        <v>77.9</v>
      </c>
      <c r="AK750" s="1">
        <v>8.2</v>
      </c>
      <c r="AL750" s="1" t="s">
        <v>10457</v>
      </c>
      <c r="AM750" s="1" t="s">
        <v>13720</v>
      </c>
      <c r="AN750" s="1" t="s">
        <v>166</v>
      </c>
      <c r="AO750" s="1" t="s">
        <v>308</v>
      </c>
      <c r="AP750" s="1">
        <v>82.8</v>
      </c>
      <c r="AQ750" s="1"/>
      <c r="AR750" s="1"/>
      <c r="AS750" s="1"/>
      <c r="AT750" s="1"/>
      <c r="AU750" s="1"/>
      <c r="AV750" s="1"/>
      <c r="AW750" s="1"/>
      <c r="AX750" s="1" t="s">
        <v>1448</v>
      </c>
      <c r="AY750" s="1" t="s">
        <v>13721</v>
      </c>
      <c r="AZ750" s="1" t="s">
        <v>3663</v>
      </c>
      <c r="BA750" s="1" t="s">
        <v>5327</v>
      </c>
      <c r="BB750" s="1">
        <v>90.2</v>
      </c>
      <c r="BC750" s="1">
        <v>9.02</v>
      </c>
      <c r="BD750" s="1"/>
      <c r="BE750" s="1"/>
      <c r="BF750" s="1"/>
      <c r="BG750" s="1"/>
      <c r="BH750" s="1"/>
      <c r="BI750" s="1"/>
      <c r="BJ750" s="1" t="s">
        <v>1383</v>
      </c>
      <c r="BK750" s="1"/>
      <c r="BL750" s="1"/>
      <c r="BM750" s="1" t="s">
        <v>13722</v>
      </c>
      <c r="BN750" s="1">
        <v>54</v>
      </c>
      <c r="BO750" s="1"/>
      <c r="BP750" s="1" t="str">
        <f>HYPERLINK("https://nconnect.nicmar.ac.in/storage/profile/ProfilePhoto_P25700716_596743.jpg","Download")</f>
        <v>0</v>
      </c>
      <c r="BQ750" s="3"/>
      <c r="BR750" s="3"/>
    </row>
    <row r="751" spans="1:70">
      <c r="A751" s="1" t="s">
        <v>70</v>
      </c>
      <c r="B751" s="1" t="s">
        <v>1269</v>
      </c>
      <c r="C751" s="1" t="s">
        <v>13723</v>
      </c>
      <c r="D751" s="1" t="s">
        <v>3900</v>
      </c>
      <c r="E751" s="1" t="s">
        <v>1566</v>
      </c>
      <c r="F751" s="1" t="s">
        <v>13724</v>
      </c>
      <c r="G751" s="1" t="s">
        <v>13725</v>
      </c>
      <c r="H751" s="1" t="s">
        <v>13726</v>
      </c>
      <c r="I751" s="1" t="s">
        <v>13727</v>
      </c>
      <c r="J751" s="1">
        <v>7218148484</v>
      </c>
      <c r="K751" s="1" t="s">
        <v>79</v>
      </c>
      <c r="L751" s="1" t="s">
        <v>6911</v>
      </c>
      <c r="M751" s="1" t="s">
        <v>81</v>
      </c>
      <c r="N751" s="1" t="s">
        <v>1418</v>
      </c>
      <c r="O751" s="1"/>
      <c r="P751" s="1" t="s">
        <v>1323</v>
      </c>
      <c r="Q751" s="1" t="s">
        <v>13728</v>
      </c>
      <c r="R751" s="1" t="s">
        <v>13729</v>
      </c>
      <c r="S751" s="1">
        <v>9921346858</v>
      </c>
      <c r="T751" s="1" t="s">
        <v>520</v>
      </c>
      <c r="U751" s="1" t="s">
        <v>13730</v>
      </c>
      <c r="V751" s="1">
        <v>9130888918</v>
      </c>
      <c r="W751" s="1" t="s">
        <v>156</v>
      </c>
      <c r="X751" s="1" t="s">
        <v>13731</v>
      </c>
      <c r="Y751" s="1" t="s">
        <v>2786</v>
      </c>
      <c r="Z751" s="1" t="s">
        <v>92</v>
      </c>
      <c r="AA751" s="1" t="s">
        <v>13731</v>
      </c>
      <c r="AB751" s="1" t="s">
        <v>2786</v>
      </c>
      <c r="AC751" s="1" t="s">
        <v>92</v>
      </c>
      <c r="AD751" s="1">
        <v>7.77</v>
      </c>
      <c r="AE751" s="1" t="s">
        <v>93</v>
      </c>
      <c r="AF751" s="1" t="s">
        <v>13732</v>
      </c>
      <c r="AG751" s="1" t="s">
        <v>160</v>
      </c>
      <c r="AH751" s="1" t="s">
        <v>101</v>
      </c>
      <c r="AI751" s="1" t="s">
        <v>409</v>
      </c>
      <c r="AJ751" s="1">
        <v>84</v>
      </c>
      <c r="AK751" s="1"/>
      <c r="AL751" s="1"/>
      <c r="AM751" s="1"/>
      <c r="AN751" s="1"/>
      <c r="AO751" s="1"/>
      <c r="AP751" s="1"/>
      <c r="AQ751" s="1"/>
      <c r="AR751" s="1" t="s">
        <v>434</v>
      </c>
      <c r="AS751" s="1" t="s">
        <v>2015</v>
      </c>
      <c r="AT751" s="1" t="s">
        <v>201</v>
      </c>
      <c r="AU751" s="1" t="s">
        <v>481</v>
      </c>
      <c r="AV751" s="1">
        <v>75.68</v>
      </c>
      <c r="AW751" s="1"/>
      <c r="AX751" s="1" t="s">
        <v>2688</v>
      </c>
      <c r="AY751" s="1" t="s">
        <v>13305</v>
      </c>
      <c r="AZ751" s="1" t="s">
        <v>2690</v>
      </c>
      <c r="BA751" s="1" t="s">
        <v>1714</v>
      </c>
      <c r="BB751" s="1">
        <v>73.34</v>
      </c>
      <c r="BC751" s="1"/>
      <c r="BD751" s="1"/>
      <c r="BE751" s="1"/>
      <c r="BF751" s="1"/>
      <c r="BG751" s="1"/>
      <c r="BH751" s="1"/>
      <c r="BI751" s="1"/>
      <c r="BJ751" s="1" t="s">
        <v>13733</v>
      </c>
      <c r="BK751" s="1"/>
      <c r="BL751" s="1"/>
      <c r="BM751" s="1" t="s">
        <v>13734</v>
      </c>
      <c r="BN751" s="1">
        <v>12</v>
      </c>
      <c r="BO751" s="1" t="s">
        <v>13735</v>
      </c>
      <c r="BP751" s="1" t="str">
        <f>HYPERLINK("https://nconnect.nicmar.ac.in/storage/profile/ProfilePhoto_P25700717_983154.jpg","Download")</f>
        <v>0</v>
      </c>
      <c r="BQ751" s="3"/>
      <c r="BR751" s="3"/>
    </row>
    <row r="752" spans="1:70">
      <c r="A752" s="1" t="s">
        <v>70</v>
      </c>
      <c r="B752" s="1" t="s">
        <v>1269</v>
      </c>
      <c r="C752" s="1" t="s">
        <v>13736</v>
      </c>
      <c r="D752" s="1" t="s">
        <v>443</v>
      </c>
      <c r="E752" s="1" t="s">
        <v>13088</v>
      </c>
      <c r="F752" s="1" t="s">
        <v>13737</v>
      </c>
      <c r="G752" s="1" t="s">
        <v>13738</v>
      </c>
      <c r="H752" s="1" t="s">
        <v>13739</v>
      </c>
      <c r="I752" s="1" t="s">
        <v>13740</v>
      </c>
      <c r="J752" s="1">
        <v>8169556979</v>
      </c>
      <c r="K752" s="1" t="s">
        <v>79</v>
      </c>
      <c r="L752" s="1" t="s">
        <v>13741</v>
      </c>
      <c r="M752" s="1" t="s">
        <v>81</v>
      </c>
      <c r="N752" s="1" t="s">
        <v>2008</v>
      </c>
      <c r="O752" s="1"/>
      <c r="P752" s="1" t="s">
        <v>1323</v>
      </c>
      <c r="Q752" s="1" t="s">
        <v>13742</v>
      </c>
      <c r="R752" s="1" t="s">
        <v>13088</v>
      </c>
      <c r="S752" s="1">
        <v>9820319276</v>
      </c>
      <c r="T752" s="1" t="s">
        <v>674</v>
      </c>
      <c r="U752" s="1" t="s">
        <v>7197</v>
      </c>
      <c r="V752" s="1">
        <v>9321033327</v>
      </c>
      <c r="W752" s="1" t="s">
        <v>674</v>
      </c>
      <c r="X752" s="1" t="s">
        <v>13743</v>
      </c>
      <c r="Y752" s="1" t="s">
        <v>766</v>
      </c>
      <c r="Z752" s="1" t="s">
        <v>92</v>
      </c>
      <c r="AA752" s="1" t="s">
        <v>13743</v>
      </c>
      <c r="AB752" s="1" t="s">
        <v>766</v>
      </c>
      <c r="AC752" s="1" t="s">
        <v>92</v>
      </c>
      <c r="AD752" s="1">
        <v>8.41</v>
      </c>
      <c r="AE752" s="1" t="s">
        <v>93</v>
      </c>
      <c r="AF752" s="1" t="s">
        <v>13744</v>
      </c>
      <c r="AG752" s="1" t="s">
        <v>160</v>
      </c>
      <c r="AH752" s="1" t="s">
        <v>2418</v>
      </c>
      <c r="AI752" s="1" t="s">
        <v>97</v>
      </c>
      <c r="AJ752" s="1">
        <v>61</v>
      </c>
      <c r="AK752" s="1"/>
      <c r="AL752" s="1" t="s">
        <v>13745</v>
      </c>
      <c r="AM752" s="1" t="s">
        <v>160</v>
      </c>
      <c r="AN752" s="1" t="s">
        <v>161</v>
      </c>
      <c r="AO752" s="1" t="s">
        <v>1332</v>
      </c>
      <c r="AP752" s="1">
        <v>47.23</v>
      </c>
      <c r="AQ752" s="1"/>
      <c r="AR752" s="1" t="s">
        <v>98</v>
      </c>
      <c r="AS752" s="1" t="s">
        <v>13746</v>
      </c>
      <c r="AT752" s="1" t="s">
        <v>383</v>
      </c>
      <c r="AU752" s="1" t="s">
        <v>5484</v>
      </c>
      <c r="AV752" s="1">
        <v>73.76</v>
      </c>
      <c r="AW752" s="1"/>
      <c r="AX752" s="1" t="s">
        <v>253</v>
      </c>
      <c r="AY752" s="1" t="s">
        <v>13746</v>
      </c>
      <c r="AZ752" s="1" t="s">
        <v>363</v>
      </c>
      <c r="BA752" s="1" t="s">
        <v>174</v>
      </c>
      <c r="BB752" s="1">
        <v>71.91</v>
      </c>
      <c r="BC752" s="1"/>
      <c r="BD752" s="1"/>
      <c r="BE752" s="1"/>
      <c r="BF752" s="1"/>
      <c r="BG752" s="1"/>
      <c r="BH752" s="1"/>
      <c r="BI752" s="1"/>
      <c r="BJ752" s="1" t="s">
        <v>13747</v>
      </c>
      <c r="BK752" s="1" t="s">
        <v>13748</v>
      </c>
      <c r="BL752" s="1" t="s">
        <v>2382</v>
      </c>
      <c r="BM752" s="1" t="s">
        <v>13749</v>
      </c>
      <c r="BN752" s="1">
        <v>34</v>
      </c>
      <c r="BO752" s="1"/>
      <c r="BP752" s="1" t="str">
        <f>HYPERLINK("https://nconnect.nicmar.ac.in/storage/profile/ProfilePhoto_P25700718_186239.jpg","Download")</f>
        <v>0</v>
      </c>
      <c r="BQ752" s="3"/>
      <c r="BR752" s="3"/>
    </row>
    <row r="753" spans="1:70">
      <c r="A753" s="1" t="s">
        <v>70</v>
      </c>
      <c r="B753" s="1" t="s">
        <v>1269</v>
      </c>
      <c r="C753" s="1" t="s">
        <v>13750</v>
      </c>
      <c r="D753" s="1" t="s">
        <v>13751</v>
      </c>
      <c r="E753" s="1"/>
      <c r="F753" s="1" t="s">
        <v>13752</v>
      </c>
      <c r="G753" s="1" t="s">
        <v>13753</v>
      </c>
      <c r="H753" s="1" t="s">
        <v>13754</v>
      </c>
      <c r="I753" s="1" t="s">
        <v>13755</v>
      </c>
      <c r="J753" s="1">
        <v>9861056081</v>
      </c>
      <c r="K753" s="1" t="s">
        <v>79</v>
      </c>
      <c r="L753" s="1" t="s">
        <v>13756</v>
      </c>
      <c r="M753" s="1" t="s">
        <v>81</v>
      </c>
      <c r="N753" s="1" t="s">
        <v>13757</v>
      </c>
      <c r="O753" s="1"/>
      <c r="P753" s="1" t="s">
        <v>1278</v>
      </c>
      <c r="Q753" s="1" t="s">
        <v>13758</v>
      </c>
      <c r="R753" s="1" t="s">
        <v>13759</v>
      </c>
      <c r="S753" s="1">
        <v>9776551010</v>
      </c>
      <c r="T753" s="1" t="s">
        <v>13760</v>
      </c>
      <c r="U753" s="1" t="s">
        <v>13761</v>
      </c>
      <c r="V753" s="1">
        <v>8908214353</v>
      </c>
      <c r="W753" s="1" t="s">
        <v>2395</v>
      </c>
      <c r="X753" s="1" t="s">
        <v>13762</v>
      </c>
      <c r="Y753" s="1" t="s">
        <v>9062</v>
      </c>
      <c r="Z753" s="1" t="s">
        <v>1731</v>
      </c>
      <c r="AA753" s="1" t="s">
        <v>13762</v>
      </c>
      <c r="AB753" s="1" t="s">
        <v>9062</v>
      </c>
      <c r="AC753" s="1" t="s">
        <v>1731</v>
      </c>
      <c r="AD753" s="1">
        <v>8.65</v>
      </c>
      <c r="AE753" s="1" t="s">
        <v>93</v>
      </c>
      <c r="AF753" s="1" t="s">
        <v>13763</v>
      </c>
      <c r="AG753" s="1" t="s">
        <v>13764</v>
      </c>
      <c r="AH753" s="1" t="s">
        <v>279</v>
      </c>
      <c r="AI753" s="1" t="s">
        <v>165</v>
      </c>
      <c r="AJ753" s="1">
        <v>81.7</v>
      </c>
      <c r="AK753" s="1">
        <v>8.6</v>
      </c>
      <c r="AL753" s="1" t="s">
        <v>13765</v>
      </c>
      <c r="AM753" s="1" t="s">
        <v>13764</v>
      </c>
      <c r="AN753" s="1" t="s">
        <v>383</v>
      </c>
      <c r="AO753" s="1" t="s">
        <v>308</v>
      </c>
      <c r="AP753" s="1">
        <v>64.83</v>
      </c>
      <c r="AQ753" s="1"/>
      <c r="AR753" s="1"/>
      <c r="AS753" s="1"/>
      <c r="AT753" s="1"/>
      <c r="AU753" s="1"/>
      <c r="AV753" s="1"/>
      <c r="AW753" s="1"/>
      <c r="AX753" s="1" t="s">
        <v>13766</v>
      </c>
      <c r="AY753" s="1" t="s">
        <v>13767</v>
      </c>
      <c r="AZ753" s="1" t="s">
        <v>201</v>
      </c>
      <c r="BA753" s="1" t="s">
        <v>229</v>
      </c>
      <c r="BB753" s="1">
        <v>78.2</v>
      </c>
      <c r="BC753" s="1">
        <v>8.32</v>
      </c>
      <c r="BD753" s="1"/>
      <c r="BE753" s="1"/>
      <c r="BF753" s="1"/>
      <c r="BG753" s="1"/>
      <c r="BH753" s="1"/>
      <c r="BI753" s="1"/>
      <c r="BJ753" s="1" t="s">
        <v>1383</v>
      </c>
      <c r="BK753" s="1" t="s">
        <v>13768</v>
      </c>
      <c r="BL753" s="1" t="s">
        <v>4917</v>
      </c>
      <c r="BM753" s="1"/>
      <c r="BN753" s="1"/>
      <c r="BO753" s="1" t="s">
        <v>13769</v>
      </c>
      <c r="BP753" s="1" t="str">
        <f>HYPERLINK("https://nconnect.nicmar.ac.in/storage/profile/ProfilePhoto_P25700719_518623.jpg","Download")</f>
        <v>0</v>
      </c>
      <c r="BQ753" s="3"/>
      <c r="BR753" s="3"/>
    </row>
    <row r="754" spans="1:70">
      <c r="A754" s="1" t="s">
        <v>70</v>
      </c>
      <c r="B754" s="1" t="s">
        <v>1269</v>
      </c>
      <c r="C754" s="1" t="s">
        <v>13770</v>
      </c>
      <c r="D754" s="1" t="s">
        <v>13771</v>
      </c>
      <c r="E754" s="1" t="s">
        <v>444</v>
      </c>
      <c r="F754" s="1" t="s">
        <v>13772</v>
      </c>
      <c r="G754" s="1" t="s">
        <v>13773</v>
      </c>
      <c r="H754" s="1" t="s">
        <v>13774</v>
      </c>
      <c r="I754" s="1" t="s">
        <v>13775</v>
      </c>
      <c r="J754" s="1">
        <v>7083031505</v>
      </c>
      <c r="K754" s="1" t="s">
        <v>148</v>
      </c>
      <c r="L754" s="1" t="s">
        <v>11739</v>
      </c>
      <c r="M754" s="1" t="s">
        <v>81</v>
      </c>
      <c r="N754" s="1" t="s">
        <v>185</v>
      </c>
      <c r="O754" s="1"/>
      <c r="P754" s="1" t="s">
        <v>1298</v>
      </c>
      <c r="Q754" s="1" t="s">
        <v>13776</v>
      </c>
      <c r="R754" s="1" t="s">
        <v>13777</v>
      </c>
      <c r="S754" s="1">
        <v>7083031505</v>
      </c>
      <c r="T754" s="1" t="s">
        <v>122</v>
      </c>
      <c r="U754" s="1" t="s">
        <v>13778</v>
      </c>
      <c r="V754" s="1">
        <v>9404325232</v>
      </c>
      <c r="W754" s="1" t="s">
        <v>122</v>
      </c>
      <c r="X754" s="1" t="s">
        <v>13779</v>
      </c>
      <c r="Y754" s="1" t="s">
        <v>523</v>
      </c>
      <c r="Z754" s="1" t="s">
        <v>92</v>
      </c>
      <c r="AA754" s="1" t="s">
        <v>13779</v>
      </c>
      <c r="AB754" s="1" t="s">
        <v>523</v>
      </c>
      <c r="AC754" s="1" t="s">
        <v>92</v>
      </c>
      <c r="AD754" s="1" t="s">
        <v>93</v>
      </c>
      <c r="AE754" s="1" t="s">
        <v>93</v>
      </c>
      <c r="AF754" s="1" t="s">
        <v>13780</v>
      </c>
      <c r="AG754" s="1" t="s">
        <v>13781</v>
      </c>
      <c r="AH754" s="1" t="s">
        <v>162</v>
      </c>
      <c r="AI754" s="1" t="s">
        <v>165</v>
      </c>
      <c r="AJ754" s="1">
        <v>89.3</v>
      </c>
      <c r="AK754" s="1">
        <v>9.4</v>
      </c>
      <c r="AL754" s="1" t="s">
        <v>13782</v>
      </c>
      <c r="AM754" s="1" t="s">
        <v>13783</v>
      </c>
      <c r="AN754" s="1" t="s">
        <v>457</v>
      </c>
      <c r="AO754" s="1" t="s">
        <v>198</v>
      </c>
      <c r="AP754" s="1">
        <v>64.92</v>
      </c>
      <c r="AQ754" s="1"/>
      <c r="AR754" s="1"/>
      <c r="AS754" s="1"/>
      <c r="AT754" s="1"/>
      <c r="AU754" s="1"/>
      <c r="AV754" s="1"/>
      <c r="AW754" s="1"/>
      <c r="AX754" s="1" t="s">
        <v>13784</v>
      </c>
      <c r="AY754" s="1" t="s">
        <v>13785</v>
      </c>
      <c r="AZ754" s="1" t="s">
        <v>201</v>
      </c>
      <c r="BA754" s="1" t="s">
        <v>202</v>
      </c>
      <c r="BB754" s="1">
        <v>64.6</v>
      </c>
      <c r="BC754" s="1">
        <v>6.81</v>
      </c>
      <c r="BD754" s="1"/>
      <c r="BE754" s="1"/>
      <c r="BF754" s="1"/>
      <c r="BG754" s="1"/>
      <c r="BH754" s="1"/>
      <c r="BI754" s="1"/>
      <c r="BJ754" s="1" t="s">
        <v>13786</v>
      </c>
      <c r="BK754" s="1"/>
      <c r="BL754" s="1"/>
      <c r="BM754" s="1"/>
      <c r="BN754" s="1"/>
      <c r="BO754" s="1"/>
      <c r="BP754" s="1" t="str">
        <f>HYPERLINK("https://nconnect.nicmar.ac.in/storage/profile/ProfilePhoto_P25700720_297461.jpg","Download")</f>
        <v>0</v>
      </c>
      <c r="BQ754" s="3"/>
      <c r="BR754" s="3"/>
    </row>
    <row r="755" spans="1:70">
      <c r="A755" s="1" t="s">
        <v>70</v>
      </c>
      <c r="B755" s="1" t="s">
        <v>1269</v>
      </c>
      <c r="C755" s="1" t="s">
        <v>13787</v>
      </c>
      <c r="D755" s="1" t="s">
        <v>13788</v>
      </c>
      <c r="E755" s="1" t="s">
        <v>13789</v>
      </c>
      <c r="F755" s="1" t="s">
        <v>13790</v>
      </c>
      <c r="G755" s="1" t="s">
        <v>13791</v>
      </c>
      <c r="H755" s="1" t="s">
        <v>13792</v>
      </c>
      <c r="I755" s="1" t="s">
        <v>13793</v>
      </c>
      <c r="J755" s="1">
        <v>9130767406</v>
      </c>
      <c r="K755" s="1" t="s">
        <v>148</v>
      </c>
      <c r="L755" s="1" t="s">
        <v>13794</v>
      </c>
      <c r="M755" s="1" t="s">
        <v>81</v>
      </c>
      <c r="N755" s="1" t="s">
        <v>13795</v>
      </c>
      <c r="O755" s="1"/>
      <c r="P755" s="1" t="s">
        <v>1323</v>
      </c>
      <c r="Q755" s="1" t="s">
        <v>13796</v>
      </c>
      <c r="R755" s="1" t="s">
        <v>13789</v>
      </c>
      <c r="S755" s="1">
        <v>9518307871</v>
      </c>
      <c r="T755" s="1" t="s">
        <v>8498</v>
      </c>
      <c r="U755" s="1" t="s">
        <v>13797</v>
      </c>
      <c r="V755" s="1">
        <v>7798772221</v>
      </c>
      <c r="W755" s="1" t="s">
        <v>156</v>
      </c>
      <c r="X755" s="1" t="s">
        <v>13798</v>
      </c>
      <c r="Y755" s="1" t="s">
        <v>5064</v>
      </c>
      <c r="Z755" s="1" t="s">
        <v>92</v>
      </c>
      <c r="AA755" s="1" t="s">
        <v>13798</v>
      </c>
      <c r="AB755" s="1" t="s">
        <v>5064</v>
      </c>
      <c r="AC755" s="1" t="s">
        <v>92</v>
      </c>
      <c r="AD755" s="1">
        <v>8.39</v>
      </c>
      <c r="AE755" s="1" t="s">
        <v>93</v>
      </c>
      <c r="AF755" s="1" t="s">
        <v>13799</v>
      </c>
      <c r="AG755" s="1" t="s">
        <v>160</v>
      </c>
      <c r="AH755" s="1" t="s">
        <v>161</v>
      </c>
      <c r="AI755" s="1" t="s">
        <v>527</v>
      </c>
      <c r="AJ755" s="1">
        <v>74.2</v>
      </c>
      <c r="AK755" s="1"/>
      <c r="AL755" s="1"/>
      <c r="AM755" s="1"/>
      <c r="AN755" s="1"/>
      <c r="AO755" s="1"/>
      <c r="AP755" s="1"/>
      <c r="AQ755" s="1"/>
      <c r="AR755" s="1" t="s">
        <v>13800</v>
      </c>
      <c r="AS755" s="1" t="s">
        <v>8801</v>
      </c>
      <c r="AT755" s="1" t="s">
        <v>134</v>
      </c>
      <c r="AU755" s="1" t="s">
        <v>941</v>
      </c>
      <c r="AV755" s="1">
        <v>80.12</v>
      </c>
      <c r="AW755" s="1"/>
      <c r="AX755" s="1" t="s">
        <v>253</v>
      </c>
      <c r="AY755" s="1" t="s">
        <v>13801</v>
      </c>
      <c r="AZ755" s="1" t="s">
        <v>699</v>
      </c>
      <c r="BA755" s="1" t="s">
        <v>174</v>
      </c>
      <c r="BB755" s="1">
        <v>76.02</v>
      </c>
      <c r="BC755" s="1">
        <v>8.67</v>
      </c>
      <c r="BD755" s="1"/>
      <c r="BE755" s="1"/>
      <c r="BF755" s="1"/>
      <c r="BG755" s="1"/>
      <c r="BH755" s="1"/>
      <c r="BI755" s="1"/>
      <c r="BJ755" s="1" t="s">
        <v>13802</v>
      </c>
      <c r="BK755" s="1" t="s">
        <v>13803</v>
      </c>
      <c r="BL755" s="1" t="s">
        <v>1629</v>
      </c>
      <c r="BM755" s="1" t="s">
        <v>13804</v>
      </c>
      <c r="BN755" s="1">
        <v>156</v>
      </c>
      <c r="BO755" s="1"/>
      <c r="BP755" s="1" t="str">
        <f>HYPERLINK("https://nconnect.nicmar.ac.in/storage/profile/ProfilePhoto_P25700721_783129.jpg","Download")</f>
        <v>0</v>
      </c>
      <c r="BQ755" s="3"/>
      <c r="BR755" s="3"/>
    </row>
    <row r="756" spans="1:70">
      <c r="A756" s="1" t="s">
        <v>70</v>
      </c>
      <c r="B756" s="1" t="s">
        <v>1269</v>
      </c>
      <c r="C756" s="1" t="s">
        <v>13805</v>
      </c>
      <c r="D756" s="1" t="s">
        <v>13806</v>
      </c>
      <c r="E756" s="1" t="s">
        <v>6094</v>
      </c>
      <c r="F756" s="1" t="s">
        <v>3224</v>
      </c>
      <c r="G756" s="1" t="s">
        <v>13807</v>
      </c>
      <c r="H756" s="1" t="s">
        <v>13808</v>
      </c>
      <c r="I756" s="1" t="s">
        <v>13809</v>
      </c>
      <c r="J756" s="1">
        <v>8308814033</v>
      </c>
      <c r="K756" s="1" t="s">
        <v>148</v>
      </c>
      <c r="L756" s="1" t="s">
        <v>7413</v>
      </c>
      <c r="M756" s="1" t="s">
        <v>81</v>
      </c>
      <c r="N756" s="1" t="s">
        <v>1418</v>
      </c>
      <c r="O756" s="1"/>
      <c r="P756" s="1" t="s">
        <v>1766</v>
      </c>
      <c r="Q756" s="1" t="s">
        <v>13810</v>
      </c>
      <c r="R756" s="1" t="s">
        <v>13811</v>
      </c>
      <c r="S756" s="1">
        <v>8805014036</v>
      </c>
      <c r="T756" s="1" t="s">
        <v>763</v>
      </c>
      <c r="U756" s="1" t="s">
        <v>13812</v>
      </c>
      <c r="V756" s="1">
        <v>7350011641</v>
      </c>
      <c r="W756" s="1" t="s">
        <v>156</v>
      </c>
      <c r="X756" s="1" t="s">
        <v>13813</v>
      </c>
      <c r="Y756" s="1" t="s">
        <v>191</v>
      </c>
      <c r="Z756" s="1" t="s">
        <v>92</v>
      </c>
      <c r="AA756" s="1" t="s">
        <v>13813</v>
      </c>
      <c r="AB756" s="1" t="s">
        <v>191</v>
      </c>
      <c r="AC756" s="1" t="s">
        <v>92</v>
      </c>
      <c r="AD756" s="1">
        <v>8.42</v>
      </c>
      <c r="AE756" s="1" t="s">
        <v>93</v>
      </c>
      <c r="AF756" s="1" t="s">
        <v>13814</v>
      </c>
      <c r="AG756" s="1" t="s">
        <v>160</v>
      </c>
      <c r="AH756" s="1" t="s">
        <v>162</v>
      </c>
      <c r="AI756" s="1" t="s">
        <v>195</v>
      </c>
      <c r="AJ756" s="1">
        <v>84.2</v>
      </c>
      <c r="AK756" s="1"/>
      <c r="AL756" s="1" t="s">
        <v>13815</v>
      </c>
      <c r="AM756" s="1" t="s">
        <v>160</v>
      </c>
      <c r="AN756" s="1" t="s">
        <v>101</v>
      </c>
      <c r="AO756" s="1" t="s">
        <v>198</v>
      </c>
      <c r="AP756" s="1">
        <v>65.69</v>
      </c>
      <c r="AQ756" s="1"/>
      <c r="AR756" s="1"/>
      <c r="AS756" s="1"/>
      <c r="AT756" s="1"/>
      <c r="AU756" s="1"/>
      <c r="AV756" s="1"/>
      <c r="AW756" s="1"/>
      <c r="AX756" s="1" t="s">
        <v>361</v>
      </c>
      <c r="AY756" s="1" t="s">
        <v>13816</v>
      </c>
      <c r="AZ756" s="1" t="s">
        <v>229</v>
      </c>
      <c r="BA756" s="1" t="s">
        <v>702</v>
      </c>
      <c r="BB756" s="1">
        <v>62.3</v>
      </c>
      <c r="BC756" s="1">
        <v>6.98</v>
      </c>
      <c r="BD756" s="1"/>
      <c r="BE756" s="1"/>
      <c r="BF756" s="1"/>
      <c r="BG756" s="1"/>
      <c r="BH756" s="1"/>
      <c r="BI756" s="1"/>
      <c r="BJ756" s="1" t="s">
        <v>13817</v>
      </c>
      <c r="BK756" s="1" t="s">
        <v>13818</v>
      </c>
      <c r="BL756" s="1" t="s">
        <v>2910</v>
      </c>
      <c r="BM756" s="1" t="s">
        <v>13819</v>
      </c>
      <c r="BN756" s="1">
        <v>20</v>
      </c>
      <c r="BO756" s="1"/>
      <c r="BP756" s="1" t="str">
        <f>HYPERLINK("https://nconnect.nicmar.ac.in/storage/profile/ProfilePhoto_P25700722_325679.jpg","Download")</f>
        <v>0</v>
      </c>
      <c r="BQ756" s="3"/>
      <c r="BR756" s="3"/>
    </row>
    <row r="757" spans="1:70">
      <c r="A757" s="1" t="s">
        <v>70</v>
      </c>
      <c r="B757" s="1" t="s">
        <v>1269</v>
      </c>
      <c r="C757" s="1" t="s">
        <v>13820</v>
      </c>
      <c r="D757" s="1" t="s">
        <v>13821</v>
      </c>
      <c r="E757" s="1"/>
      <c r="F757" s="1" t="s">
        <v>13822</v>
      </c>
      <c r="G757" s="1" t="s">
        <v>13823</v>
      </c>
      <c r="H757" s="1" t="s">
        <v>13824</v>
      </c>
      <c r="I757" s="1" t="s">
        <v>13825</v>
      </c>
      <c r="J757" s="1">
        <v>9444724700</v>
      </c>
      <c r="K757" s="1" t="s">
        <v>79</v>
      </c>
      <c r="L757" s="1" t="s">
        <v>13826</v>
      </c>
      <c r="M757" s="1" t="s">
        <v>81</v>
      </c>
      <c r="N757" s="1" t="s">
        <v>1571</v>
      </c>
      <c r="O757" s="1"/>
      <c r="P757" s="1" t="s">
        <v>1323</v>
      </c>
      <c r="Q757" s="1" t="s">
        <v>13827</v>
      </c>
      <c r="R757" s="1" t="s">
        <v>13828</v>
      </c>
      <c r="S757" s="1">
        <v>9444253375</v>
      </c>
      <c r="T757" s="1" t="s">
        <v>13829</v>
      </c>
      <c r="U757" s="1" t="s">
        <v>13830</v>
      </c>
      <c r="V757" s="1">
        <v>9445379605</v>
      </c>
      <c r="W757" s="1" t="s">
        <v>651</v>
      </c>
      <c r="X757" s="1" t="s">
        <v>13831</v>
      </c>
      <c r="Y757" s="1" t="s">
        <v>2318</v>
      </c>
      <c r="Z757" s="1" t="s">
        <v>1377</v>
      </c>
      <c r="AA757" s="1" t="s">
        <v>13832</v>
      </c>
      <c r="AB757" s="1" t="s">
        <v>2804</v>
      </c>
      <c r="AC757" s="1" t="s">
        <v>1377</v>
      </c>
      <c r="AD757" s="1">
        <v>8.95</v>
      </c>
      <c r="AE757" s="1" t="s">
        <v>93</v>
      </c>
      <c r="AF757" s="1" t="s">
        <v>13833</v>
      </c>
      <c r="AG757" s="1" t="s">
        <v>7952</v>
      </c>
      <c r="AH757" s="1" t="s">
        <v>1307</v>
      </c>
      <c r="AI757" s="1" t="s">
        <v>308</v>
      </c>
      <c r="AJ757" s="1">
        <v>92.4</v>
      </c>
      <c r="AK757" s="1"/>
      <c r="AL757" s="1" t="s">
        <v>13834</v>
      </c>
      <c r="AM757" s="1" t="s">
        <v>7952</v>
      </c>
      <c r="AN757" s="1" t="s">
        <v>699</v>
      </c>
      <c r="AO757" s="1" t="s">
        <v>506</v>
      </c>
      <c r="AP757" s="1">
        <v>95.6</v>
      </c>
      <c r="AQ757" s="1"/>
      <c r="AR757" s="1"/>
      <c r="AS757" s="1"/>
      <c r="AT757" s="1"/>
      <c r="AU757" s="1"/>
      <c r="AV757" s="1"/>
      <c r="AW757" s="1"/>
      <c r="AX757" s="1" t="s">
        <v>13835</v>
      </c>
      <c r="AY757" s="1" t="s">
        <v>13835</v>
      </c>
      <c r="AZ757" s="1" t="s">
        <v>1407</v>
      </c>
      <c r="BA757" s="1" t="s">
        <v>1714</v>
      </c>
      <c r="BB757" s="1">
        <v>89.35</v>
      </c>
      <c r="BC757" s="1">
        <v>8.93</v>
      </c>
      <c r="BD757" s="1"/>
      <c r="BE757" s="1"/>
      <c r="BF757" s="1"/>
      <c r="BG757" s="1"/>
      <c r="BH757" s="1"/>
      <c r="BI757" s="1"/>
      <c r="BJ757" s="1" t="s">
        <v>13836</v>
      </c>
      <c r="BK757" s="1"/>
      <c r="BL757" s="1"/>
      <c r="BM757" s="1" t="s">
        <v>13837</v>
      </c>
      <c r="BN757" s="1">
        <v>1</v>
      </c>
      <c r="BO757" s="1"/>
      <c r="BP757" s="1" t="str">
        <f>HYPERLINK("https://nconnect.nicmar.ac.in/storage/profile/ProfilePhoto_P25700723_862314.jpg","Download")</f>
        <v>0</v>
      </c>
      <c r="BQ757" s="3"/>
      <c r="BR757" s="3"/>
    </row>
    <row r="758" spans="1:70">
      <c r="A758" s="1" t="s">
        <v>70</v>
      </c>
      <c r="B758" s="1" t="s">
        <v>1269</v>
      </c>
      <c r="C758" s="1" t="s">
        <v>13838</v>
      </c>
      <c r="D758" s="1" t="s">
        <v>816</v>
      </c>
      <c r="E758" s="1" t="s">
        <v>13839</v>
      </c>
      <c r="F758" s="1" t="s">
        <v>13840</v>
      </c>
      <c r="G758" s="1" t="s">
        <v>13841</v>
      </c>
      <c r="H758" s="1" t="s">
        <v>13842</v>
      </c>
      <c r="I758" s="1" t="s">
        <v>13843</v>
      </c>
      <c r="J758" s="1">
        <v>9503958058</v>
      </c>
      <c r="K758" s="1" t="s">
        <v>79</v>
      </c>
      <c r="L758" s="1" t="s">
        <v>13481</v>
      </c>
      <c r="M758" s="1" t="s">
        <v>81</v>
      </c>
      <c r="N758" s="1" t="s">
        <v>13844</v>
      </c>
      <c r="O758" s="1"/>
      <c r="P758" s="1" t="s">
        <v>1766</v>
      </c>
      <c r="Q758" s="1" t="s">
        <v>13845</v>
      </c>
      <c r="R758" s="1" t="s">
        <v>13846</v>
      </c>
      <c r="S758" s="1">
        <v>9819541679</v>
      </c>
      <c r="T758" s="1" t="s">
        <v>763</v>
      </c>
      <c r="U758" s="1" t="s">
        <v>13847</v>
      </c>
      <c r="V758" s="1">
        <v>9503958058</v>
      </c>
      <c r="W758" s="1" t="s">
        <v>13848</v>
      </c>
      <c r="X758" s="1" t="s">
        <v>13849</v>
      </c>
      <c r="Y758" s="1" t="s">
        <v>995</v>
      </c>
      <c r="Z758" s="1" t="s">
        <v>92</v>
      </c>
      <c r="AA758" s="1" t="s">
        <v>13850</v>
      </c>
      <c r="AB758" s="1" t="s">
        <v>5064</v>
      </c>
      <c r="AC758" s="1" t="s">
        <v>92</v>
      </c>
      <c r="AD758" s="1">
        <v>7.98</v>
      </c>
      <c r="AE758" s="1" t="s">
        <v>93</v>
      </c>
      <c r="AF758" s="1" t="s">
        <v>3402</v>
      </c>
      <c r="AG758" s="1" t="s">
        <v>13851</v>
      </c>
      <c r="AH758" s="1" t="s">
        <v>165</v>
      </c>
      <c r="AI758" s="1" t="s">
        <v>101</v>
      </c>
      <c r="AJ758" s="1">
        <v>75</v>
      </c>
      <c r="AK758" s="1">
        <v>0</v>
      </c>
      <c r="AL758" s="1"/>
      <c r="AM758" s="1"/>
      <c r="AN758" s="1"/>
      <c r="AO758" s="1"/>
      <c r="AP758" s="1"/>
      <c r="AQ758" s="1"/>
      <c r="AR758" s="1" t="s">
        <v>434</v>
      </c>
      <c r="AS758" s="1" t="s">
        <v>13852</v>
      </c>
      <c r="AT758" s="1" t="s">
        <v>169</v>
      </c>
      <c r="AU758" s="1" t="s">
        <v>1712</v>
      </c>
      <c r="AV758" s="1">
        <v>88.63</v>
      </c>
      <c r="AW758" s="1">
        <v>0</v>
      </c>
      <c r="AX758" s="1" t="s">
        <v>1024</v>
      </c>
      <c r="AY758" s="1" t="s">
        <v>13853</v>
      </c>
      <c r="AZ758" s="1" t="s">
        <v>506</v>
      </c>
      <c r="BA758" s="1" t="s">
        <v>1938</v>
      </c>
      <c r="BB758" s="1">
        <v>64.09</v>
      </c>
      <c r="BC758" s="1">
        <v>6.95</v>
      </c>
      <c r="BD758" s="1"/>
      <c r="BE758" s="1"/>
      <c r="BF758" s="1"/>
      <c r="BG758" s="1"/>
      <c r="BH758" s="1"/>
      <c r="BI758" s="1"/>
      <c r="BJ758" s="1" t="s">
        <v>1715</v>
      </c>
      <c r="BK758" s="1"/>
      <c r="BL758" s="1"/>
      <c r="BM758" s="1" t="s">
        <v>13854</v>
      </c>
      <c r="BN758" s="1">
        <v>54</v>
      </c>
      <c r="BO758" s="1" t="s">
        <v>13855</v>
      </c>
      <c r="BP758" s="1" t="str">
        <f>HYPERLINK("https://nconnect.nicmar.ac.in/storage/profile/ProfilePhoto_P25700724_394512.jpg","Download")</f>
        <v>0</v>
      </c>
      <c r="BQ758" s="3"/>
      <c r="BR758" s="3"/>
    </row>
    <row r="759" spans="1:70">
      <c r="A759" s="1" t="s">
        <v>70</v>
      </c>
      <c r="B759" s="1" t="s">
        <v>1269</v>
      </c>
      <c r="C759" s="1" t="s">
        <v>13856</v>
      </c>
      <c r="D759" s="1" t="s">
        <v>13857</v>
      </c>
      <c r="E759" s="1" t="s">
        <v>13858</v>
      </c>
      <c r="F759" s="1" t="s">
        <v>13859</v>
      </c>
      <c r="G759" s="1" t="s">
        <v>13860</v>
      </c>
      <c r="H759" s="1" t="s">
        <v>13861</v>
      </c>
      <c r="I759" s="1" t="s">
        <v>13862</v>
      </c>
      <c r="J759" s="1">
        <v>9527484106</v>
      </c>
      <c r="K759" s="1" t="s">
        <v>148</v>
      </c>
      <c r="L759" s="1" t="s">
        <v>13863</v>
      </c>
      <c r="M759" s="1" t="s">
        <v>81</v>
      </c>
      <c r="N759" s="1" t="s">
        <v>3864</v>
      </c>
      <c r="O759" s="1"/>
      <c r="P759" s="1" t="s">
        <v>1766</v>
      </c>
      <c r="Q759" s="1" t="s">
        <v>13864</v>
      </c>
      <c r="R759" s="1" t="s">
        <v>13865</v>
      </c>
      <c r="S759" s="1">
        <v>9860313247</v>
      </c>
      <c r="T759" s="1" t="s">
        <v>154</v>
      </c>
      <c r="U759" s="1" t="s">
        <v>13866</v>
      </c>
      <c r="V759" s="1">
        <v>9021453140</v>
      </c>
      <c r="W759" s="1" t="s">
        <v>156</v>
      </c>
      <c r="X759" s="1" t="s">
        <v>13867</v>
      </c>
      <c r="Y759" s="1" t="s">
        <v>191</v>
      </c>
      <c r="Z759" s="1" t="s">
        <v>92</v>
      </c>
      <c r="AA759" s="1" t="s">
        <v>13868</v>
      </c>
      <c r="AB759" s="1" t="s">
        <v>191</v>
      </c>
      <c r="AC759" s="1" t="s">
        <v>92</v>
      </c>
      <c r="AD759" s="1">
        <v>8.78</v>
      </c>
      <c r="AE759" s="1" t="s">
        <v>93</v>
      </c>
      <c r="AF759" s="1" t="s">
        <v>13869</v>
      </c>
      <c r="AG759" s="1" t="s">
        <v>160</v>
      </c>
      <c r="AH759" s="1" t="s">
        <v>96</v>
      </c>
      <c r="AI759" s="1" t="s">
        <v>97</v>
      </c>
      <c r="AJ759" s="1">
        <v>86.4</v>
      </c>
      <c r="AK759" s="1"/>
      <c r="AL759" s="1"/>
      <c r="AM759" s="1"/>
      <c r="AN759" s="1"/>
      <c r="AO759" s="1"/>
      <c r="AP759" s="1"/>
      <c r="AQ759" s="1"/>
      <c r="AR759" s="1" t="s">
        <v>98</v>
      </c>
      <c r="AS759" s="1" t="s">
        <v>13870</v>
      </c>
      <c r="AT759" s="1" t="s">
        <v>337</v>
      </c>
      <c r="AU759" s="1" t="s">
        <v>101</v>
      </c>
      <c r="AV759" s="1">
        <v>81.82</v>
      </c>
      <c r="AW759" s="1"/>
      <c r="AX759" s="1" t="s">
        <v>361</v>
      </c>
      <c r="AY759" s="1" t="s">
        <v>13871</v>
      </c>
      <c r="AZ759" s="1" t="s">
        <v>636</v>
      </c>
      <c r="BA759" s="1" t="s">
        <v>506</v>
      </c>
      <c r="BB759" s="1">
        <v>71.9</v>
      </c>
      <c r="BC759" s="1">
        <v>7.94</v>
      </c>
      <c r="BD759" s="1"/>
      <c r="BE759" s="1"/>
      <c r="BF759" s="1"/>
      <c r="BG759" s="1"/>
      <c r="BH759" s="1"/>
      <c r="BI759" s="1"/>
      <c r="BJ759" s="1" t="s">
        <v>13872</v>
      </c>
      <c r="BK759" s="1" t="s">
        <v>13873</v>
      </c>
      <c r="BL759" s="1" t="s">
        <v>2652</v>
      </c>
      <c r="BM759" s="1" t="s">
        <v>13874</v>
      </c>
      <c r="BN759" s="1">
        <v>8</v>
      </c>
      <c r="BO759" s="1"/>
      <c r="BP759" s="1" t="str">
        <f>HYPERLINK("https://nconnect.nicmar.ac.in/storage/profile/ProfilePhoto_P25700725_384512.jpg","Download")</f>
        <v>0</v>
      </c>
      <c r="BQ759" s="3"/>
      <c r="BR759" s="3"/>
    </row>
    <row r="760" spans="1:70">
      <c r="A760" s="1" t="s">
        <v>70</v>
      </c>
      <c r="B760" s="1" t="s">
        <v>1269</v>
      </c>
      <c r="C760" s="1" t="s">
        <v>13875</v>
      </c>
      <c r="D760" s="1" t="s">
        <v>13087</v>
      </c>
      <c r="E760" s="1" t="s">
        <v>3224</v>
      </c>
      <c r="F760" s="1" t="s">
        <v>6190</v>
      </c>
      <c r="G760" s="1" t="s">
        <v>13876</v>
      </c>
      <c r="H760" s="1" t="s">
        <v>13877</v>
      </c>
      <c r="I760" s="1" t="s">
        <v>13878</v>
      </c>
      <c r="J760" s="1">
        <v>8432321636</v>
      </c>
      <c r="K760" s="1" t="s">
        <v>79</v>
      </c>
      <c r="L760" s="1" t="s">
        <v>4333</v>
      </c>
      <c r="M760" s="1" t="s">
        <v>81</v>
      </c>
      <c r="N760" s="1" t="s">
        <v>1418</v>
      </c>
      <c r="O760" s="1"/>
      <c r="P760" s="1" t="s">
        <v>1298</v>
      </c>
      <c r="Q760" s="1" t="s">
        <v>13879</v>
      </c>
      <c r="R760" s="1" t="s">
        <v>13880</v>
      </c>
      <c r="S760" s="1">
        <v>9860461636</v>
      </c>
      <c r="T760" s="1" t="s">
        <v>2238</v>
      </c>
      <c r="U760" s="1" t="s">
        <v>13881</v>
      </c>
      <c r="V760" s="1">
        <v>9860203052</v>
      </c>
      <c r="W760" s="1" t="s">
        <v>156</v>
      </c>
      <c r="X760" s="1" t="s">
        <v>13882</v>
      </c>
      <c r="Y760" s="1" t="s">
        <v>1886</v>
      </c>
      <c r="Z760" s="1" t="s">
        <v>92</v>
      </c>
      <c r="AA760" s="1" t="s">
        <v>13882</v>
      </c>
      <c r="AB760" s="1" t="s">
        <v>1886</v>
      </c>
      <c r="AC760" s="1" t="s">
        <v>92</v>
      </c>
      <c r="AD760" s="1">
        <v>7.71</v>
      </c>
      <c r="AE760" s="1" t="s">
        <v>93</v>
      </c>
      <c r="AF760" s="1" t="s">
        <v>13883</v>
      </c>
      <c r="AG760" s="1" t="s">
        <v>476</v>
      </c>
      <c r="AH760" s="1" t="s">
        <v>101</v>
      </c>
      <c r="AI760" s="1" t="s">
        <v>433</v>
      </c>
      <c r="AJ760" s="1">
        <v>69.4</v>
      </c>
      <c r="AK760" s="1"/>
      <c r="AL760" s="1"/>
      <c r="AM760" s="1"/>
      <c r="AN760" s="1"/>
      <c r="AO760" s="1"/>
      <c r="AP760" s="1"/>
      <c r="AQ760" s="1"/>
      <c r="AR760" s="1" t="s">
        <v>434</v>
      </c>
      <c r="AS760" s="1" t="s">
        <v>13884</v>
      </c>
      <c r="AT760" s="1" t="s">
        <v>201</v>
      </c>
      <c r="AU760" s="1" t="s">
        <v>2630</v>
      </c>
      <c r="AV760" s="1">
        <v>72.37</v>
      </c>
      <c r="AW760" s="1"/>
      <c r="AX760" s="1" t="s">
        <v>361</v>
      </c>
      <c r="AY760" s="1" t="s">
        <v>13885</v>
      </c>
      <c r="AZ760" s="1" t="s">
        <v>616</v>
      </c>
      <c r="BA760" s="1" t="s">
        <v>1714</v>
      </c>
      <c r="BB760" s="1">
        <v>60.52</v>
      </c>
      <c r="BC760" s="1">
        <v>6.8</v>
      </c>
      <c r="BD760" s="1"/>
      <c r="BE760" s="1"/>
      <c r="BF760" s="1"/>
      <c r="BG760" s="1"/>
      <c r="BH760" s="1"/>
      <c r="BI760" s="1"/>
      <c r="BJ760" s="1" t="s">
        <v>1383</v>
      </c>
      <c r="BK760" s="1"/>
      <c r="BL760" s="1"/>
      <c r="BM760" s="1" t="s">
        <v>13886</v>
      </c>
      <c r="BN760" s="1">
        <v>4</v>
      </c>
      <c r="BO760" s="1"/>
      <c r="BP760" s="1" t="str">
        <f>HYPERLINK("https://nconnect.nicmar.ac.in/storage/profile/ProfilePhoto_P25700727_591248.jpg","Download")</f>
        <v>0</v>
      </c>
      <c r="BQ760" s="3"/>
      <c r="BR760" s="3"/>
    </row>
    <row r="761" spans="1:70">
      <c r="A761" s="1" t="s">
        <v>70</v>
      </c>
      <c r="B761" s="1" t="s">
        <v>1269</v>
      </c>
      <c r="C761" s="1" t="s">
        <v>13887</v>
      </c>
      <c r="D761" s="1" t="s">
        <v>13888</v>
      </c>
      <c r="E761" s="1" t="s">
        <v>13889</v>
      </c>
      <c r="F761" s="1" t="s">
        <v>13890</v>
      </c>
      <c r="G761" s="1" t="s">
        <v>13891</v>
      </c>
      <c r="H761" s="1" t="s">
        <v>13892</v>
      </c>
      <c r="I761" s="1" t="s">
        <v>13893</v>
      </c>
      <c r="J761" s="1">
        <v>9404523678</v>
      </c>
      <c r="K761" s="1" t="s">
        <v>148</v>
      </c>
      <c r="L761" s="1" t="s">
        <v>8598</v>
      </c>
      <c r="M761" s="1" t="s">
        <v>81</v>
      </c>
      <c r="N761" s="1" t="s">
        <v>5040</v>
      </c>
      <c r="O761" s="1"/>
      <c r="P761" s="1" t="s">
        <v>1278</v>
      </c>
      <c r="Q761" s="1" t="s">
        <v>13894</v>
      </c>
      <c r="R761" s="1" t="s">
        <v>13895</v>
      </c>
      <c r="S761" s="1">
        <v>9823203559</v>
      </c>
      <c r="T761" s="1" t="s">
        <v>842</v>
      </c>
      <c r="U761" s="1" t="s">
        <v>13896</v>
      </c>
      <c r="V761" s="1">
        <v>9823047628</v>
      </c>
      <c r="W761" s="1" t="s">
        <v>156</v>
      </c>
      <c r="X761" s="1" t="s">
        <v>13897</v>
      </c>
      <c r="Y761" s="1" t="s">
        <v>191</v>
      </c>
      <c r="Z761" s="1" t="s">
        <v>92</v>
      </c>
      <c r="AA761" s="1" t="s">
        <v>13898</v>
      </c>
      <c r="AB761" s="1" t="s">
        <v>5819</v>
      </c>
      <c r="AC761" s="1" t="s">
        <v>92</v>
      </c>
      <c r="AD761" s="1">
        <v>8.86</v>
      </c>
      <c r="AE761" s="1" t="s">
        <v>93</v>
      </c>
      <c r="AF761" s="1" t="s">
        <v>13899</v>
      </c>
      <c r="AG761" s="1" t="s">
        <v>13900</v>
      </c>
      <c r="AH761" s="1" t="s">
        <v>479</v>
      </c>
      <c r="AI761" s="1" t="s">
        <v>166</v>
      </c>
      <c r="AJ761" s="1">
        <v>70.4</v>
      </c>
      <c r="AK761" s="1"/>
      <c r="AL761" s="1" t="s">
        <v>13901</v>
      </c>
      <c r="AM761" s="1" t="s">
        <v>13900</v>
      </c>
      <c r="AN761" s="1" t="s">
        <v>433</v>
      </c>
      <c r="AO761" s="1" t="s">
        <v>173</v>
      </c>
      <c r="AP761" s="1">
        <v>72</v>
      </c>
      <c r="AQ761" s="1"/>
      <c r="AR761" s="1"/>
      <c r="AS761" s="1"/>
      <c r="AT761" s="1"/>
      <c r="AU761" s="1"/>
      <c r="AV761" s="1"/>
      <c r="AW761" s="1"/>
      <c r="AX761" s="1" t="s">
        <v>13902</v>
      </c>
      <c r="AY761" s="1" t="s">
        <v>13903</v>
      </c>
      <c r="AZ761" s="1" t="s">
        <v>228</v>
      </c>
      <c r="BA761" s="1" t="s">
        <v>1714</v>
      </c>
      <c r="BB761" s="1">
        <v>61.2</v>
      </c>
      <c r="BC761" s="1">
        <v>6.87</v>
      </c>
      <c r="BD761" s="1"/>
      <c r="BE761" s="1"/>
      <c r="BF761" s="1"/>
      <c r="BG761" s="1"/>
      <c r="BH761" s="1"/>
      <c r="BI761" s="1"/>
      <c r="BJ761" s="1" t="s">
        <v>13904</v>
      </c>
      <c r="BK761" s="1"/>
      <c r="BL761" s="1"/>
      <c r="BM761" s="1" t="s">
        <v>13905</v>
      </c>
      <c r="BN761" s="1">
        <v>25</v>
      </c>
      <c r="BO761" s="1"/>
      <c r="BP761" s="1" t="str">
        <f>HYPERLINK("https://nconnect.nicmar.ac.in/storage/profile/ProfilePhoto_P25700729_957261.jpg","Download")</f>
        <v>0</v>
      </c>
      <c r="BQ761" s="3"/>
      <c r="BR761" s="3"/>
    </row>
    <row r="762" spans="1:70">
      <c r="A762" s="1" t="s">
        <v>70</v>
      </c>
      <c r="B762" s="1" t="s">
        <v>1269</v>
      </c>
      <c r="C762" s="1" t="s">
        <v>13906</v>
      </c>
      <c r="D762" s="1" t="s">
        <v>13907</v>
      </c>
      <c r="E762" s="1" t="s">
        <v>13908</v>
      </c>
      <c r="F762" s="1" t="s">
        <v>13909</v>
      </c>
      <c r="G762" s="1" t="s">
        <v>13910</v>
      </c>
      <c r="H762" s="1" t="s">
        <v>13911</v>
      </c>
      <c r="I762" s="1" t="s">
        <v>13912</v>
      </c>
      <c r="J762" s="1">
        <v>9687889891</v>
      </c>
      <c r="K762" s="1" t="s">
        <v>79</v>
      </c>
      <c r="L762" s="1" t="s">
        <v>10223</v>
      </c>
      <c r="M762" s="1" t="s">
        <v>81</v>
      </c>
      <c r="N762" s="1" t="s">
        <v>7852</v>
      </c>
      <c r="O762" s="1"/>
      <c r="P762" s="1" t="s">
        <v>1298</v>
      </c>
      <c r="Q762" s="1" t="s">
        <v>13913</v>
      </c>
      <c r="R762" s="1" t="s">
        <v>13914</v>
      </c>
      <c r="S762" s="1">
        <v>9825609420</v>
      </c>
      <c r="T762" s="1" t="s">
        <v>496</v>
      </c>
      <c r="U762" s="1" t="s">
        <v>13915</v>
      </c>
      <c r="V762" s="1">
        <v>9825028397</v>
      </c>
      <c r="W762" s="1" t="s">
        <v>156</v>
      </c>
      <c r="X762" s="1" t="s">
        <v>13916</v>
      </c>
      <c r="Y762" s="1" t="s">
        <v>13917</v>
      </c>
      <c r="Z762" s="1" t="s">
        <v>1468</v>
      </c>
      <c r="AA762" s="1" t="s">
        <v>13916</v>
      </c>
      <c r="AB762" s="1" t="s">
        <v>13917</v>
      </c>
      <c r="AC762" s="1" t="s">
        <v>1468</v>
      </c>
      <c r="AD762" s="1">
        <v>7.91</v>
      </c>
      <c r="AE762" s="1" t="s">
        <v>93</v>
      </c>
      <c r="AF762" s="1" t="s">
        <v>13918</v>
      </c>
      <c r="AG762" s="1" t="s">
        <v>13919</v>
      </c>
      <c r="AH762" s="1" t="s">
        <v>479</v>
      </c>
      <c r="AI762" s="1" t="s">
        <v>166</v>
      </c>
      <c r="AJ762" s="1">
        <v>82.6</v>
      </c>
      <c r="AK762" s="1"/>
      <c r="AL762" s="1" t="s">
        <v>13920</v>
      </c>
      <c r="AM762" s="1" t="s">
        <v>13919</v>
      </c>
      <c r="AN762" s="1" t="s">
        <v>308</v>
      </c>
      <c r="AO762" s="1" t="s">
        <v>173</v>
      </c>
      <c r="AP762" s="1">
        <v>69.8</v>
      </c>
      <c r="AQ762" s="1"/>
      <c r="AR762" s="1"/>
      <c r="AS762" s="1"/>
      <c r="AT762" s="1"/>
      <c r="AU762" s="1"/>
      <c r="AV762" s="1"/>
      <c r="AW762" s="1"/>
      <c r="AX762" s="1" t="s">
        <v>13921</v>
      </c>
      <c r="AY762" s="1" t="s">
        <v>13922</v>
      </c>
      <c r="AZ762" s="1" t="s">
        <v>897</v>
      </c>
      <c r="BA762" s="1" t="s">
        <v>1361</v>
      </c>
      <c r="BB762" s="1">
        <v>67.6</v>
      </c>
      <c r="BC762" s="1">
        <v>6.76</v>
      </c>
      <c r="BD762" s="1"/>
      <c r="BE762" s="1"/>
      <c r="BF762" s="1"/>
      <c r="BG762" s="1"/>
      <c r="BH762" s="1"/>
      <c r="BI762" s="1"/>
      <c r="BJ762" s="1" t="s">
        <v>1715</v>
      </c>
      <c r="BK762" s="1"/>
      <c r="BL762" s="1"/>
      <c r="BM762" s="1"/>
      <c r="BN762" s="1"/>
      <c r="BO762" s="1" t="s">
        <v>13923</v>
      </c>
      <c r="BP762" s="1" t="str">
        <f>HYPERLINK("https://nconnect.nicmar.ac.in/storage/profile/ProfilePhoto_P25700730_295671.jpg","Download")</f>
        <v>0</v>
      </c>
      <c r="BQ762" s="3"/>
      <c r="BR762" s="3"/>
    </row>
    <row r="763" spans="1:70">
      <c r="A763" s="1" t="s">
        <v>70</v>
      </c>
      <c r="B763" s="1" t="s">
        <v>1269</v>
      </c>
      <c r="C763" s="1" t="s">
        <v>13924</v>
      </c>
      <c r="D763" s="1" t="s">
        <v>13925</v>
      </c>
      <c r="E763" s="1"/>
      <c r="F763" s="1" t="s">
        <v>13926</v>
      </c>
      <c r="G763" s="1" t="s">
        <v>13927</v>
      </c>
      <c r="H763" s="1" t="s">
        <v>13928</v>
      </c>
      <c r="I763" s="1" t="s">
        <v>13929</v>
      </c>
      <c r="J763" s="1">
        <v>9110683371</v>
      </c>
      <c r="K763" s="1" t="s">
        <v>79</v>
      </c>
      <c r="L763" s="1" t="s">
        <v>13930</v>
      </c>
      <c r="M763" s="1" t="s">
        <v>81</v>
      </c>
      <c r="N763" s="1" t="s">
        <v>13931</v>
      </c>
      <c r="O763" s="1"/>
      <c r="P763" s="1" t="s">
        <v>1298</v>
      </c>
      <c r="Q763" s="1" t="s">
        <v>13932</v>
      </c>
      <c r="R763" s="1" t="s">
        <v>13933</v>
      </c>
      <c r="S763" s="1">
        <v>8453273495</v>
      </c>
      <c r="T763" s="1" t="s">
        <v>13934</v>
      </c>
      <c r="U763" s="1" t="s">
        <v>13935</v>
      </c>
      <c r="V763" s="1">
        <v>9148260681</v>
      </c>
      <c r="W763" s="1" t="s">
        <v>273</v>
      </c>
      <c r="X763" s="1" t="s">
        <v>13936</v>
      </c>
      <c r="Y763" s="1" t="s">
        <v>13937</v>
      </c>
      <c r="Z763" s="1" t="s">
        <v>1084</v>
      </c>
      <c r="AA763" s="1" t="s">
        <v>13936</v>
      </c>
      <c r="AB763" s="1" t="s">
        <v>13937</v>
      </c>
      <c r="AC763" s="1" t="s">
        <v>1084</v>
      </c>
      <c r="AD763" s="1">
        <v>8.08</v>
      </c>
      <c r="AE763" s="1" t="s">
        <v>93</v>
      </c>
      <c r="AF763" s="1" t="s">
        <v>13938</v>
      </c>
      <c r="AG763" s="1" t="s">
        <v>13939</v>
      </c>
      <c r="AH763" s="1" t="s">
        <v>96</v>
      </c>
      <c r="AI763" s="1" t="s">
        <v>131</v>
      </c>
      <c r="AJ763" s="1">
        <v>62.33</v>
      </c>
      <c r="AK763" s="1"/>
      <c r="AL763" s="1" t="s">
        <v>13940</v>
      </c>
      <c r="AM763" s="1" t="s">
        <v>4511</v>
      </c>
      <c r="AN763" s="1" t="s">
        <v>161</v>
      </c>
      <c r="AO763" s="1" t="s">
        <v>479</v>
      </c>
      <c r="AP763" s="1">
        <v>71.83</v>
      </c>
      <c r="AQ763" s="1"/>
      <c r="AR763" s="1"/>
      <c r="AS763" s="1"/>
      <c r="AT763" s="1"/>
      <c r="AU763" s="1"/>
      <c r="AV763" s="1"/>
      <c r="AW763" s="1"/>
      <c r="AX763" s="1" t="s">
        <v>8258</v>
      </c>
      <c r="AY763" s="1" t="s">
        <v>13941</v>
      </c>
      <c r="AZ763" s="1" t="s">
        <v>225</v>
      </c>
      <c r="BA763" s="1" t="s">
        <v>506</v>
      </c>
      <c r="BB763" s="1">
        <v>77.8</v>
      </c>
      <c r="BC763" s="1">
        <v>7.78</v>
      </c>
      <c r="BD763" s="1"/>
      <c r="BE763" s="1"/>
      <c r="BF763" s="1"/>
      <c r="BG763" s="1"/>
      <c r="BH763" s="1"/>
      <c r="BI763" s="1"/>
      <c r="BJ763" s="1" t="s">
        <v>13942</v>
      </c>
      <c r="BK763" s="1" t="s">
        <v>13943</v>
      </c>
      <c r="BL763" s="1" t="s">
        <v>5685</v>
      </c>
      <c r="BM763" s="1" t="s">
        <v>13944</v>
      </c>
      <c r="BN763" s="1">
        <v>2</v>
      </c>
      <c r="BO763" s="1" t="s">
        <v>13945</v>
      </c>
      <c r="BP763" s="1" t="str">
        <f>HYPERLINK("https://nconnect.nicmar.ac.in/storage/profile/ProfilePhoto_P25700731_859741.jpg","Download")</f>
        <v>0</v>
      </c>
      <c r="BQ763" s="3"/>
      <c r="BR763" s="3"/>
    </row>
    <row r="764" spans="1:70">
      <c r="A764" s="1" t="s">
        <v>70</v>
      </c>
      <c r="B764" s="1" t="s">
        <v>1269</v>
      </c>
      <c r="C764" s="1" t="s">
        <v>13946</v>
      </c>
      <c r="D764" s="1" t="s">
        <v>13947</v>
      </c>
      <c r="E764" s="1" t="s">
        <v>2149</v>
      </c>
      <c r="F764" s="1" t="s">
        <v>6384</v>
      </c>
      <c r="G764" s="1" t="s">
        <v>13948</v>
      </c>
      <c r="H764" s="1" t="s">
        <v>13949</v>
      </c>
      <c r="I764" s="1" t="s">
        <v>13950</v>
      </c>
      <c r="J764" s="1">
        <v>9082473497</v>
      </c>
      <c r="K764" s="1" t="s">
        <v>79</v>
      </c>
      <c r="L764" s="1" t="s">
        <v>11317</v>
      </c>
      <c r="M764" s="1" t="s">
        <v>81</v>
      </c>
      <c r="N764" s="1" t="s">
        <v>13951</v>
      </c>
      <c r="O764" s="1"/>
      <c r="P764" s="1" t="s">
        <v>1278</v>
      </c>
      <c r="Q764" s="1" t="s">
        <v>13952</v>
      </c>
      <c r="R764" s="1" t="s">
        <v>6384</v>
      </c>
      <c r="S764" s="1">
        <v>9594154201</v>
      </c>
      <c r="T764" s="1" t="s">
        <v>496</v>
      </c>
      <c r="U764" s="1" t="s">
        <v>13953</v>
      </c>
      <c r="V764" s="1">
        <v>9324547252</v>
      </c>
      <c r="W764" s="1" t="s">
        <v>9095</v>
      </c>
      <c r="X764" s="1" t="s">
        <v>13954</v>
      </c>
      <c r="Y764" s="1" t="s">
        <v>766</v>
      </c>
      <c r="Z764" s="1" t="s">
        <v>92</v>
      </c>
      <c r="AA764" s="1" t="s">
        <v>13954</v>
      </c>
      <c r="AB764" s="1" t="s">
        <v>766</v>
      </c>
      <c r="AC764" s="1" t="s">
        <v>92</v>
      </c>
      <c r="AD764" s="1">
        <v>7.28</v>
      </c>
      <c r="AE764" s="1" t="s">
        <v>93</v>
      </c>
      <c r="AF764" s="1" t="s">
        <v>13955</v>
      </c>
      <c r="AG764" s="1" t="s">
        <v>13956</v>
      </c>
      <c r="AH764" s="1" t="s">
        <v>657</v>
      </c>
      <c r="AI764" s="1" t="s">
        <v>195</v>
      </c>
      <c r="AJ764" s="1">
        <v>63.8</v>
      </c>
      <c r="AK764" s="1"/>
      <c r="AL764" s="1"/>
      <c r="AM764" s="1"/>
      <c r="AN764" s="1"/>
      <c r="AO764" s="1"/>
      <c r="AP764" s="1"/>
      <c r="AQ764" s="1"/>
      <c r="AR764" s="1" t="s">
        <v>11325</v>
      </c>
      <c r="AS764" s="1" t="s">
        <v>13957</v>
      </c>
      <c r="AT764" s="1" t="s">
        <v>383</v>
      </c>
      <c r="AU764" s="1" t="s">
        <v>228</v>
      </c>
      <c r="AV764" s="1">
        <v>88.21</v>
      </c>
      <c r="AW764" s="1"/>
      <c r="AX764" s="1" t="s">
        <v>1024</v>
      </c>
      <c r="AY764" s="1" t="s">
        <v>13958</v>
      </c>
      <c r="AZ764" s="1" t="s">
        <v>363</v>
      </c>
      <c r="BA764" s="1" t="s">
        <v>174</v>
      </c>
      <c r="BB764" s="1">
        <v>74.28</v>
      </c>
      <c r="BC764" s="1"/>
      <c r="BD764" s="1"/>
      <c r="BE764" s="1"/>
      <c r="BF764" s="1"/>
      <c r="BG764" s="1"/>
      <c r="BH764" s="1"/>
      <c r="BI764" s="1"/>
      <c r="BJ764" s="1" t="s">
        <v>2080</v>
      </c>
      <c r="BK764" s="1" t="s">
        <v>13959</v>
      </c>
      <c r="BL764" s="1" t="s">
        <v>3239</v>
      </c>
      <c r="BM764" s="1" t="s">
        <v>13960</v>
      </c>
      <c r="BN764" s="1">
        <v>10</v>
      </c>
      <c r="BO764" s="1"/>
      <c r="BP764" s="1" t="str">
        <f>HYPERLINK("https://nconnect.nicmar.ac.in/storage/profile/ProfilePhoto_P25700732_983572.jpg","Download")</f>
        <v>0</v>
      </c>
      <c r="BQ764" s="3"/>
      <c r="BR764" s="3"/>
    </row>
    <row r="765" spans="1:70">
      <c r="A765" s="1" t="s">
        <v>70</v>
      </c>
      <c r="B765" s="1" t="s">
        <v>1269</v>
      </c>
      <c r="C765" s="1" t="s">
        <v>13961</v>
      </c>
      <c r="D765" s="1" t="s">
        <v>13962</v>
      </c>
      <c r="E765" s="1" t="s">
        <v>144</v>
      </c>
      <c r="F765" s="1" t="s">
        <v>13963</v>
      </c>
      <c r="G765" s="1" t="s">
        <v>13964</v>
      </c>
      <c r="H765" s="1" t="s">
        <v>13965</v>
      </c>
      <c r="I765" s="1" t="s">
        <v>13966</v>
      </c>
      <c r="J765" s="1">
        <v>9284971811</v>
      </c>
      <c r="K765" s="1" t="s">
        <v>79</v>
      </c>
      <c r="L765" s="1" t="s">
        <v>3944</v>
      </c>
      <c r="M765" s="1" t="s">
        <v>81</v>
      </c>
      <c r="N765" s="1" t="s">
        <v>6099</v>
      </c>
      <c r="O765" s="1"/>
      <c r="P765" s="1" t="s">
        <v>1278</v>
      </c>
      <c r="Q765" s="1" t="s">
        <v>13967</v>
      </c>
      <c r="R765" s="1" t="s">
        <v>13968</v>
      </c>
      <c r="S765" s="1">
        <v>9823162652</v>
      </c>
      <c r="T765" s="1" t="s">
        <v>13969</v>
      </c>
      <c r="U765" s="1" t="s">
        <v>13970</v>
      </c>
      <c r="V765" s="1">
        <v>8806536869</v>
      </c>
      <c r="W765" s="1" t="s">
        <v>13969</v>
      </c>
      <c r="X765" s="1" t="s">
        <v>13971</v>
      </c>
      <c r="Y765" s="1" t="s">
        <v>8567</v>
      </c>
      <c r="Z765" s="1" t="s">
        <v>92</v>
      </c>
      <c r="AA765" s="1" t="s">
        <v>13971</v>
      </c>
      <c r="AB765" s="1" t="s">
        <v>8567</v>
      </c>
      <c r="AC765" s="1" t="s">
        <v>92</v>
      </c>
      <c r="AD765" s="1">
        <v>7.97</v>
      </c>
      <c r="AE765" s="1" t="s">
        <v>93</v>
      </c>
      <c r="AF765" s="1" t="s">
        <v>13972</v>
      </c>
      <c r="AG765" s="1" t="s">
        <v>160</v>
      </c>
      <c r="AH765" s="1" t="s">
        <v>101</v>
      </c>
      <c r="AI765" s="1" t="s">
        <v>433</v>
      </c>
      <c r="AJ765" s="1">
        <v>86.2</v>
      </c>
      <c r="AK765" s="1"/>
      <c r="AL765" s="1" t="s">
        <v>13973</v>
      </c>
      <c r="AM765" s="1" t="s">
        <v>160</v>
      </c>
      <c r="AN765" s="1" t="s">
        <v>699</v>
      </c>
      <c r="AO765" s="1" t="s">
        <v>1131</v>
      </c>
      <c r="AP765" s="1">
        <v>91.33</v>
      </c>
      <c r="AQ765" s="1"/>
      <c r="AR765" s="1"/>
      <c r="AS765" s="1"/>
      <c r="AT765" s="1"/>
      <c r="AU765" s="1"/>
      <c r="AV765" s="1"/>
      <c r="AW765" s="1"/>
      <c r="AX765" s="1" t="s">
        <v>361</v>
      </c>
      <c r="AY765" s="1" t="s">
        <v>13974</v>
      </c>
      <c r="AZ765" s="1" t="s">
        <v>897</v>
      </c>
      <c r="BA765" s="1" t="s">
        <v>1714</v>
      </c>
      <c r="BB765" s="1">
        <v>63.09</v>
      </c>
      <c r="BC765" s="1">
        <v>7.18</v>
      </c>
      <c r="BD765" s="1"/>
      <c r="BE765" s="1"/>
      <c r="BF765" s="1"/>
      <c r="BG765" s="1"/>
      <c r="BH765" s="1"/>
      <c r="BI765" s="1"/>
      <c r="BJ765" s="1" t="s">
        <v>1383</v>
      </c>
      <c r="BK765" s="1"/>
      <c r="BL765" s="1"/>
      <c r="BM765" s="1" t="s">
        <v>13975</v>
      </c>
      <c r="BN765" s="1">
        <v>10</v>
      </c>
      <c r="BO765" s="1" t="s">
        <v>1715</v>
      </c>
      <c r="BP765" s="1" t="str">
        <f>HYPERLINK("https://nconnect.nicmar.ac.in/storage/profile/ProfilePhoto_P25700733_564197.jpg","Download")</f>
        <v>0</v>
      </c>
      <c r="BQ765" s="3"/>
      <c r="BR765" s="3"/>
    </row>
    <row r="766" spans="1:70">
      <c r="A766" s="1" t="s">
        <v>70</v>
      </c>
      <c r="B766" s="1" t="s">
        <v>1269</v>
      </c>
      <c r="C766" s="1" t="s">
        <v>13976</v>
      </c>
      <c r="D766" s="1" t="s">
        <v>13977</v>
      </c>
      <c r="E766" s="1"/>
      <c r="F766" s="1" t="s">
        <v>596</v>
      </c>
      <c r="G766" s="1" t="s">
        <v>13978</v>
      </c>
      <c r="H766" s="1" t="s">
        <v>13979</v>
      </c>
      <c r="I766" s="1" t="s">
        <v>13980</v>
      </c>
      <c r="J766" s="1">
        <v>7530000295</v>
      </c>
      <c r="K766" s="1" t="s">
        <v>79</v>
      </c>
      <c r="L766" s="1" t="s">
        <v>13981</v>
      </c>
      <c r="M766" s="1" t="s">
        <v>81</v>
      </c>
      <c r="N766" s="1" t="s">
        <v>13982</v>
      </c>
      <c r="O766" s="1"/>
      <c r="P766" s="1" t="s">
        <v>1278</v>
      </c>
      <c r="Q766" s="1" t="s">
        <v>13983</v>
      </c>
      <c r="R766" s="1" t="s">
        <v>13984</v>
      </c>
      <c r="S766" s="1">
        <v>9801086376</v>
      </c>
      <c r="T766" s="1" t="s">
        <v>13985</v>
      </c>
      <c r="U766" s="1" t="s">
        <v>13986</v>
      </c>
      <c r="V766" s="1">
        <v>8252292956</v>
      </c>
      <c r="W766" s="1" t="s">
        <v>13987</v>
      </c>
      <c r="X766" s="1" t="s">
        <v>13988</v>
      </c>
      <c r="Y766" s="1" t="s">
        <v>2988</v>
      </c>
      <c r="Z766" s="1" t="s">
        <v>846</v>
      </c>
      <c r="AA766" s="1" t="s">
        <v>13988</v>
      </c>
      <c r="AB766" s="1" t="s">
        <v>2988</v>
      </c>
      <c r="AC766" s="1" t="s">
        <v>846</v>
      </c>
      <c r="AD766" s="1">
        <v>9.15</v>
      </c>
      <c r="AE766" s="1" t="s">
        <v>93</v>
      </c>
      <c r="AF766" s="1" t="s">
        <v>13989</v>
      </c>
      <c r="AG766" s="1" t="s">
        <v>13990</v>
      </c>
      <c r="AH766" s="1" t="s">
        <v>128</v>
      </c>
      <c r="AI766" s="1" t="s">
        <v>998</v>
      </c>
      <c r="AJ766" s="1">
        <v>78.6</v>
      </c>
      <c r="AK766" s="1"/>
      <c r="AL766" s="1" t="s">
        <v>13991</v>
      </c>
      <c r="AM766" s="1" t="s">
        <v>13990</v>
      </c>
      <c r="AN766" s="1" t="s">
        <v>998</v>
      </c>
      <c r="AO766" s="1" t="s">
        <v>131</v>
      </c>
      <c r="AP766" s="1">
        <v>71.2</v>
      </c>
      <c r="AQ766" s="1"/>
      <c r="AR766" s="1"/>
      <c r="AS766" s="1"/>
      <c r="AT766" s="1"/>
      <c r="AU766" s="1"/>
      <c r="AV766" s="1"/>
      <c r="AW766" s="1"/>
      <c r="AX766" s="1" t="s">
        <v>13992</v>
      </c>
      <c r="AY766" s="1" t="s">
        <v>13993</v>
      </c>
      <c r="AZ766" s="1" t="s">
        <v>162</v>
      </c>
      <c r="BA766" s="1" t="s">
        <v>699</v>
      </c>
      <c r="BB766" s="1">
        <v>83.7</v>
      </c>
      <c r="BC766" s="1">
        <v>8.37</v>
      </c>
      <c r="BD766" s="1"/>
      <c r="BE766" s="1"/>
      <c r="BF766" s="1"/>
      <c r="BG766" s="1"/>
      <c r="BH766" s="1"/>
      <c r="BI766" s="1"/>
      <c r="BJ766" s="1" t="s">
        <v>13994</v>
      </c>
      <c r="BK766" s="1" t="s">
        <v>13995</v>
      </c>
      <c r="BL766" s="1" t="s">
        <v>13996</v>
      </c>
      <c r="BM766" s="1" t="s">
        <v>13997</v>
      </c>
      <c r="BN766" s="1">
        <v>13</v>
      </c>
      <c r="BO766" s="1" t="s">
        <v>13998</v>
      </c>
      <c r="BP766" s="1" t="str">
        <f>HYPERLINK("https://nconnect.nicmar.ac.in/storage/profile/ProfilePhoto_P25700734_648325.jpg","Download")</f>
        <v>0</v>
      </c>
      <c r="BQ766" s="3"/>
      <c r="BR766" s="3"/>
    </row>
    <row r="767" spans="1:70">
      <c r="A767" s="1" t="s">
        <v>70</v>
      </c>
      <c r="B767" s="1" t="s">
        <v>1269</v>
      </c>
      <c r="C767" s="1" t="s">
        <v>13999</v>
      </c>
      <c r="D767" s="1" t="s">
        <v>353</v>
      </c>
      <c r="E767" s="1"/>
      <c r="F767" s="1" t="s">
        <v>14000</v>
      </c>
      <c r="G767" s="1" t="s">
        <v>14001</v>
      </c>
      <c r="H767" s="1" t="s">
        <v>14002</v>
      </c>
      <c r="I767" s="1" t="s">
        <v>14003</v>
      </c>
      <c r="J767" s="1">
        <v>9009499412</v>
      </c>
      <c r="K767" s="1" t="s">
        <v>148</v>
      </c>
      <c r="L767" s="1" t="s">
        <v>5968</v>
      </c>
      <c r="M767" s="1" t="s">
        <v>81</v>
      </c>
      <c r="N767" s="1" t="s">
        <v>14004</v>
      </c>
      <c r="O767" s="1"/>
      <c r="P767" s="1" t="s">
        <v>1323</v>
      </c>
      <c r="Q767" s="1" t="s">
        <v>14005</v>
      </c>
      <c r="R767" s="1" t="s">
        <v>14006</v>
      </c>
      <c r="S767" s="1">
        <v>9425075619</v>
      </c>
      <c r="T767" s="1" t="s">
        <v>14007</v>
      </c>
      <c r="U767" s="1" t="s">
        <v>14008</v>
      </c>
      <c r="V767" s="1">
        <v>9424073297</v>
      </c>
      <c r="W767" s="1" t="s">
        <v>156</v>
      </c>
      <c r="X767" s="1" t="s">
        <v>14009</v>
      </c>
      <c r="Y767" s="1" t="s">
        <v>6358</v>
      </c>
      <c r="Z767" s="1" t="s">
        <v>936</v>
      </c>
      <c r="AA767" s="1" t="s">
        <v>14009</v>
      </c>
      <c r="AB767" s="1" t="s">
        <v>6358</v>
      </c>
      <c r="AC767" s="1" t="s">
        <v>936</v>
      </c>
      <c r="AD767" s="1">
        <v>8.59</v>
      </c>
      <c r="AE767" s="1" t="s">
        <v>93</v>
      </c>
      <c r="AF767" s="1" t="s">
        <v>14010</v>
      </c>
      <c r="AG767" s="1" t="s">
        <v>307</v>
      </c>
      <c r="AH767" s="1" t="s">
        <v>279</v>
      </c>
      <c r="AI767" s="1" t="s">
        <v>165</v>
      </c>
      <c r="AJ767" s="1">
        <v>95</v>
      </c>
      <c r="AK767" s="1">
        <v>10</v>
      </c>
      <c r="AL767" s="1" t="s">
        <v>14011</v>
      </c>
      <c r="AM767" s="1" t="s">
        <v>307</v>
      </c>
      <c r="AN767" s="1" t="s">
        <v>1307</v>
      </c>
      <c r="AO767" s="1" t="s">
        <v>308</v>
      </c>
      <c r="AP767" s="1">
        <v>76.4</v>
      </c>
      <c r="AQ767" s="1">
        <v>0</v>
      </c>
      <c r="AR767" s="1"/>
      <c r="AS767" s="1"/>
      <c r="AT767" s="1"/>
      <c r="AU767" s="1"/>
      <c r="AV767" s="1"/>
      <c r="AW767" s="1"/>
      <c r="AX767" s="1" t="s">
        <v>5958</v>
      </c>
      <c r="AY767" s="1" t="s">
        <v>14012</v>
      </c>
      <c r="AZ767" s="1" t="s">
        <v>201</v>
      </c>
      <c r="BA767" s="1" t="s">
        <v>202</v>
      </c>
      <c r="BB767" s="1">
        <v>77.6</v>
      </c>
      <c r="BC767" s="1">
        <v>7.76</v>
      </c>
      <c r="BD767" s="1"/>
      <c r="BE767" s="1"/>
      <c r="BF767" s="1"/>
      <c r="BG767" s="1"/>
      <c r="BH767" s="1"/>
      <c r="BI767" s="1"/>
      <c r="BJ767" s="1" t="s">
        <v>14013</v>
      </c>
      <c r="BK767" s="1" t="s">
        <v>14014</v>
      </c>
      <c r="BL767" s="1" t="s">
        <v>4917</v>
      </c>
      <c r="BM767" s="1" t="s">
        <v>14015</v>
      </c>
      <c r="BN767" s="1">
        <v>24</v>
      </c>
      <c r="BO767" s="1"/>
      <c r="BP767" s="1" t="str">
        <f>HYPERLINK("https://nconnect.nicmar.ac.in/storage/profile/ProfilePhoto_P25700735_173845.jpg","Download")</f>
        <v>0</v>
      </c>
      <c r="BQ767" s="3"/>
      <c r="BR767" s="3"/>
    </row>
    <row r="768" spans="1:70">
      <c r="A768" s="1" t="s">
        <v>70</v>
      </c>
      <c r="B768" s="1" t="s">
        <v>1269</v>
      </c>
      <c r="C768" s="1" t="s">
        <v>14016</v>
      </c>
      <c r="D768" s="1" t="s">
        <v>5563</v>
      </c>
      <c r="E768" s="1" t="s">
        <v>14017</v>
      </c>
      <c r="F768" s="1" t="s">
        <v>1010</v>
      </c>
      <c r="G768" s="1" t="s">
        <v>14018</v>
      </c>
      <c r="H768" s="1" t="s">
        <v>14019</v>
      </c>
      <c r="I768" s="1" t="s">
        <v>14020</v>
      </c>
      <c r="J768" s="1">
        <v>9850488999</v>
      </c>
      <c r="K768" s="1" t="s">
        <v>79</v>
      </c>
      <c r="L768" s="1" t="s">
        <v>14021</v>
      </c>
      <c r="M768" s="1" t="s">
        <v>81</v>
      </c>
      <c r="N768" s="1" t="s">
        <v>1765</v>
      </c>
      <c r="O768" s="1"/>
      <c r="P768" s="1" t="s">
        <v>1298</v>
      </c>
      <c r="Q768" s="1" t="s">
        <v>14022</v>
      </c>
      <c r="R768" s="1" t="s">
        <v>14023</v>
      </c>
      <c r="S768" s="1">
        <v>9422087715</v>
      </c>
      <c r="T768" s="1" t="s">
        <v>14024</v>
      </c>
      <c r="U768" s="1" t="s">
        <v>14025</v>
      </c>
      <c r="V768" s="1">
        <v>9422087716</v>
      </c>
      <c r="W768" s="1" t="s">
        <v>156</v>
      </c>
      <c r="X768" s="1" t="s">
        <v>14026</v>
      </c>
      <c r="Y768" s="1" t="s">
        <v>1623</v>
      </c>
      <c r="Z768" s="1" t="s">
        <v>92</v>
      </c>
      <c r="AA768" s="1" t="s">
        <v>14026</v>
      </c>
      <c r="AB768" s="1" t="s">
        <v>1623</v>
      </c>
      <c r="AC768" s="1" t="s">
        <v>92</v>
      </c>
      <c r="AD768" s="1">
        <v>7.71</v>
      </c>
      <c r="AE768" s="1" t="s">
        <v>93</v>
      </c>
      <c r="AF768" s="1" t="s">
        <v>14027</v>
      </c>
      <c r="AG768" s="1" t="s">
        <v>14028</v>
      </c>
      <c r="AH768" s="1" t="s">
        <v>4212</v>
      </c>
      <c r="AI768" s="1" t="s">
        <v>1197</v>
      </c>
      <c r="AJ768" s="1">
        <v>77.9</v>
      </c>
      <c r="AK768" s="1">
        <v>8.2</v>
      </c>
      <c r="AL768" s="1" t="s">
        <v>14029</v>
      </c>
      <c r="AM768" s="1" t="s">
        <v>14030</v>
      </c>
      <c r="AN768" s="1" t="s">
        <v>131</v>
      </c>
      <c r="AO768" s="1" t="s">
        <v>527</v>
      </c>
      <c r="AP768" s="1">
        <v>62.2</v>
      </c>
      <c r="AQ768" s="1"/>
      <c r="AR768" s="1"/>
      <c r="AS768" s="1"/>
      <c r="AT768" s="1"/>
      <c r="AU768" s="1"/>
      <c r="AV768" s="1"/>
      <c r="AW768" s="1"/>
      <c r="AX768" s="1" t="s">
        <v>253</v>
      </c>
      <c r="AY768" s="1" t="s">
        <v>14031</v>
      </c>
      <c r="AZ768" s="1" t="s">
        <v>733</v>
      </c>
      <c r="BA768" s="1" t="s">
        <v>506</v>
      </c>
      <c r="BB768" s="1">
        <v>62.74</v>
      </c>
      <c r="BC768" s="1"/>
      <c r="BD768" s="1"/>
      <c r="BE768" s="1"/>
      <c r="BF768" s="1"/>
      <c r="BG768" s="1"/>
      <c r="BH768" s="1"/>
      <c r="BI768" s="1"/>
      <c r="BJ768" s="1" t="s">
        <v>734</v>
      </c>
      <c r="BK768" s="1"/>
      <c r="BL768" s="1"/>
      <c r="BM768" s="1" t="s">
        <v>14032</v>
      </c>
      <c r="BN768" s="1">
        <v>4</v>
      </c>
      <c r="BO768" s="1"/>
      <c r="BP768" s="1" t="str">
        <f>HYPERLINK("https://nconnect.nicmar.ac.in/storage/profile/ProfilePhoto_P25700736_278395.jpg","Download")</f>
        <v>0</v>
      </c>
      <c r="BQ768" s="3"/>
      <c r="BR768" s="3"/>
    </row>
    <row r="769" spans="1:70">
      <c r="A769" s="1" t="s">
        <v>70</v>
      </c>
      <c r="B769" s="1" t="s">
        <v>1269</v>
      </c>
      <c r="C769" s="1" t="s">
        <v>14033</v>
      </c>
      <c r="D769" s="1" t="s">
        <v>143</v>
      </c>
      <c r="E769" s="1" t="s">
        <v>14034</v>
      </c>
      <c r="F769" s="1" t="s">
        <v>14035</v>
      </c>
      <c r="G769" s="1" t="s">
        <v>14036</v>
      </c>
      <c r="H769" s="1" t="s">
        <v>14037</v>
      </c>
      <c r="I769" s="1" t="s">
        <v>14038</v>
      </c>
      <c r="J769" s="1">
        <v>9284278147</v>
      </c>
      <c r="K769" s="1" t="s">
        <v>148</v>
      </c>
      <c r="L769" s="1" t="s">
        <v>14039</v>
      </c>
      <c r="M769" s="1" t="s">
        <v>81</v>
      </c>
      <c r="N769" s="1" t="s">
        <v>14040</v>
      </c>
      <c r="O769" s="1"/>
      <c r="P769" s="1" t="s">
        <v>1298</v>
      </c>
      <c r="Q769" s="1" t="s">
        <v>14041</v>
      </c>
      <c r="R769" s="1" t="s">
        <v>14034</v>
      </c>
      <c r="S769" s="1">
        <v>7972058735</v>
      </c>
      <c r="T769" s="1" t="s">
        <v>763</v>
      </c>
      <c r="U769" s="1" t="s">
        <v>13668</v>
      </c>
      <c r="V769" s="1">
        <v>9156795657</v>
      </c>
      <c r="W769" s="1" t="s">
        <v>156</v>
      </c>
      <c r="X769" s="1" t="s">
        <v>14042</v>
      </c>
      <c r="Y769" s="1" t="s">
        <v>191</v>
      </c>
      <c r="Z769" s="1" t="s">
        <v>92</v>
      </c>
      <c r="AA769" s="1" t="s">
        <v>14042</v>
      </c>
      <c r="AB769" s="1" t="s">
        <v>191</v>
      </c>
      <c r="AC769" s="1" t="s">
        <v>92</v>
      </c>
      <c r="AD769" s="1">
        <v>8.28</v>
      </c>
      <c r="AE769" s="1" t="s">
        <v>93</v>
      </c>
      <c r="AF769" s="1" t="s">
        <v>1020</v>
      </c>
      <c r="AG769" s="1" t="s">
        <v>13783</v>
      </c>
      <c r="AH769" s="1" t="s">
        <v>1242</v>
      </c>
      <c r="AI769" s="1" t="s">
        <v>999</v>
      </c>
      <c r="AJ769" s="1">
        <v>61.6</v>
      </c>
      <c r="AK769" s="1">
        <v>6.8</v>
      </c>
      <c r="AL769" s="1" t="s">
        <v>14043</v>
      </c>
      <c r="AM769" s="1" t="s">
        <v>13783</v>
      </c>
      <c r="AN769" s="1" t="s">
        <v>456</v>
      </c>
      <c r="AO769" s="1" t="s">
        <v>1332</v>
      </c>
      <c r="AP769" s="1">
        <v>58.15</v>
      </c>
      <c r="AQ769" s="1"/>
      <c r="AR769" s="1" t="s">
        <v>98</v>
      </c>
      <c r="AS769" s="1" t="s">
        <v>14044</v>
      </c>
      <c r="AT769" s="1" t="s">
        <v>225</v>
      </c>
      <c r="AU769" s="1" t="s">
        <v>5484</v>
      </c>
      <c r="AV769" s="1">
        <v>77.21</v>
      </c>
      <c r="AW769" s="1"/>
      <c r="AX769" s="1" t="s">
        <v>8485</v>
      </c>
      <c r="AY769" s="1" t="s">
        <v>8220</v>
      </c>
      <c r="AZ769" s="1" t="s">
        <v>2461</v>
      </c>
      <c r="BA769" s="1" t="s">
        <v>682</v>
      </c>
      <c r="BB769" s="1">
        <v>83.7</v>
      </c>
      <c r="BC769" s="1">
        <v>9.12</v>
      </c>
      <c r="BD769" s="1"/>
      <c r="BE769" s="1"/>
      <c r="BF769" s="1"/>
      <c r="BG769" s="1"/>
      <c r="BH769" s="1"/>
      <c r="BI769" s="1"/>
      <c r="BJ769" s="1" t="s">
        <v>255</v>
      </c>
      <c r="BK769" s="1" t="s">
        <v>14045</v>
      </c>
      <c r="BL769" s="1" t="s">
        <v>1289</v>
      </c>
      <c r="BM769" s="1" t="s">
        <v>14046</v>
      </c>
      <c r="BN769" s="1">
        <v>13</v>
      </c>
      <c r="BO769" s="1"/>
      <c r="BP769" s="1" t="str">
        <f>HYPERLINK("https://nconnect.nicmar.ac.in/storage/profile/ProfilePhoto_P25700737_218935.jpg","Download")</f>
        <v>0</v>
      </c>
      <c r="BQ769" s="3"/>
      <c r="BR769" s="3"/>
    </row>
    <row r="770" spans="1:70">
      <c r="A770" s="1" t="s">
        <v>70</v>
      </c>
      <c r="B770" s="1" t="s">
        <v>1269</v>
      </c>
      <c r="C770" s="1" t="s">
        <v>14047</v>
      </c>
      <c r="D770" s="1" t="s">
        <v>14048</v>
      </c>
      <c r="E770" s="1" t="s">
        <v>208</v>
      </c>
      <c r="F770" s="1" t="s">
        <v>14049</v>
      </c>
      <c r="G770" s="1" t="s">
        <v>14050</v>
      </c>
      <c r="H770" s="1" t="s">
        <v>14051</v>
      </c>
      <c r="I770" s="1" t="s">
        <v>14052</v>
      </c>
      <c r="J770" s="1">
        <v>9067711293</v>
      </c>
      <c r="K770" s="1" t="s">
        <v>148</v>
      </c>
      <c r="L770" s="1" t="s">
        <v>14053</v>
      </c>
      <c r="M770" s="1" t="s">
        <v>81</v>
      </c>
      <c r="N770" s="1" t="s">
        <v>13951</v>
      </c>
      <c r="O770" s="1"/>
      <c r="P770" s="1" t="s">
        <v>1298</v>
      </c>
      <c r="Q770" s="1" t="s">
        <v>14054</v>
      </c>
      <c r="R770" s="1" t="s">
        <v>208</v>
      </c>
      <c r="S770" s="1">
        <v>9921096886</v>
      </c>
      <c r="T770" s="1" t="s">
        <v>7415</v>
      </c>
      <c r="U770" s="1" t="s">
        <v>2699</v>
      </c>
      <c r="V770" s="1">
        <v>8379057343</v>
      </c>
      <c r="W770" s="1" t="s">
        <v>156</v>
      </c>
      <c r="X770" s="1" t="s">
        <v>14055</v>
      </c>
      <c r="Y770" s="1" t="s">
        <v>191</v>
      </c>
      <c r="Z770" s="1" t="s">
        <v>92</v>
      </c>
      <c r="AA770" s="1" t="s">
        <v>14055</v>
      </c>
      <c r="AB770" s="1" t="s">
        <v>191</v>
      </c>
      <c r="AC770" s="1" t="s">
        <v>92</v>
      </c>
      <c r="AD770" s="1">
        <v>8.64</v>
      </c>
      <c r="AE770" s="1" t="s">
        <v>93</v>
      </c>
      <c r="AF770" s="1" t="s">
        <v>14056</v>
      </c>
      <c r="AG770" s="1" t="s">
        <v>160</v>
      </c>
      <c r="AH770" s="1" t="s">
        <v>101</v>
      </c>
      <c r="AI770" s="1" t="s">
        <v>433</v>
      </c>
      <c r="AJ770" s="1">
        <v>87.6</v>
      </c>
      <c r="AK770" s="1"/>
      <c r="AL770" s="1" t="s">
        <v>14057</v>
      </c>
      <c r="AM770" s="1" t="s">
        <v>14058</v>
      </c>
      <c r="AN770" s="1" t="s">
        <v>310</v>
      </c>
      <c r="AO770" s="1" t="s">
        <v>436</v>
      </c>
      <c r="AP770" s="1">
        <v>88.5</v>
      </c>
      <c r="AQ770" s="1"/>
      <c r="AR770" s="1"/>
      <c r="AS770" s="1"/>
      <c r="AT770" s="1"/>
      <c r="AU770" s="1"/>
      <c r="AV770" s="1"/>
      <c r="AW770" s="1"/>
      <c r="AX770" s="1" t="s">
        <v>361</v>
      </c>
      <c r="AY770" s="1" t="s">
        <v>14059</v>
      </c>
      <c r="AZ770" s="1" t="s">
        <v>897</v>
      </c>
      <c r="BA770" s="1" t="s">
        <v>1714</v>
      </c>
      <c r="BB770" s="1">
        <v>74.9</v>
      </c>
      <c r="BC770" s="1">
        <v>8.24</v>
      </c>
      <c r="BD770" s="1"/>
      <c r="BE770" s="1"/>
      <c r="BF770" s="1"/>
      <c r="BG770" s="1"/>
      <c r="BH770" s="1"/>
      <c r="BI770" s="1"/>
      <c r="BJ770" s="1" t="s">
        <v>14060</v>
      </c>
      <c r="BK770" s="1"/>
      <c r="BL770" s="1"/>
      <c r="BM770" s="1" t="s">
        <v>14061</v>
      </c>
      <c r="BN770" s="1">
        <v>13</v>
      </c>
      <c r="BO770" s="1" t="s">
        <v>14062</v>
      </c>
      <c r="BP770" s="1" t="str">
        <f>HYPERLINK("https://nconnect.nicmar.ac.in/storage/profile/ProfilePhoto_P25700739_914235.jpg","Download")</f>
        <v>0</v>
      </c>
      <c r="BQ770" s="3"/>
      <c r="BR770" s="3"/>
    </row>
    <row r="771" spans="1:70">
      <c r="A771" s="1" t="s">
        <v>70</v>
      </c>
      <c r="B771" s="1" t="s">
        <v>1269</v>
      </c>
      <c r="C771" s="1" t="s">
        <v>14063</v>
      </c>
      <c r="D771" s="1" t="s">
        <v>14064</v>
      </c>
      <c r="E771" s="1" t="s">
        <v>9148</v>
      </c>
      <c r="F771" s="1" t="s">
        <v>2893</v>
      </c>
      <c r="G771" s="1" t="s">
        <v>14065</v>
      </c>
      <c r="H771" s="1" t="s">
        <v>14066</v>
      </c>
      <c r="I771" s="1" t="s">
        <v>14067</v>
      </c>
      <c r="J771" s="1">
        <v>9767312000</v>
      </c>
      <c r="K771" s="1" t="s">
        <v>148</v>
      </c>
      <c r="L771" s="1" t="s">
        <v>14068</v>
      </c>
      <c r="M771" s="1" t="s">
        <v>81</v>
      </c>
      <c r="N771" s="1" t="s">
        <v>1765</v>
      </c>
      <c r="O771" s="1"/>
      <c r="P771" s="1" t="s">
        <v>1298</v>
      </c>
      <c r="Q771" s="1" t="s">
        <v>14069</v>
      </c>
      <c r="R771" s="1" t="s">
        <v>14070</v>
      </c>
      <c r="S771" s="1">
        <v>9225520079</v>
      </c>
      <c r="T771" s="1" t="s">
        <v>120</v>
      </c>
      <c r="U771" s="1" t="s">
        <v>14071</v>
      </c>
      <c r="V771" s="1">
        <v>8329339987</v>
      </c>
      <c r="W771" s="1" t="s">
        <v>156</v>
      </c>
      <c r="X771" s="1" t="s">
        <v>14072</v>
      </c>
      <c r="Y771" s="1" t="s">
        <v>191</v>
      </c>
      <c r="Z771" s="1" t="s">
        <v>92</v>
      </c>
      <c r="AA771" s="1" t="s">
        <v>14072</v>
      </c>
      <c r="AB771" s="1" t="s">
        <v>191</v>
      </c>
      <c r="AC771" s="1" t="s">
        <v>92</v>
      </c>
      <c r="AD771" s="1">
        <v>7.36</v>
      </c>
      <c r="AE771" s="1" t="s">
        <v>93</v>
      </c>
      <c r="AF771" s="1" t="s">
        <v>14073</v>
      </c>
      <c r="AG771" s="1" t="s">
        <v>3476</v>
      </c>
      <c r="AH771" s="1" t="s">
        <v>161</v>
      </c>
      <c r="AI771" s="1" t="s">
        <v>162</v>
      </c>
      <c r="AJ771" s="1">
        <v>67.8</v>
      </c>
      <c r="AK771" s="1"/>
      <c r="AL771" s="1" t="s">
        <v>14074</v>
      </c>
      <c r="AM771" s="1" t="s">
        <v>3476</v>
      </c>
      <c r="AN771" s="1" t="s">
        <v>165</v>
      </c>
      <c r="AO771" s="1" t="s">
        <v>457</v>
      </c>
      <c r="AP771" s="1">
        <v>52.15</v>
      </c>
      <c r="AQ771" s="1"/>
      <c r="AR771" s="1"/>
      <c r="AS771" s="1"/>
      <c r="AT771" s="1"/>
      <c r="AU771" s="1"/>
      <c r="AV771" s="1"/>
      <c r="AW771" s="1"/>
      <c r="AX771" s="1" t="s">
        <v>14075</v>
      </c>
      <c r="AY771" s="1" t="s">
        <v>14076</v>
      </c>
      <c r="AZ771" s="1" t="s">
        <v>310</v>
      </c>
      <c r="BA771" s="1" t="s">
        <v>10140</v>
      </c>
      <c r="BB771" s="1">
        <v>63.01</v>
      </c>
      <c r="BC771" s="1"/>
      <c r="BD771" s="1"/>
      <c r="BE771" s="1"/>
      <c r="BF771" s="1"/>
      <c r="BG771" s="1"/>
      <c r="BH771" s="1"/>
      <c r="BI771" s="1"/>
      <c r="BJ771" s="1" t="s">
        <v>14077</v>
      </c>
      <c r="BK771" s="1"/>
      <c r="BL771" s="1"/>
      <c r="BM771" s="1"/>
      <c r="BN771" s="1"/>
      <c r="BO771" s="1"/>
      <c r="BP771" s="1" t="str">
        <f>HYPERLINK("https://nconnect.nicmar.ac.in/storage/profile/ProfilePhoto_P25700740_145692.jpg","Download")</f>
        <v>0</v>
      </c>
      <c r="BQ771" s="3"/>
      <c r="BR771" s="3"/>
    </row>
    <row r="772" spans="1:70">
      <c r="A772" s="1" t="s">
        <v>70</v>
      </c>
      <c r="B772" s="1" t="s">
        <v>1269</v>
      </c>
      <c r="C772" s="1" t="s">
        <v>14078</v>
      </c>
      <c r="D772" s="1" t="s">
        <v>8456</v>
      </c>
      <c r="E772" s="1" t="s">
        <v>3297</v>
      </c>
      <c r="F772" s="1" t="s">
        <v>5980</v>
      </c>
      <c r="G772" s="1" t="s">
        <v>14079</v>
      </c>
      <c r="H772" s="1" t="s">
        <v>14080</v>
      </c>
      <c r="I772" s="1" t="s">
        <v>14081</v>
      </c>
      <c r="J772" s="1">
        <v>8308779295</v>
      </c>
      <c r="K772" s="1" t="s">
        <v>79</v>
      </c>
      <c r="L772" s="1" t="s">
        <v>14082</v>
      </c>
      <c r="M772" s="1" t="s">
        <v>81</v>
      </c>
      <c r="N772" s="1" t="s">
        <v>1418</v>
      </c>
      <c r="O772" s="1"/>
      <c r="P772" s="1" t="s">
        <v>1323</v>
      </c>
      <c r="Q772" s="1" t="s">
        <v>14083</v>
      </c>
      <c r="R772" s="1" t="s">
        <v>14084</v>
      </c>
      <c r="S772" s="1">
        <v>9420012124</v>
      </c>
      <c r="T772" s="1" t="s">
        <v>14085</v>
      </c>
      <c r="U772" s="1" t="s">
        <v>14086</v>
      </c>
      <c r="V772" s="1">
        <v>9168619132</v>
      </c>
      <c r="W772" s="1" t="s">
        <v>156</v>
      </c>
      <c r="X772" s="1" t="s">
        <v>14087</v>
      </c>
      <c r="Y772" s="1" t="s">
        <v>191</v>
      </c>
      <c r="Z772" s="1" t="s">
        <v>92</v>
      </c>
      <c r="AA772" s="1" t="s">
        <v>14088</v>
      </c>
      <c r="AB772" s="1" t="s">
        <v>3474</v>
      </c>
      <c r="AC772" s="1" t="s">
        <v>92</v>
      </c>
      <c r="AD772" s="1">
        <v>8.28</v>
      </c>
      <c r="AE772" s="1" t="s">
        <v>93</v>
      </c>
      <c r="AF772" s="1" t="s">
        <v>14089</v>
      </c>
      <c r="AG772" s="1" t="s">
        <v>14090</v>
      </c>
      <c r="AH772" s="1" t="s">
        <v>161</v>
      </c>
      <c r="AI772" s="1" t="s">
        <v>456</v>
      </c>
      <c r="AJ772" s="1">
        <v>87.8</v>
      </c>
      <c r="AK772" s="1"/>
      <c r="AL772" s="1" t="s">
        <v>14091</v>
      </c>
      <c r="AM772" s="1" t="s">
        <v>14092</v>
      </c>
      <c r="AN772" s="1" t="s">
        <v>165</v>
      </c>
      <c r="AO772" s="1" t="s">
        <v>457</v>
      </c>
      <c r="AP772" s="1">
        <v>72</v>
      </c>
      <c r="AQ772" s="1"/>
      <c r="AR772" s="1"/>
      <c r="AS772" s="1"/>
      <c r="AT772" s="1"/>
      <c r="AU772" s="1"/>
      <c r="AV772" s="1"/>
      <c r="AW772" s="1"/>
      <c r="AX772" s="1" t="s">
        <v>361</v>
      </c>
      <c r="AY772" s="1" t="s">
        <v>14093</v>
      </c>
      <c r="AZ772" s="1" t="s">
        <v>636</v>
      </c>
      <c r="BA772" s="1" t="s">
        <v>105</v>
      </c>
      <c r="BB772" s="1">
        <v>78.23</v>
      </c>
      <c r="BC772" s="1">
        <v>8.79</v>
      </c>
      <c r="BD772" s="1"/>
      <c r="BE772" s="1"/>
      <c r="BF772" s="1"/>
      <c r="BG772" s="1"/>
      <c r="BH772" s="1"/>
      <c r="BI772" s="1"/>
      <c r="BJ772" s="1" t="s">
        <v>14094</v>
      </c>
      <c r="BK772" s="1" t="s">
        <v>14095</v>
      </c>
      <c r="BL772" s="1" t="s">
        <v>1028</v>
      </c>
      <c r="BM772" s="1" t="s">
        <v>14096</v>
      </c>
      <c r="BN772" s="1">
        <v>23</v>
      </c>
      <c r="BO772" s="1" t="s">
        <v>14097</v>
      </c>
      <c r="BP772" s="1" t="str">
        <f>HYPERLINK("https://nconnect.nicmar.ac.in/storage/profile/ProfilePhoto_P25700741_246781.jpg","Download")</f>
        <v>0</v>
      </c>
      <c r="BQ772" s="3"/>
      <c r="BR772" s="3"/>
    </row>
    <row r="773" spans="1:70">
      <c r="A773" s="1" t="s">
        <v>70</v>
      </c>
      <c r="B773" s="1" t="s">
        <v>1269</v>
      </c>
      <c r="C773" s="1" t="s">
        <v>14098</v>
      </c>
      <c r="D773" s="1" t="s">
        <v>14099</v>
      </c>
      <c r="E773" s="1" t="s">
        <v>14100</v>
      </c>
      <c r="F773" s="1" t="s">
        <v>14101</v>
      </c>
      <c r="G773" s="1" t="s">
        <v>14102</v>
      </c>
      <c r="H773" s="1" t="s">
        <v>14103</v>
      </c>
      <c r="I773" s="1" t="s">
        <v>14104</v>
      </c>
      <c r="J773" s="1">
        <v>9657693953</v>
      </c>
      <c r="K773" s="1" t="s">
        <v>79</v>
      </c>
      <c r="L773" s="1" t="s">
        <v>14105</v>
      </c>
      <c r="M773" s="1" t="s">
        <v>81</v>
      </c>
      <c r="N773" s="1" t="s">
        <v>2008</v>
      </c>
      <c r="O773" s="1"/>
      <c r="P773" s="1" t="s">
        <v>1278</v>
      </c>
      <c r="Q773" s="1" t="s">
        <v>14106</v>
      </c>
      <c r="R773" s="1" t="s">
        <v>14107</v>
      </c>
      <c r="S773" s="1">
        <v>9860177171</v>
      </c>
      <c r="T773" s="1" t="s">
        <v>674</v>
      </c>
      <c r="U773" s="1" t="s">
        <v>4287</v>
      </c>
      <c r="V773" s="1">
        <v>9075584869</v>
      </c>
      <c r="W773" s="1" t="s">
        <v>674</v>
      </c>
      <c r="X773" s="1" t="s">
        <v>14108</v>
      </c>
      <c r="Y773" s="1" t="s">
        <v>523</v>
      </c>
      <c r="Z773" s="1" t="s">
        <v>92</v>
      </c>
      <c r="AA773" s="1" t="s">
        <v>14108</v>
      </c>
      <c r="AB773" s="1" t="s">
        <v>523</v>
      </c>
      <c r="AC773" s="1" t="s">
        <v>92</v>
      </c>
      <c r="AD773" s="1" t="s">
        <v>93</v>
      </c>
      <c r="AE773" s="1" t="s">
        <v>93</v>
      </c>
      <c r="AF773" s="1" t="s">
        <v>14109</v>
      </c>
      <c r="AG773" s="1" t="s">
        <v>160</v>
      </c>
      <c r="AH773" s="1" t="s">
        <v>161</v>
      </c>
      <c r="AI773" s="1" t="s">
        <v>456</v>
      </c>
      <c r="AJ773" s="1">
        <v>85.6</v>
      </c>
      <c r="AK773" s="1">
        <v>0</v>
      </c>
      <c r="AL773" s="1" t="s">
        <v>14110</v>
      </c>
      <c r="AM773" s="1" t="s">
        <v>160</v>
      </c>
      <c r="AN773" s="1" t="s">
        <v>165</v>
      </c>
      <c r="AO773" s="1" t="s">
        <v>281</v>
      </c>
      <c r="AP773" s="1">
        <v>70.77</v>
      </c>
      <c r="AQ773" s="1">
        <v>0</v>
      </c>
      <c r="AR773" s="1"/>
      <c r="AS773" s="1"/>
      <c r="AT773" s="1"/>
      <c r="AU773" s="1"/>
      <c r="AV773" s="1"/>
      <c r="AW773" s="1"/>
      <c r="AX773" s="1" t="s">
        <v>14111</v>
      </c>
      <c r="AY773" s="1" t="s">
        <v>14112</v>
      </c>
      <c r="AZ773" s="1" t="s">
        <v>101</v>
      </c>
      <c r="BA773" s="1" t="s">
        <v>174</v>
      </c>
      <c r="BB773" s="1">
        <v>61.21</v>
      </c>
      <c r="BC773" s="1">
        <v>6.87</v>
      </c>
      <c r="BD773" s="1"/>
      <c r="BE773" s="1"/>
      <c r="BF773" s="1"/>
      <c r="BG773" s="1"/>
      <c r="BH773" s="1"/>
      <c r="BI773" s="1"/>
      <c r="BJ773" s="1" t="s">
        <v>14113</v>
      </c>
      <c r="BK773" s="1"/>
      <c r="BL773" s="1"/>
      <c r="BM773" s="1" t="s">
        <v>14114</v>
      </c>
      <c r="BN773" s="1">
        <v>13</v>
      </c>
      <c r="BO773" s="1"/>
      <c r="BP773" s="1" t="str">
        <f>HYPERLINK("https://nconnect.nicmar.ac.in/storage/profile/ProfilePhoto_P25700742_926831.jpg","Download")</f>
        <v>0</v>
      </c>
      <c r="BQ773" s="3"/>
      <c r="BR773" s="3"/>
    </row>
    <row r="774" spans="1:70">
      <c r="A774" s="1" t="s">
        <v>70</v>
      </c>
      <c r="B774" s="1" t="s">
        <v>1269</v>
      </c>
      <c r="C774" s="1" t="s">
        <v>14115</v>
      </c>
      <c r="D774" s="1" t="s">
        <v>5726</v>
      </c>
      <c r="E774" s="1" t="s">
        <v>5072</v>
      </c>
      <c r="F774" s="1" t="s">
        <v>2893</v>
      </c>
      <c r="G774" s="1" t="s">
        <v>14116</v>
      </c>
      <c r="H774" s="1" t="s">
        <v>14117</v>
      </c>
      <c r="I774" s="1" t="s">
        <v>14118</v>
      </c>
      <c r="J774" s="1">
        <v>8390188617</v>
      </c>
      <c r="K774" s="1" t="s">
        <v>148</v>
      </c>
      <c r="L774" s="1" t="s">
        <v>14119</v>
      </c>
      <c r="M774" s="1" t="s">
        <v>81</v>
      </c>
      <c r="N774" s="1" t="s">
        <v>14120</v>
      </c>
      <c r="O774" s="1"/>
      <c r="P774" s="1" t="s">
        <v>1323</v>
      </c>
      <c r="Q774" s="1" t="s">
        <v>14121</v>
      </c>
      <c r="R774" s="1" t="s">
        <v>5072</v>
      </c>
      <c r="S774" s="1">
        <v>9096505040</v>
      </c>
      <c r="T774" s="1" t="s">
        <v>8480</v>
      </c>
      <c r="U774" s="1" t="s">
        <v>14122</v>
      </c>
      <c r="V774" s="1">
        <v>7057282386</v>
      </c>
      <c r="W774" s="1" t="s">
        <v>156</v>
      </c>
      <c r="X774" s="1" t="s">
        <v>14123</v>
      </c>
      <c r="Y774" s="1" t="s">
        <v>5915</v>
      </c>
      <c r="Z774" s="1" t="s">
        <v>92</v>
      </c>
      <c r="AA774" s="1" t="s">
        <v>14123</v>
      </c>
      <c r="AB774" s="1" t="s">
        <v>5915</v>
      </c>
      <c r="AC774" s="1" t="s">
        <v>92</v>
      </c>
      <c r="AD774" s="1" t="s">
        <v>93</v>
      </c>
      <c r="AE774" s="1" t="s">
        <v>93</v>
      </c>
      <c r="AF774" s="1" t="s">
        <v>14124</v>
      </c>
      <c r="AG774" s="1" t="s">
        <v>2844</v>
      </c>
      <c r="AH774" s="1" t="s">
        <v>998</v>
      </c>
      <c r="AI774" s="1" t="s">
        <v>97</v>
      </c>
      <c r="AJ774" s="1">
        <v>76.6</v>
      </c>
      <c r="AK774" s="1">
        <v>8.06</v>
      </c>
      <c r="AL774" s="1" t="s">
        <v>6514</v>
      </c>
      <c r="AM774" s="1" t="s">
        <v>2844</v>
      </c>
      <c r="AN774" s="1" t="s">
        <v>162</v>
      </c>
      <c r="AO774" s="1" t="s">
        <v>457</v>
      </c>
      <c r="AP774" s="1">
        <v>57.08</v>
      </c>
      <c r="AQ774" s="1">
        <v>6</v>
      </c>
      <c r="AR774" s="1"/>
      <c r="AS774" s="1"/>
      <c r="AT774" s="1"/>
      <c r="AU774" s="1"/>
      <c r="AV774" s="1"/>
      <c r="AW774" s="1"/>
      <c r="AX774" s="1" t="s">
        <v>361</v>
      </c>
      <c r="AY774" s="1" t="s">
        <v>14125</v>
      </c>
      <c r="AZ774" s="1" t="s">
        <v>169</v>
      </c>
      <c r="BA774" s="1" t="s">
        <v>174</v>
      </c>
      <c r="BB774" s="1">
        <v>60.5</v>
      </c>
      <c r="BC774" s="1">
        <v>6.8</v>
      </c>
      <c r="BD774" s="1"/>
      <c r="BE774" s="1"/>
      <c r="BF774" s="1"/>
      <c r="BG774" s="1"/>
      <c r="BH774" s="1"/>
      <c r="BI774" s="1"/>
      <c r="BJ774" s="1" t="s">
        <v>14126</v>
      </c>
      <c r="BK774" s="1"/>
      <c r="BL774" s="1"/>
      <c r="BM774" s="1" t="s">
        <v>14127</v>
      </c>
      <c r="BN774" s="1">
        <v>61</v>
      </c>
      <c r="BO774" s="1"/>
      <c r="BP774" s="1" t="str">
        <f>HYPERLINK("https://nconnect.nicmar.ac.in/storage/profile/ProfilePhoto_P25700743_731954.jpg","Download")</f>
        <v>0</v>
      </c>
      <c r="BQ774" s="3"/>
      <c r="BR774" s="3"/>
    </row>
    <row r="775" spans="1:70">
      <c r="A775" s="1" t="s">
        <v>70</v>
      </c>
      <c r="B775" s="1" t="s">
        <v>1269</v>
      </c>
      <c r="C775" s="1" t="s">
        <v>14128</v>
      </c>
      <c r="D775" s="1" t="s">
        <v>14129</v>
      </c>
      <c r="E775" s="1" t="s">
        <v>14130</v>
      </c>
      <c r="F775" s="1" t="s">
        <v>11545</v>
      </c>
      <c r="G775" s="1" t="s">
        <v>14131</v>
      </c>
      <c r="H775" s="1" t="s">
        <v>14132</v>
      </c>
      <c r="I775" s="1" t="s">
        <v>14133</v>
      </c>
      <c r="J775" s="1">
        <v>7219287393</v>
      </c>
      <c r="K775" s="1" t="s">
        <v>79</v>
      </c>
      <c r="L775" s="1" t="s">
        <v>14134</v>
      </c>
      <c r="M775" s="1" t="s">
        <v>81</v>
      </c>
      <c r="N775" s="1" t="s">
        <v>2008</v>
      </c>
      <c r="O775" s="1"/>
      <c r="P775" s="1" t="s">
        <v>2505</v>
      </c>
      <c r="Q775" s="1" t="s">
        <v>14135</v>
      </c>
      <c r="R775" s="1" t="s">
        <v>14130</v>
      </c>
      <c r="S775" s="1">
        <v>7219287393</v>
      </c>
      <c r="T775" s="1" t="s">
        <v>763</v>
      </c>
      <c r="U775" s="1" t="s">
        <v>14136</v>
      </c>
      <c r="V775" s="1">
        <v>7720965080</v>
      </c>
      <c r="W775" s="1" t="s">
        <v>763</v>
      </c>
      <c r="X775" s="1" t="s">
        <v>14137</v>
      </c>
      <c r="Y775" s="1" t="s">
        <v>191</v>
      </c>
      <c r="Z775" s="1" t="s">
        <v>92</v>
      </c>
      <c r="AA775" s="1" t="s">
        <v>14138</v>
      </c>
      <c r="AB775" s="1" t="s">
        <v>158</v>
      </c>
      <c r="AC775" s="1" t="s">
        <v>92</v>
      </c>
      <c r="AD775" s="1">
        <v>8.08</v>
      </c>
      <c r="AE775" s="1" t="s">
        <v>93</v>
      </c>
      <c r="AF775" s="1" t="s">
        <v>6321</v>
      </c>
      <c r="AG775" s="1" t="s">
        <v>997</v>
      </c>
      <c r="AH775" s="1" t="s">
        <v>165</v>
      </c>
      <c r="AI775" s="1" t="s">
        <v>281</v>
      </c>
      <c r="AJ775" s="1">
        <v>86.2</v>
      </c>
      <c r="AK775" s="1"/>
      <c r="AL775" s="1" t="s">
        <v>14139</v>
      </c>
      <c r="AM775" s="1" t="s">
        <v>997</v>
      </c>
      <c r="AN775" s="1" t="s">
        <v>308</v>
      </c>
      <c r="AO775" s="1" t="s">
        <v>360</v>
      </c>
      <c r="AP775" s="1">
        <v>63.38</v>
      </c>
      <c r="AQ775" s="1"/>
      <c r="AR775" s="1"/>
      <c r="AS775" s="1"/>
      <c r="AT775" s="1"/>
      <c r="AU775" s="1"/>
      <c r="AV775" s="1"/>
      <c r="AW775" s="1"/>
      <c r="AX775" s="1" t="s">
        <v>14140</v>
      </c>
      <c r="AY775" s="1" t="s">
        <v>14141</v>
      </c>
      <c r="AZ775" s="1" t="s">
        <v>699</v>
      </c>
      <c r="BA775" s="1" t="s">
        <v>1938</v>
      </c>
      <c r="BB775" s="1">
        <v>70.32</v>
      </c>
      <c r="BC775" s="1">
        <v>7.42</v>
      </c>
      <c r="BD775" s="1"/>
      <c r="BE775" s="1"/>
      <c r="BF775" s="1"/>
      <c r="BG775" s="1"/>
      <c r="BH775" s="1"/>
      <c r="BI775" s="1"/>
      <c r="BJ775" s="1" t="s">
        <v>14142</v>
      </c>
      <c r="BK775" s="1"/>
      <c r="BL775" s="1"/>
      <c r="BM775" s="1" t="s">
        <v>14143</v>
      </c>
      <c r="BN775" s="1">
        <v>101</v>
      </c>
      <c r="BO775" s="1"/>
      <c r="BP775" s="1" t="str">
        <f>HYPERLINK("https://nconnect.nicmar.ac.in/storage/profile/ProfilePhoto_P25700744_713894.jpg","Download")</f>
        <v>0</v>
      </c>
      <c r="BQ775" s="3"/>
      <c r="BR775" s="3"/>
    </row>
    <row r="776" spans="1:70">
      <c r="A776" s="1" t="s">
        <v>70</v>
      </c>
      <c r="B776" s="1" t="s">
        <v>1269</v>
      </c>
      <c r="C776" s="1" t="s">
        <v>14144</v>
      </c>
      <c r="D776" s="1" t="s">
        <v>2127</v>
      </c>
      <c r="E776" s="1" t="s">
        <v>14145</v>
      </c>
      <c r="F776" s="1" t="s">
        <v>14146</v>
      </c>
      <c r="G776" s="1" t="s">
        <v>14147</v>
      </c>
      <c r="H776" s="1" t="s">
        <v>14148</v>
      </c>
      <c r="I776" s="1" t="s">
        <v>14149</v>
      </c>
      <c r="J776" s="1">
        <v>9423748033</v>
      </c>
      <c r="K776" s="1" t="s">
        <v>79</v>
      </c>
      <c r="L776" s="1" t="s">
        <v>9308</v>
      </c>
      <c r="M776" s="1" t="s">
        <v>81</v>
      </c>
      <c r="N776" s="1" t="s">
        <v>14150</v>
      </c>
      <c r="O776" s="1"/>
      <c r="P776" s="1" t="s">
        <v>1323</v>
      </c>
      <c r="Q776" s="1" t="s">
        <v>14151</v>
      </c>
      <c r="R776" s="1" t="s">
        <v>14152</v>
      </c>
      <c r="S776" s="1">
        <v>9421200333</v>
      </c>
      <c r="T776" s="1" t="s">
        <v>5243</v>
      </c>
      <c r="U776" s="1" t="s">
        <v>13771</v>
      </c>
      <c r="V776" s="1">
        <v>9423748033</v>
      </c>
      <c r="W776" s="1" t="s">
        <v>273</v>
      </c>
      <c r="X776" s="1" t="s">
        <v>14153</v>
      </c>
      <c r="Y776" s="1" t="s">
        <v>2786</v>
      </c>
      <c r="Z776" s="1" t="s">
        <v>92</v>
      </c>
      <c r="AA776" s="1" t="s">
        <v>14153</v>
      </c>
      <c r="AB776" s="1" t="s">
        <v>2786</v>
      </c>
      <c r="AC776" s="1" t="s">
        <v>92</v>
      </c>
      <c r="AD776" s="1">
        <v>6.98</v>
      </c>
      <c r="AE776" s="1" t="s">
        <v>93</v>
      </c>
      <c r="AF776" s="1" t="s">
        <v>14154</v>
      </c>
      <c r="AG776" s="1" t="s">
        <v>14155</v>
      </c>
      <c r="AH776" s="1" t="s">
        <v>1516</v>
      </c>
      <c r="AI776" s="1" t="s">
        <v>479</v>
      </c>
      <c r="AJ776" s="1">
        <v>51.5</v>
      </c>
      <c r="AK776" s="1"/>
      <c r="AL776" s="1" t="s">
        <v>14156</v>
      </c>
      <c r="AM776" s="1" t="s">
        <v>14155</v>
      </c>
      <c r="AN776" s="1" t="s">
        <v>165</v>
      </c>
      <c r="AO776" s="1" t="s">
        <v>198</v>
      </c>
      <c r="AP776" s="1">
        <v>62</v>
      </c>
      <c r="AQ776" s="1"/>
      <c r="AR776" s="1"/>
      <c r="AS776" s="1"/>
      <c r="AT776" s="1"/>
      <c r="AU776" s="1"/>
      <c r="AV776" s="1"/>
      <c r="AW776" s="1"/>
      <c r="AX776" s="1" t="s">
        <v>2688</v>
      </c>
      <c r="AY776" s="1" t="s">
        <v>14157</v>
      </c>
      <c r="AZ776" s="1" t="s">
        <v>1065</v>
      </c>
      <c r="BA776" s="1" t="s">
        <v>1090</v>
      </c>
      <c r="BB776" s="1">
        <v>72.54</v>
      </c>
      <c r="BC776" s="1">
        <v>7.54</v>
      </c>
      <c r="BD776" s="1"/>
      <c r="BE776" s="1"/>
      <c r="BF776" s="1"/>
      <c r="BG776" s="1"/>
      <c r="BH776" s="1"/>
      <c r="BI776" s="1"/>
      <c r="BJ776" s="1" t="s">
        <v>14158</v>
      </c>
      <c r="BK776" s="1" t="s">
        <v>14159</v>
      </c>
      <c r="BL776" s="1" t="s">
        <v>4917</v>
      </c>
      <c r="BM776" s="1"/>
      <c r="BN776" s="1"/>
      <c r="BO776" s="1"/>
      <c r="BP776" s="1" t="str">
        <f>HYPERLINK("https://nconnect.nicmar.ac.in/storage/profile/ProfilePhoto_P25700745_729431.jpg","Download")</f>
        <v>0</v>
      </c>
      <c r="BQ776" s="3"/>
      <c r="BR776" s="3"/>
    </row>
    <row r="777" spans="1:70">
      <c r="A777" s="1" t="s">
        <v>70</v>
      </c>
      <c r="B777" s="1" t="s">
        <v>1269</v>
      </c>
      <c r="C777" s="1" t="s">
        <v>14160</v>
      </c>
      <c r="D777" s="1" t="s">
        <v>14161</v>
      </c>
      <c r="E777" s="1"/>
      <c r="F777" s="1" t="s">
        <v>14162</v>
      </c>
      <c r="G777" s="1" t="s">
        <v>14163</v>
      </c>
      <c r="H777" s="1" t="s">
        <v>14164</v>
      </c>
      <c r="I777" s="1" t="s">
        <v>14165</v>
      </c>
      <c r="J777" s="1">
        <v>9682336540</v>
      </c>
      <c r="K777" s="1" t="s">
        <v>148</v>
      </c>
      <c r="L777" s="1" t="s">
        <v>5599</v>
      </c>
      <c r="M777" s="1" t="s">
        <v>81</v>
      </c>
      <c r="N777" s="1" t="s">
        <v>14166</v>
      </c>
      <c r="O777" s="1"/>
      <c r="P777" s="1" t="s">
        <v>1323</v>
      </c>
      <c r="Q777" s="1" t="s">
        <v>14167</v>
      </c>
      <c r="R777" s="1" t="s">
        <v>14168</v>
      </c>
      <c r="S777" s="1">
        <v>7006351954</v>
      </c>
      <c r="T777" s="1" t="s">
        <v>863</v>
      </c>
      <c r="U777" s="1" t="s">
        <v>14169</v>
      </c>
      <c r="V777" s="1">
        <v>8825057284</v>
      </c>
      <c r="W777" s="1" t="s">
        <v>122</v>
      </c>
      <c r="X777" s="1" t="s">
        <v>14170</v>
      </c>
      <c r="Y777" s="1" t="s">
        <v>191</v>
      </c>
      <c r="Z777" s="1" t="s">
        <v>92</v>
      </c>
      <c r="AA777" s="1" t="s">
        <v>14171</v>
      </c>
      <c r="AB777" s="1" t="s">
        <v>14172</v>
      </c>
      <c r="AC777" s="1" t="s">
        <v>9520</v>
      </c>
      <c r="AD777" s="1">
        <v>8.58</v>
      </c>
      <c r="AE777" s="1" t="s">
        <v>93</v>
      </c>
      <c r="AF777" s="1" t="s">
        <v>14173</v>
      </c>
      <c r="AG777" s="1" t="s">
        <v>14174</v>
      </c>
      <c r="AH777" s="1" t="s">
        <v>14175</v>
      </c>
      <c r="AI777" s="1" t="s">
        <v>14176</v>
      </c>
      <c r="AJ777" s="1">
        <v>90</v>
      </c>
      <c r="AK777" s="1"/>
      <c r="AL777" s="1" t="s">
        <v>14173</v>
      </c>
      <c r="AM777" s="1" t="s">
        <v>14174</v>
      </c>
      <c r="AN777" s="1" t="s">
        <v>14177</v>
      </c>
      <c r="AO777" s="1" t="s">
        <v>359</v>
      </c>
      <c r="AP777" s="1">
        <v>81.4</v>
      </c>
      <c r="AQ777" s="1"/>
      <c r="AR777" s="1"/>
      <c r="AS777" s="1"/>
      <c r="AT777" s="1"/>
      <c r="AU777" s="1"/>
      <c r="AV777" s="1"/>
      <c r="AW777" s="1"/>
      <c r="AX777" s="1" t="s">
        <v>14178</v>
      </c>
      <c r="AY777" s="1" t="s">
        <v>14179</v>
      </c>
      <c r="AZ777" s="1" t="s">
        <v>920</v>
      </c>
      <c r="BA777" s="1" t="s">
        <v>1938</v>
      </c>
      <c r="BB777" s="1">
        <v>77</v>
      </c>
      <c r="BC777" s="1">
        <v>8.45</v>
      </c>
      <c r="BD777" s="1"/>
      <c r="BE777" s="1"/>
      <c r="BF777" s="1"/>
      <c r="BG777" s="1"/>
      <c r="BH777" s="1"/>
      <c r="BI777" s="1"/>
      <c r="BJ777" s="1" t="s">
        <v>14180</v>
      </c>
      <c r="BK777" s="1" t="s">
        <v>14181</v>
      </c>
      <c r="BL777" s="1" t="s">
        <v>1289</v>
      </c>
      <c r="BM777" s="1" t="s">
        <v>14182</v>
      </c>
      <c r="BN777" s="1">
        <v>12</v>
      </c>
      <c r="BO777" s="1" t="s">
        <v>14183</v>
      </c>
      <c r="BP777" s="1" t="str">
        <f>HYPERLINK("https://nconnect.nicmar.ac.in/storage/profile/ProfilePhoto_P25700746_271548.jpg","Download")</f>
        <v>0</v>
      </c>
      <c r="BQ777" s="3"/>
      <c r="BR777" s="3"/>
    </row>
    <row r="778" spans="1:70">
      <c r="A778" s="1" t="s">
        <v>70</v>
      </c>
      <c r="B778" s="1" t="s">
        <v>1269</v>
      </c>
      <c r="C778" s="1" t="s">
        <v>14184</v>
      </c>
      <c r="D778" s="1" t="s">
        <v>14185</v>
      </c>
      <c r="E778" s="1" t="s">
        <v>3244</v>
      </c>
      <c r="F778" s="1" t="s">
        <v>10496</v>
      </c>
      <c r="G778" s="1" t="s">
        <v>14186</v>
      </c>
      <c r="H778" s="1" t="s">
        <v>14187</v>
      </c>
      <c r="I778" s="1" t="s">
        <v>14188</v>
      </c>
      <c r="J778" s="1">
        <v>9511292333</v>
      </c>
      <c r="K778" s="1" t="s">
        <v>79</v>
      </c>
      <c r="L778" s="1" t="s">
        <v>1805</v>
      </c>
      <c r="M778" s="1" t="s">
        <v>81</v>
      </c>
      <c r="N778" s="1" t="s">
        <v>2008</v>
      </c>
      <c r="O778" s="1"/>
      <c r="P778" s="1" t="s">
        <v>1298</v>
      </c>
      <c r="Q778" s="1" t="s">
        <v>14189</v>
      </c>
      <c r="R778" s="1" t="s">
        <v>14190</v>
      </c>
      <c r="S778" s="1">
        <v>8355977043</v>
      </c>
      <c r="T778" s="1" t="s">
        <v>763</v>
      </c>
      <c r="U778" s="1" t="s">
        <v>14191</v>
      </c>
      <c r="V778" s="1">
        <v>9511292333</v>
      </c>
      <c r="W778" s="1" t="s">
        <v>14191</v>
      </c>
      <c r="X778" s="1" t="s">
        <v>14192</v>
      </c>
      <c r="Y778" s="1" t="s">
        <v>766</v>
      </c>
      <c r="Z778" s="1" t="s">
        <v>92</v>
      </c>
      <c r="AA778" s="1" t="s">
        <v>14192</v>
      </c>
      <c r="AB778" s="1" t="s">
        <v>766</v>
      </c>
      <c r="AC778" s="1" t="s">
        <v>92</v>
      </c>
      <c r="AD778" s="1">
        <v>8.28</v>
      </c>
      <c r="AE778" s="1" t="s">
        <v>93</v>
      </c>
      <c r="AF778" s="1" t="s">
        <v>14193</v>
      </c>
      <c r="AG778" s="1" t="s">
        <v>476</v>
      </c>
      <c r="AH778" s="1" t="s">
        <v>97</v>
      </c>
      <c r="AI778" s="1" t="s">
        <v>456</v>
      </c>
      <c r="AJ778" s="1">
        <v>61.2</v>
      </c>
      <c r="AK778" s="1"/>
      <c r="AL778" s="1" t="s">
        <v>14194</v>
      </c>
      <c r="AM778" s="1" t="s">
        <v>476</v>
      </c>
      <c r="AN778" s="1" t="s">
        <v>1332</v>
      </c>
      <c r="AO778" s="1" t="s">
        <v>457</v>
      </c>
      <c r="AP778" s="1">
        <v>53.23</v>
      </c>
      <c r="AQ778" s="1"/>
      <c r="AR778" s="1" t="s">
        <v>98</v>
      </c>
      <c r="AS778" s="1" t="s">
        <v>14195</v>
      </c>
      <c r="AT778" s="1" t="s">
        <v>166</v>
      </c>
      <c r="AU778" s="1" t="s">
        <v>170</v>
      </c>
      <c r="AV778" s="1">
        <v>88.53</v>
      </c>
      <c r="AW778" s="1"/>
      <c r="AX778" s="1" t="s">
        <v>253</v>
      </c>
      <c r="AY778" s="1" t="s">
        <v>14196</v>
      </c>
      <c r="AZ778" s="1" t="s">
        <v>1131</v>
      </c>
      <c r="BA778" s="1" t="s">
        <v>174</v>
      </c>
      <c r="BB778" s="1">
        <v>80.38</v>
      </c>
      <c r="BC778" s="1">
        <v>8.94</v>
      </c>
      <c r="BD778" s="1"/>
      <c r="BE778" s="1"/>
      <c r="BF778" s="1"/>
      <c r="BG778" s="1"/>
      <c r="BH778" s="1"/>
      <c r="BI778" s="1"/>
      <c r="BJ778" s="1" t="s">
        <v>364</v>
      </c>
      <c r="BK778" s="1" t="s">
        <v>14197</v>
      </c>
      <c r="BL778" s="1" t="s">
        <v>3103</v>
      </c>
      <c r="BM778" s="1" t="s">
        <v>14198</v>
      </c>
      <c r="BN778" s="1">
        <v>29</v>
      </c>
      <c r="BO778" s="1"/>
      <c r="BP778" s="1" t="str">
        <f>HYPERLINK("https://nconnect.nicmar.ac.in/storage/profile/ProfilePhoto_P25700747_987124.jpg","Download")</f>
        <v>0</v>
      </c>
      <c r="BQ778" s="3"/>
      <c r="BR778" s="3"/>
    </row>
    <row r="779" spans="1:70">
      <c r="A779" s="1" t="s">
        <v>70</v>
      </c>
      <c r="B779" s="1" t="s">
        <v>1269</v>
      </c>
      <c r="C779" s="1" t="s">
        <v>14199</v>
      </c>
      <c r="D779" s="1" t="s">
        <v>14200</v>
      </c>
      <c r="E779" s="1"/>
      <c r="F779" s="1" t="s">
        <v>8418</v>
      </c>
      <c r="G779" s="1" t="s">
        <v>14201</v>
      </c>
      <c r="H779" s="1" t="s">
        <v>14202</v>
      </c>
      <c r="I779" s="1" t="s">
        <v>14203</v>
      </c>
      <c r="J779" s="1">
        <v>9052255892</v>
      </c>
      <c r="K779" s="1" t="s">
        <v>79</v>
      </c>
      <c r="L779" s="1" t="s">
        <v>14204</v>
      </c>
      <c r="M779" s="1" t="s">
        <v>81</v>
      </c>
      <c r="N779" s="1" t="s">
        <v>14205</v>
      </c>
      <c r="O779" s="1"/>
      <c r="P779" s="1" t="s">
        <v>1278</v>
      </c>
      <c r="Q779" s="1" t="s">
        <v>14206</v>
      </c>
      <c r="R779" s="1" t="s">
        <v>14207</v>
      </c>
      <c r="S779" s="1">
        <v>9948438837</v>
      </c>
      <c r="T779" s="1" t="s">
        <v>496</v>
      </c>
      <c r="U779" s="1" t="s">
        <v>14208</v>
      </c>
      <c r="V779" s="1">
        <v>9666638837</v>
      </c>
      <c r="W779" s="1" t="s">
        <v>651</v>
      </c>
      <c r="X779" s="1" t="s">
        <v>12192</v>
      </c>
      <c r="Y779" s="1" t="s">
        <v>191</v>
      </c>
      <c r="Z779" s="1" t="s">
        <v>92</v>
      </c>
      <c r="AA779" s="1" t="s">
        <v>14209</v>
      </c>
      <c r="AB779" s="1" t="s">
        <v>608</v>
      </c>
      <c r="AC779" s="1" t="s">
        <v>609</v>
      </c>
      <c r="AD779" s="1">
        <v>7.44</v>
      </c>
      <c r="AE779" s="1" t="s">
        <v>93</v>
      </c>
      <c r="AF779" s="1" t="s">
        <v>14210</v>
      </c>
      <c r="AG779" s="1" t="s">
        <v>14211</v>
      </c>
      <c r="AH779" s="1" t="s">
        <v>161</v>
      </c>
      <c r="AI779" s="1" t="s">
        <v>456</v>
      </c>
      <c r="AJ779" s="1">
        <v>87.4</v>
      </c>
      <c r="AK779" s="1">
        <v>9.2</v>
      </c>
      <c r="AL779" s="1" t="s">
        <v>612</v>
      </c>
      <c r="AM779" s="1" t="s">
        <v>14211</v>
      </c>
      <c r="AN779" s="1" t="s">
        <v>165</v>
      </c>
      <c r="AO779" s="1" t="s">
        <v>281</v>
      </c>
      <c r="AP779" s="1">
        <v>81.01</v>
      </c>
      <c r="AQ779" s="1">
        <v>0</v>
      </c>
      <c r="AR779" s="1"/>
      <c r="AS779" s="1"/>
      <c r="AT779" s="1"/>
      <c r="AU779" s="1"/>
      <c r="AV779" s="1"/>
      <c r="AW779" s="1"/>
      <c r="AX779" s="1" t="s">
        <v>6253</v>
      </c>
      <c r="AY779" s="1" t="s">
        <v>14212</v>
      </c>
      <c r="AZ779" s="1" t="s">
        <v>636</v>
      </c>
      <c r="BA779" s="1" t="s">
        <v>229</v>
      </c>
      <c r="BB779" s="1">
        <v>61.8</v>
      </c>
      <c r="BC779" s="1">
        <v>6.68</v>
      </c>
      <c r="BD779" s="1"/>
      <c r="BE779" s="1"/>
      <c r="BF779" s="1"/>
      <c r="BG779" s="1"/>
      <c r="BH779" s="1"/>
      <c r="BI779" s="1"/>
      <c r="BJ779" s="1" t="s">
        <v>14213</v>
      </c>
      <c r="BK779" s="1" t="s">
        <v>14214</v>
      </c>
      <c r="BL779" s="1" t="s">
        <v>287</v>
      </c>
      <c r="BM779" s="1" t="s">
        <v>14215</v>
      </c>
      <c r="BN779" s="1">
        <v>19</v>
      </c>
      <c r="BO779" s="1" t="s">
        <v>14216</v>
      </c>
      <c r="BP779" s="1" t="str">
        <f>HYPERLINK("https://nconnect.nicmar.ac.in/storage/profile/ProfilePhoto_P25700748_457291.jpg","Download")</f>
        <v>0</v>
      </c>
      <c r="BQ779" s="3"/>
      <c r="BR779" s="3"/>
    </row>
    <row r="780" spans="1:70">
      <c r="A780" s="1" t="s">
        <v>70</v>
      </c>
      <c r="B780" s="1" t="s">
        <v>1269</v>
      </c>
      <c r="C780" s="1" t="s">
        <v>14217</v>
      </c>
      <c r="D780" s="1" t="s">
        <v>2692</v>
      </c>
      <c r="E780" s="1" t="s">
        <v>14218</v>
      </c>
      <c r="F780" s="1" t="s">
        <v>2024</v>
      </c>
      <c r="G780" s="1" t="s">
        <v>14219</v>
      </c>
      <c r="H780" s="1" t="s">
        <v>14220</v>
      </c>
      <c r="I780" s="1" t="s">
        <v>14221</v>
      </c>
      <c r="J780" s="1">
        <v>9022524954</v>
      </c>
      <c r="K780" s="1" t="s">
        <v>79</v>
      </c>
      <c r="L780" s="1" t="s">
        <v>14222</v>
      </c>
      <c r="M780" s="1" t="s">
        <v>81</v>
      </c>
      <c r="N780" s="1" t="s">
        <v>8131</v>
      </c>
      <c r="O780" s="1"/>
      <c r="P780" s="1" t="s">
        <v>1323</v>
      </c>
      <c r="Q780" s="1" t="s">
        <v>14223</v>
      </c>
      <c r="R780" s="1" t="s">
        <v>14224</v>
      </c>
      <c r="S780" s="1">
        <v>8529530120</v>
      </c>
      <c r="T780" s="1" t="s">
        <v>1953</v>
      </c>
      <c r="U780" s="1" t="s">
        <v>6003</v>
      </c>
      <c r="V780" s="1">
        <v>8529530120</v>
      </c>
      <c r="W780" s="1" t="s">
        <v>156</v>
      </c>
      <c r="X780" s="1" t="s">
        <v>14225</v>
      </c>
      <c r="Y780" s="1" t="s">
        <v>6375</v>
      </c>
      <c r="Z780" s="1" t="s">
        <v>92</v>
      </c>
      <c r="AA780" s="1" t="s">
        <v>14225</v>
      </c>
      <c r="AB780" s="1" t="s">
        <v>6375</v>
      </c>
      <c r="AC780" s="1" t="s">
        <v>92</v>
      </c>
      <c r="AD780" s="1">
        <v>8.15</v>
      </c>
      <c r="AE780" s="1" t="s">
        <v>93</v>
      </c>
      <c r="AF780" s="1" t="s">
        <v>6376</v>
      </c>
      <c r="AG780" s="1" t="s">
        <v>544</v>
      </c>
      <c r="AH780" s="1" t="s">
        <v>162</v>
      </c>
      <c r="AI780" s="1" t="s">
        <v>479</v>
      </c>
      <c r="AJ780" s="1">
        <v>84.2</v>
      </c>
      <c r="AK780" s="1"/>
      <c r="AL780" s="1" t="s">
        <v>14226</v>
      </c>
      <c r="AM780" s="1" t="s">
        <v>544</v>
      </c>
      <c r="AN780" s="1" t="s">
        <v>1307</v>
      </c>
      <c r="AO780" s="1" t="s">
        <v>1065</v>
      </c>
      <c r="AP780" s="1">
        <v>70.92</v>
      </c>
      <c r="AQ780" s="1"/>
      <c r="AR780" s="1"/>
      <c r="AS780" s="1"/>
      <c r="AT780" s="1"/>
      <c r="AU780" s="1"/>
      <c r="AV780" s="1"/>
      <c r="AW780" s="1"/>
      <c r="AX780" s="1" t="s">
        <v>14227</v>
      </c>
      <c r="AY780" s="1" t="s">
        <v>14228</v>
      </c>
      <c r="AZ780" s="1" t="s">
        <v>201</v>
      </c>
      <c r="BA780" s="1" t="s">
        <v>174</v>
      </c>
      <c r="BB780" s="1">
        <v>78.94</v>
      </c>
      <c r="BC780" s="1"/>
      <c r="BD780" s="1"/>
      <c r="BE780" s="1"/>
      <c r="BF780" s="1"/>
      <c r="BG780" s="1"/>
      <c r="BH780" s="1"/>
      <c r="BI780" s="1"/>
      <c r="BJ780" s="1" t="s">
        <v>14229</v>
      </c>
      <c r="BK780" s="1" t="s">
        <v>14230</v>
      </c>
      <c r="BL780" s="1" t="s">
        <v>1543</v>
      </c>
      <c r="BM780" s="1" t="s">
        <v>14231</v>
      </c>
      <c r="BN780" s="1">
        <v>25</v>
      </c>
      <c r="BO780" s="1"/>
      <c r="BP780" s="1" t="str">
        <f>HYPERLINK("https://nconnect.nicmar.ac.in/storage/profile/ProfilePhoto_P25700749_463951.jpg","Download")</f>
        <v>0</v>
      </c>
      <c r="BQ780" s="3"/>
      <c r="BR780" s="3"/>
    </row>
    <row r="781" spans="1:70">
      <c r="A781" s="1" t="s">
        <v>70</v>
      </c>
      <c r="B781" s="1" t="s">
        <v>1269</v>
      </c>
      <c r="C781" s="1" t="s">
        <v>14232</v>
      </c>
      <c r="D781" s="1" t="s">
        <v>14233</v>
      </c>
      <c r="E781" s="1" t="s">
        <v>12624</v>
      </c>
      <c r="F781" s="1" t="s">
        <v>14234</v>
      </c>
      <c r="G781" s="1" t="s">
        <v>14235</v>
      </c>
      <c r="H781" s="1" t="s">
        <v>14236</v>
      </c>
      <c r="I781" s="1" t="s">
        <v>14237</v>
      </c>
      <c r="J781" s="1">
        <v>9409672677</v>
      </c>
      <c r="K781" s="1" t="s">
        <v>148</v>
      </c>
      <c r="L781" s="1" t="s">
        <v>8598</v>
      </c>
      <c r="M781" s="1" t="s">
        <v>81</v>
      </c>
      <c r="N781" s="1" t="s">
        <v>7852</v>
      </c>
      <c r="O781" s="1"/>
      <c r="P781" s="1" t="s">
        <v>1766</v>
      </c>
      <c r="Q781" s="1" t="s">
        <v>14238</v>
      </c>
      <c r="R781" s="1" t="s">
        <v>14239</v>
      </c>
      <c r="S781" s="1">
        <v>9426833608</v>
      </c>
      <c r="T781" s="1" t="s">
        <v>842</v>
      </c>
      <c r="U781" s="1" t="s">
        <v>14240</v>
      </c>
      <c r="V781" s="1">
        <v>8200824257</v>
      </c>
      <c r="W781" s="1" t="s">
        <v>156</v>
      </c>
      <c r="X781" s="1" t="s">
        <v>14241</v>
      </c>
      <c r="Y781" s="1" t="s">
        <v>14242</v>
      </c>
      <c r="Z781" s="1" t="s">
        <v>1468</v>
      </c>
      <c r="AA781" s="1" t="s">
        <v>14241</v>
      </c>
      <c r="AB781" s="1" t="s">
        <v>14242</v>
      </c>
      <c r="AC781" s="1" t="s">
        <v>1468</v>
      </c>
      <c r="AD781" s="1">
        <v>8.92</v>
      </c>
      <c r="AE781" s="1" t="s">
        <v>93</v>
      </c>
      <c r="AF781" s="1" t="s">
        <v>14243</v>
      </c>
      <c r="AG781" s="1" t="s">
        <v>14243</v>
      </c>
      <c r="AH781" s="1" t="s">
        <v>165</v>
      </c>
      <c r="AI781" s="1" t="s">
        <v>101</v>
      </c>
      <c r="AJ781" s="1">
        <v>86.4</v>
      </c>
      <c r="AK781" s="1">
        <v>0</v>
      </c>
      <c r="AL781" s="1" t="s">
        <v>14244</v>
      </c>
      <c r="AM781" s="1" t="s">
        <v>14244</v>
      </c>
      <c r="AN781" s="1" t="s">
        <v>433</v>
      </c>
      <c r="AO781" s="1" t="s">
        <v>699</v>
      </c>
      <c r="AP781" s="1">
        <v>60.6</v>
      </c>
      <c r="AQ781" s="1">
        <v>0</v>
      </c>
      <c r="AR781" s="1"/>
      <c r="AS781" s="1"/>
      <c r="AT781" s="1"/>
      <c r="AU781" s="1"/>
      <c r="AV781" s="1"/>
      <c r="AW781" s="1"/>
      <c r="AX781" s="1" t="s">
        <v>14245</v>
      </c>
      <c r="AY781" s="1" t="s">
        <v>14246</v>
      </c>
      <c r="AZ781" s="1" t="s">
        <v>170</v>
      </c>
      <c r="BA781" s="1" t="s">
        <v>1584</v>
      </c>
      <c r="BB781" s="1">
        <v>68.9</v>
      </c>
      <c r="BC781" s="1">
        <v>0</v>
      </c>
      <c r="BD781" s="1"/>
      <c r="BE781" s="1"/>
      <c r="BF781" s="1"/>
      <c r="BG781" s="1"/>
      <c r="BH781" s="1"/>
      <c r="BI781" s="1"/>
      <c r="BJ781" s="1" t="s">
        <v>14247</v>
      </c>
      <c r="BK781" s="1"/>
      <c r="BL781" s="1"/>
      <c r="BM781" s="1" t="s">
        <v>14248</v>
      </c>
      <c r="BN781" s="1">
        <v>40</v>
      </c>
      <c r="BO781" s="1" t="s">
        <v>14249</v>
      </c>
      <c r="BP781" s="1" t="str">
        <f>HYPERLINK("https://nconnect.nicmar.ac.in/storage/profile/ProfilePhoto_P25700750_571468.jpg","Download")</f>
        <v>0</v>
      </c>
      <c r="BQ781" s="3"/>
      <c r="BR781" s="3"/>
    </row>
    <row r="782" spans="1:70">
      <c r="A782" s="1" t="s">
        <v>70</v>
      </c>
      <c r="B782" s="1" t="s">
        <v>1269</v>
      </c>
      <c r="C782" s="1" t="s">
        <v>14250</v>
      </c>
      <c r="D782" s="1" t="s">
        <v>6465</v>
      </c>
      <c r="E782" s="1" t="s">
        <v>2960</v>
      </c>
      <c r="F782" s="1" t="s">
        <v>14251</v>
      </c>
      <c r="G782" s="1" t="s">
        <v>14252</v>
      </c>
      <c r="H782" s="1" t="s">
        <v>14253</v>
      </c>
      <c r="I782" s="1" t="s">
        <v>14254</v>
      </c>
      <c r="J782" s="1">
        <v>8767100704</v>
      </c>
      <c r="K782" s="1" t="s">
        <v>79</v>
      </c>
      <c r="L782" s="1" t="s">
        <v>14255</v>
      </c>
      <c r="M782" s="1" t="s">
        <v>81</v>
      </c>
      <c r="N782" s="1" t="s">
        <v>1765</v>
      </c>
      <c r="O782" s="1"/>
      <c r="P782" s="1" t="s">
        <v>1278</v>
      </c>
      <c r="Q782" s="1" t="s">
        <v>14256</v>
      </c>
      <c r="R782" s="1" t="s">
        <v>2960</v>
      </c>
      <c r="S782" s="1">
        <v>9623446029</v>
      </c>
      <c r="T782" s="1" t="s">
        <v>842</v>
      </c>
      <c r="U782" s="1" t="s">
        <v>9156</v>
      </c>
      <c r="V782" s="1">
        <v>9623446022</v>
      </c>
      <c r="W782" s="1" t="s">
        <v>156</v>
      </c>
      <c r="X782" s="1" t="s">
        <v>14257</v>
      </c>
      <c r="Y782" s="1" t="s">
        <v>5915</v>
      </c>
      <c r="Z782" s="1" t="s">
        <v>92</v>
      </c>
      <c r="AA782" s="1" t="s">
        <v>14257</v>
      </c>
      <c r="AB782" s="1" t="s">
        <v>5915</v>
      </c>
      <c r="AC782" s="1" t="s">
        <v>92</v>
      </c>
      <c r="AD782" s="1">
        <v>8.59</v>
      </c>
      <c r="AE782" s="1" t="s">
        <v>93</v>
      </c>
      <c r="AF782" s="1" t="s">
        <v>14258</v>
      </c>
      <c r="AG782" s="1" t="s">
        <v>307</v>
      </c>
      <c r="AH782" s="1" t="s">
        <v>101</v>
      </c>
      <c r="AI782" s="1" t="s">
        <v>308</v>
      </c>
      <c r="AJ782" s="1">
        <v>75.04</v>
      </c>
      <c r="AK782" s="1"/>
      <c r="AL782" s="1" t="s">
        <v>14259</v>
      </c>
      <c r="AM782" s="1" t="s">
        <v>14260</v>
      </c>
      <c r="AN782" s="1" t="s">
        <v>699</v>
      </c>
      <c r="AO782" s="1" t="s">
        <v>436</v>
      </c>
      <c r="AP782" s="1">
        <v>88.5</v>
      </c>
      <c r="AQ782" s="1"/>
      <c r="AR782" s="1"/>
      <c r="AS782" s="1"/>
      <c r="AT782" s="1"/>
      <c r="AU782" s="1"/>
      <c r="AV782" s="1"/>
      <c r="AW782" s="1"/>
      <c r="AX782" s="1" t="s">
        <v>14261</v>
      </c>
      <c r="AY782" s="1" t="s">
        <v>14262</v>
      </c>
      <c r="AZ782" s="1" t="s">
        <v>436</v>
      </c>
      <c r="BA782" s="1" t="s">
        <v>1714</v>
      </c>
      <c r="BB782" s="1">
        <v>69</v>
      </c>
      <c r="BC782" s="1">
        <v>7.65</v>
      </c>
      <c r="BD782" s="1"/>
      <c r="BE782" s="1"/>
      <c r="BF782" s="1"/>
      <c r="BG782" s="1"/>
      <c r="BH782" s="1"/>
      <c r="BI782" s="1"/>
      <c r="BJ782" s="1" t="s">
        <v>1383</v>
      </c>
      <c r="BK782" s="1"/>
      <c r="BL782" s="1"/>
      <c r="BM782" s="1" t="s">
        <v>14263</v>
      </c>
      <c r="BN782" s="1">
        <v>6</v>
      </c>
      <c r="BO782" s="1" t="s">
        <v>14264</v>
      </c>
      <c r="BP782" s="1" t="str">
        <f>HYPERLINK("https://nconnect.nicmar.ac.in/storage/profile/ProfilePhoto_P25700751_185649.jpg","Download")</f>
        <v>0</v>
      </c>
      <c r="BQ782" s="3"/>
      <c r="BR782" s="3"/>
    </row>
    <row r="783" spans="1:70">
      <c r="A783" s="1" t="s">
        <v>70</v>
      </c>
      <c r="B783" s="1" t="s">
        <v>1269</v>
      </c>
      <c r="C783" s="1" t="s">
        <v>14265</v>
      </c>
      <c r="D783" s="1" t="s">
        <v>14266</v>
      </c>
      <c r="E783" s="1" t="s">
        <v>181</v>
      </c>
      <c r="F783" s="1" t="s">
        <v>14267</v>
      </c>
      <c r="G783" s="1" t="s">
        <v>14268</v>
      </c>
      <c r="H783" s="1" t="s">
        <v>14269</v>
      </c>
      <c r="I783" s="1" t="s">
        <v>14270</v>
      </c>
      <c r="J783" s="1">
        <v>7338470128</v>
      </c>
      <c r="K783" s="1" t="s">
        <v>148</v>
      </c>
      <c r="L783" s="1" t="s">
        <v>9138</v>
      </c>
      <c r="M783" s="1" t="s">
        <v>81</v>
      </c>
      <c r="N783" s="1" t="s">
        <v>14271</v>
      </c>
      <c r="O783" s="1"/>
      <c r="P783" s="1" t="s">
        <v>1298</v>
      </c>
      <c r="Q783" s="1" t="s">
        <v>14272</v>
      </c>
      <c r="R783" s="1" t="s">
        <v>14273</v>
      </c>
      <c r="S783" s="1">
        <v>9480454967</v>
      </c>
      <c r="T783" s="1" t="s">
        <v>674</v>
      </c>
      <c r="U783" s="1" t="s">
        <v>14274</v>
      </c>
      <c r="V783" s="1">
        <v>9986002722</v>
      </c>
      <c r="W783" s="1" t="s">
        <v>674</v>
      </c>
      <c r="X783" s="1" t="s">
        <v>14275</v>
      </c>
      <c r="Y783" s="1" t="s">
        <v>7548</v>
      </c>
      <c r="Z783" s="1" t="s">
        <v>1084</v>
      </c>
      <c r="AA783" s="1" t="s">
        <v>14275</v>
      </c>
      <c r="AB783" s="1" t="s">
        <v>7548</v>
      </c>
      <c r="AC783" s="1" t="s">
        <v>1084</v>
      </c>
      <c r="AD783" s="1">
        <v>7.9</v>
      </c>
      <c r="AE783" s="1" t="s">
        <v>93</v>
      </c>
      <c r="AF783" s="1" t="s">
        <v>14276</v>
      </c>
      <c r="AG783" s="1" t="s">
        <v>307</v>
      </c>
      <c r="AH783" s="1" t="s">
        <v>162</v>
      </c>
      <c r="AI783" s="1" t="s">
        <v>165</v>
      </c>
      <c r="AJ783" s="1">
        <v>81.7</v>
      </c>
      <c r="AK783" s="1">
        <v>8</v>
      </c>
      <c r="AL783" s="1" t="s">
        <v>14277</v>
      </c>
      <c r="AM783" s="1" t="s">
        <v>14278</v>
      </c>
      <c r="AN783" s="1" t="s">
        <v>6255</v>
      </c>
      <c r="AO783" s="1" t="s">
        <v>104</v>
      </c>
      <c r="AP783" s="1">
        <v>79.5</v>
      </c>
      <c r="AQ783" s="1">
        <v>8</v>
      </c>
      <c r="AR783" s="1"/>
      <c r="AS783" s="1"/>
      <c r="AT783" s="1"/>
      <c r="AU783" s="1"/>
      <c r="AV783" s="1"/>
      <c r="AW783" s="1"/>
      <c r="AX783" s="1" t="s">
        <v>14279</v>
      </c>
      <c r="AY783" s="1" t="s">
        <v>14280</v>
      </c>
      <c r="AZ783" s="1" t="s">
        <v>3663</v>
      </c>
      <c r="BA783" s="1" t="s">
        <v>2103</v>
      </c>
      <c r="BB783" s="1">
        <v>66.5</v>
      </c>
      <c r="BC783" s="1">
        <v>7.4</v>
      </c>
      <c r="BD783" s="1"/>
      <c r="BE783" s="1"/>
      <c r="BF783" s="1"/>
      <c r="BG783" s="1"/>
      <c r="BH783" s="1"/>
      <c r="BI783" s="1"/>
      <c r="BJ783" s="1" t="s">
        <v>14281</v>
      </c>
      <c r="BK783" s="1"/>
      <c r="BL783" s="1"/>
      <c r="BM783" s="1" t="s">
        <v>14282</v>
      </c>
      <c r="BN783" s="1">
        <v>24</v>
      </c>
      <c r="BO783" s="1" t="s">
        <v>14283</v>
      </c>
      <c r="BP783" s="1" t="str">
        <f>HYPERLINK("https://nconnect.nicmar.ac.in/storage/profile/ProfilePhoto_P25700752_395618.jpg","Download")</f>
        <v>0</v>
      </c>
      <c r="BQ783" s="3"/>
      <c r="BR783" s="3"/>
    </row>
    <row r="784" spans="1:70">
      <c r="A784" s="1" t="s">
        <v>70</v>
      </c>
      <c r="B784" s="1" t="s">
        <v>1269</v>
      </c>
      <c r="C784" s="1" t="s">
        <v>14284</v>
      </c>
      <c r="D784" s="1" t="s">
        <v>1759</v>
      </c>
      <c r="E784" s="1" t="s">
        <v>7376</v>
      </c>
      <c r="F784" s="1" t="s">
        <v>14285</v>
      </c>
      <c r="G784" s="1" t="s">
        <v>14286</v>
      </c>
      <c r="H784" s="1" t="s">
        <v>14287</v>
      </c>
      <c r="I784" s="1" t="s">
        <v>14288</v>
      </c>
      <c r="J784" s="1">
        <v>9112221126</v>
      </c>
      <c r="K784" s="1" t="s">
        <v>79</v>
      </c>
      <c r="L784" s="1" t="s">
        <v>14289</v>
      </c>
      <c r="M784" s="1" t="s">
        <v>81</v>
      </c>
      <c r="N784" s="1" t="s">
        <v>1418</v>
      </c>
      <c r="O784" s="1"/>
      <c r="P784" s="1" t="s">
        <v>1278</v>
      </c>
      <c r="Q784" s="1" t="s">
        <v>14290</v>
      </c>
      <c r="R784" s="1" t="s">
        <v>14291</v>
      </c>
      <c r="S784" s="1">
        <v>9112221106</v>
      </c>
      <c r="T784" s="1" t="s">
        <v>763</v>
      </c>
      <c r="U784" s="1" t="s">
        <v>14292</v>
      </c>
      <c r="V784" s="1">
        <v>9762252869</v>
      </c>
      <c r="W784" s="1" t="s">
        <v>14293</v>
      </c>
      <c r="X784" s="1" t="s">
        <v>14294</v>
      </c>
      <c r="Y784" s="1" t="s">
        <v>191</v>
      </c>
      <c r="Z784" s="1" t="s">
        <v>92</v>
      </c>
      <c r="AA784" s="1" t="s">
        <v>14295</v>
      </c>
      <c r="AB784" s="1" t="s">
        <v>1174</v>
      </c>
      <c r="AC784" s="1" t="s">
        <v>92</v>
      </c>
      <c r="AD784" s="1">
        <v>7.54</v>
      </c>
      <c r="AE784" s="1" t="s">
        <v>93</v>
      </c>
      <c r="AF784" s="1" t="s">
        <v>14296</v>
      </c>
      <c r="AG784" s="1" t="s">
        <v>544</v>
      </c>
      <c r="AH784" s="1" t="s">
        <v>14297</v>
      </c>
      <c r="AI784" s="1" t="s">
        <v>195</v>
      </c>
      <c r="AJ784" s="1">
        <v>59.2</v>
      </c>
      <c r="AK784" s="1"/>
      <c r="AL784" s="1"/>
      <c r="AM784" s="1"/>
      <c r="AN784" s="1"/>
      <c r="AO784" s="1"/>
      <c r="AP784" s="1"/>
      <c r="AQ784" s="1"/>
      <c r="AR784" s="1" t="s">
        <v>434</v>
      </c>
      <c r="AS784" s="1" t="s">
        <v>14298</v>
      </c>
      <c r="AT784" s="1" t="s">
        <v>225</v>
      </c>
      <c r="AU784" s="1" t="s">
        <v>228</v>
      </c>
      <c r="AV784" s="1">
        <v>85.11</v>
      </c>
      <c r="AW784" s="1"/>
      <c r="AX784" s="1" t="s">
        <v>3972</v>
      </c>
      <c r="AY784" s="1" t="s">
        <v>14299</v>
      </c>
      <c r="AZ784" s="1" t="s">
        <v>363</v>
      </c>
      <c r="BA784" s="1" t="s">
        <v>507</v>
      </c>
      <c r="BB784" s="1">
        <v>78.24</v>
      </c>
      <c r="BC784" s="1">
        <v>8.52</v>
      </c>
      <c r="BD784" s="1"/>
      <c r="BE784" s="1"/>
      <c r="BF784" s="1"/>
      <c r="BG784" s="1"/>
      <c r="BH784" s="1"/>
      <c r="BI784" s="1"/>
      <c r="BJ784" s="1" t="s">
        <v>14300</v>
      </c>
      <c r="BK784" s="1" t="s">
        <v>14301</v>
      </c>
      <c r="BL784" s="1" t="s">
        <v>1028</v>
      </c>
      <c r="BM784" s="1"/>
      <c r="BN784" s="1"/>
      <c r="BO784" s="1"/>
      <c r="BP784" s="1" t="str">
        <f>HYPERLINK("https://nconnect.nicmar.ac.in/storage/profile/ProfilePhoto_P25700753_639218.jpg","Download")</f>
        <v>0</v>
      </c>
      <c r="BQ784" s="3"/>
      <c r="BR784" s="3"/>
    </row>
    <row r="785" spans="1:70">
      <c r="A785" s="1" t="s">
        <v>70</v>
      </c>
      <c r="B785" s="1" t="s">
        <v>1269</v>
      </c>
      <c r="C785" s="1" t="s">
        <v>14302</v>
      </c>
      <c r="D785" s="1" t="s">
        <v>10400</v>
      </c>
      <c r="E785" s="1" t="s">
        <v>3465</v>
      </c>
      <c r="F785" s="1" t="s">
        <v>14303</v>
      </c>
      <c r="G785" s="1" t="s">
        <v>14304</v>
      </c>
      <c r="H785" s="1" t="s">
        <v>14305</v>
      </c>
      <c r="I785" s="1" t="s">
        <v>14306</v>
      </c>
      <c r="J785" s="1">
        <v>9545691000</v>
      </c>
      <c r="K785" s="1" t="s">
        <v>79</v>
      </c>
      <c r="L785" s="1" t="s">
        <v>14307</v>
      </c>
      <c r="M785" s="1" t="s">
        <v>81</v>
      </c>
      <c r="N785" s="1" t="s">
        <v>1418</v>
      </c>
      <c r="O785" s="1"/>
      <c r="P785" s="1" t="s">
        <v>1278</v>
      </c>
      <c r="Q785" s="1" t="s">
        <v>14308</v>
      </c>
      <c r="R785" s="1" t="s">
        <v>3465</v>
      </c>
      <c r="S785" s="1">
        <v>9850406909</v>
      </c>
      <c r="T785" s="1" t="s">
        <v>154</v>
      </c>
      <c r="U785" s="1" t="s">
        <v>2968</v>
      </c>
      <c r="V785" s="1">
        <v>9422068022</v>
      </c>
      <c r="W785" s="1" t="s">
        <v>156</v>
      </c>
      <c r="X785" s="1" t="s">
        <v>14309</v>
      </c>
      <c r="Y785" s="1" t="s">
        <v>158</v>
      </c>
      <c r="Z785" s="1" t="s">
        <v>92</v>
      </c>
      <c r="AA785" s="1" t="s">
        <v>14309</v>
      </c>
      <c r="AB785" s="1" t="s">
        <v>158</v>
      </c>
      <c r="AC785" s="1" t="s">
        <v>92</v>
      </c>
      <c r="AD785" s="1">
        <v>8.34</v>
      </c>
      <c r="AE785" s="1" t="s">
        <v>93</v>
      </c>
      <c r="AF785" s="1" t="s">
        <v>14310</v>
      </c>
      <c r="AG785" s="1" t="s">
        <v>544</v>
      </c>
      <c r="AH785" s="1" t="s">
        <v>337</v>
      </c>
      <c r="AI785" s="1" t="s">
        <v>195</v>
      </c>
      <c r="AJ785" s="1">
        <v>81.4</v>
      </c>
      <c r="AK785" s="1"/>
      <c r="AL785" s="1" t="s">
        <v>14311</v>
      </c>
      <c r="AM785" s="1" t="s">
        <v>544</v>
      </c>
      <c r="AN785" s="1" t="s">
        <v>383</v>
      </c>
      <c r="AO785" s="1" t="s">
        <v>198</v>
      </c>
      <c r="AP785" s="1">
        <v>56</v>
      </c>
      <c r="AQ785" s="1"/>
      <c r="AR785" s="1"/>
      <c r="AS785" s="1"/>
      <c r="AT785" s="1"/>
      <c r="AU785" s="1"/>
      <c r="AV785" s="1"/>
      <c r="AW785" s="1"/>
      <c r="AX785" s="1" t="s">
        <v>1891</v>
      </c>
      <c r="AY785" s="1" t="s">
        <v>14312</v>
      </c>
      <c r="AZ785" s="1" t="s">
        <v>433</v>
      </c>
      <c r="BA785" s="1" t="s">
        <v>1938</v>
      </c>
      <c r="BB785" s="1">
        <v>75.75</v>
      </c>
      <c r="BC785" s="1">
        <v>8.05</v>
      </c>
      <c r="BD785" s="1"/>
      <c r="BE785" s="1"/>
      <c r="BF785" s="1"/>
      <c r="BG785" s="1"/>
      <c r="BH785" s="1"/>
      <c r="BI785" s="1"/>
      <c r="BJ785" s="1" t="s">
        <v>364</v>
      </c>
      <c r="BK785" s="1" t="s">
        <v>14313</v>
      </c>
      <c r="BL785" s="1" t="s">
        <v>1543</v>
      </c>
      <c r="BM785" s="1" t="s">
        <v>14314</v>
      </c>
      <c r="BN785" s="1">
        <v>8</v>
      </c>
      <c r="BO785" s="1"/>
      <c r="BP785" s="1" t="str">
        <f>HYPERLINK("https://nconnect.nicmar.ac.in/storage/profile/ProfilePhoto_P25700754_876213.jpg","Download")</f>
        <v>0</v>
      </c>
      <c r="BQ785" s="3"/>
      <c r="BR785" s="3"/>
    </row>
    <row r="786" spans="1:70">
      <c r="A786" s="1" t="s">
        <v>70</v>
      </c>
      <c r="B786" s="1" t="s">
        <v>1269</v>
      </c>
      <c r="C786" s="1" t="s">
        <v>14315</v>
      </c>
      <c r="D786" s="1" t="s">
        <v>14316</v>
      </c>
      <c r="E786" s="1" t="s">
        <v>2483</v>
      </c>
      <c r="F786" s="1" t="s">
        <v>14317</v>
      </c>
      <c r="G786" s="1" t="s">
        <v>14318</v>
      </c>
      <c r="H786" s="1" t="s">
        <v>14319</v>
      </c>
      <c r="I786" s="1" t="s">
        <v>14320</v>
      </c>
      <c r="J786" s="1">
        <v>7620324474</v>
      </c>
      <c r="K786" s="1" t="s">
        <v>79</v>
      </c>
      <c r="L786" s="1" t="s">
        <v>14321</v>
      </c>
      <c r="M786" s="1" t="s">
        <v>81</v>
      </c>
      <c r="N786" s="1" t="s">
        <v>2008</v>
      </c>
      <c r="O786" s="1"/>
      <c r="P786" s="1" t="s">
        <v>1278</v>
      </c>
      <c r="Q786" s="1" t="s">
        <v>14322</v>
      </c>
      <c r="R786" s="1" t="s">
        <v>2483</v>
      </c>
      <c r="S786" s="1">
        <v>9850099291</v>
      </c>
      <c r="T786" s="1" t="s">
        <v>13969</v>
      </c>
      <c r="U786" s="1" t="s">
        <v>3060</v>
      </c>
      <c r="V786" s="1">
        <v>8669326550</v>
      </c>
      <c r="W786" s="1">
        <v>10</v>
      </c>
      <c r="X786" s="1" t="s">
        <v>14323</v>
      </c>
      <c r="Y786" s="1" t="s">
        <v>191</v>
      </c>
      <c r="Z786" s="1" t="s">
        <v>92</v>
      </c>
      <c r="AA786" s="1" t="s">
        <v>14324</v>
      </c>
      <c r="AB786" s="1" t="s">
        <v>91</v>
      </c>
      <c r="AC786" s="1" t="s">
        <v>92</v>
      </c>
      <c r="AD786" s="1" t="s">
        <v>93</v>
      </c>
      <c r="AE786" s="1" t="s">
        <v>93</v>
      </c>
      <c r="AF786" s="1" t="s">
        <v>14325</v>
      </c>
      <c r="AG786" s="1" t="s">
        <v>358</v>
      </c>
      <c r="AH786" s="1" t="s">
        <v>97</v>
      </c>
      <c r="AI786" s="1" t="s">
        <v>456</v>
      </c>
      <c r="AJ786" s="1">
        <v>84.4</v>
      </c>
      <c r="AK786" s="1"/>
      <c r="AL786" s="1"/>
      <c r="AM786" s="1"/>
      <c r="AN786" s="1"/>
      <c r="AO786" s="1"/>
      <c r="AP786" s="1"/>
      <c r="AQ786" s="1"/>
      <c r="AR786" s="1" t="s">
        <v>7930</v>
      </c>
      <c r="AS786" s="1" t="s">
        <v>14326</v>
      </c>
      <c r="AT786" s="1" t="s">
        <v>162</v>
      </c>
      <c r="AU786" s="1" t="s">
        <v>433</v>
      </c>
      <c r="AV786" s="1">
        <v>77.21</v>
      </c>
      <c r="AW786" s="1"/>
      <c r="AX786" s="1" t="s">
        <v>361</v>
      </c>
      <c r="AY786" s="1" t="s">
        <v>14327</v>
      </c>
      <c r="AZ786" s="1" t="s">
        <v>201</v>
      </c>
      <c r="BA786" s="1" t="s">
        <v>105</v>
      </c>
      <c r="BB786" s="1">
        <v>81.52</v>
      </c>
      <c r="BC786" s="1">
        <v>9.16</v>
      </c>
      <c r="BD786" s="1"/>
      <c r="BE786" s="1"/>
      <c r="BF786" s="1"/>
      <c r="BG786" s="1"/>
      <c r="BH786" s="1"/>
      <c r="BI786" s="1"/>
      <c r="BJ786" s="1" t="s">
        <v>14328</v>
      </c>
      <c r="BK786" s="1" t="s">
        <v>14329</v>
      </c>
      <c r="BL786" s="1" t="s">
        <v>1523</v>
      </c>
      <c r="BM786" s="1"/>
      <c r="BN786" s="1"/>
      <c r="BO786" s="1"/>
      <c r="BP786" s="1" t="str">
        <f>HYPERLINK("https://nconnect.nicmar.ac.in/storage/profile/ProfilePhoto_P25700755_215487.jpg","Download")</f>
        <v>0</v>
      </c>
      <c r="BQ786" s="3"/>
      <c r="BR786" s="3"/>
    </row>
    <row r="787" spans="1:70">
      <c r="A787" s="1" t="s">
        <v>70</v>
      </c>
      <c r="B787" s="1" t="s">
        <v>1269</v>
      </c>
      <c r="C787" s="1" t="s">
        <v>14330</v>
      </c>
      <c r="D787" s="1" t="s">
        <v>1455</v>
      </c>
      <c r="E787" s="1" t="s">
        <v>3244</v>
      </c>
      <c r="F787" s="1" t="s">
        <v>843</v>
      </c>
      <c r="G787" s="1" t="s">
        <v>14331</v>
      </c>
      <c r="H787" s="1" t="s">
        <v>14332</v>
      </c>
      <c r="I787" s="1" t="s">
        <v>14333</v>
      </c>
      <c r="J787" s="1">
        <v>7972030932</v>
      </c>
      <c r="K787" s="1" t="s">
        <v>79</v>
      </c>
      <c r="L787" s="1" t="s">
        <v>14334</v>
      </c>
      <c r="M787" s="1" t="s">
        <v>81</v>
      </c>
      <c r="N787" s="1" t="s">
        <v>1418</v>
      </c>
      <c r="O787" s="1"/>
      <c r="P787" s="1" t="s">
        <v>1298</v>
      </c>
      <c r="Q787" s="1" t="s">
        <v>14335</v>
      </c>
      <c r="R787" s="1" t="s">
        <v>14336</v>
      </c>
      <c r="S787" s="1">
        <v>9702864718</v>
      </c>
      <c r="T787" s="1" t="s">
        <v>13848</v>
      </c>
      <c r="U787" s="1" t="s">
        <v>14337</v>
      </c>
      <c r="V787" s="1">
        <v>8692824268</v>
      </c>
      <c r="W787" s="1" t="s">
        <v>89</v>
      </c>
      <c r="X787" s="1" t="s">
        <v>14338</v>
      </c>
      <c r="Y787" s="1" t="s">
        <v>5064</v>
      </c>
      <c r="Z787" s="1" t="s">
        <v>92</v>
      </c>
      <c r="AA787" s="1" t="s">
        <v>14338</v>
      </c>
      <c r="AB787" s="1" t="s">
        <v>5064</v>
      </c>
      <c r="AC787" s="1" t="s">
        <v>92</v>
      </c>
      <c r="AD787" s="1">
        <v>8.61</v>
      </c>
      <c r="AE787" s="1" t="s">
        <v>93</v>
      </c>
      <c r="AF787" s="1" t="s">
        <v>14339</v>
      </c>
      <c r="AG787" s="1" t="s">
        <v>6954</v>
      </c>
      <c r="AH787" s="1" t="s">
        <v>2401</v>
      </c>
      <c r="AI787" s="1" t="s">
        <v>999</v>
      </c>
      <c r="AJ787" s="1">
        <v>61.8</v>
      </c>
      <c r="AK787" s="1"/>
      <c r="AL787" s="1" t="s">
        <v>14340</v>
      </c>
      <c r="AM787" s="1" t="s">
        <v>6954</v>
      </c>
      <c r="AN787" s="1" t="s">
        <v>161</v>
      </c>
      <c r="AO787" s="1" t="s">
        <v>1001</v>
      </c>
      <c r="AP787" s="1">
        <v>56.92</v>
      </c>
      <c r="AQ787" s="1"/>
      <c r="AR787" s="1" t="s">
        <v>14341</v>
      </c>
      <c r="AS787" s="1" t="s">
        <v>14342</v>
      </c>
      <c r="AT787" s="1" t="s">
        <v>134</v>
      </c>
      <c r="AU787" s="1" t="s">
        <v>166</v>
      </c>
      <c r="AV787" s="1">
        <v>81.99</v>
      </c>
      <c r="AW787" s="1">
        <v>9.11</v>
      </c>
      <c r="AX787" s="1" t="s">
        <v>14343</v>
      </c>
      <c r="AY787" s="1" t="s">
        <v>14342</v>
      </c>
      <c r="AZ787" s="1" t="s">
        <v>636</v>
      </c>
      <c r="BA787" s="1" t="s">
        <v>1712</v>
      </c>
      <c r="BB787" s="1">
        <v>79.5</v>
      </c>
      <c r="BC787" s="1">
        <v>7.95</v>
      </c>
      <c r="BD787" s="1"/>
      <c r="BE787" s="1"/>
      <c r="BF787" s="1"/>
      <c r="BG787" s="1"/>
      <c r="BH787" s="1"/>
      <c r="BI787" s="1"/>
      <c r="BJ787" s="1" t="s">
        <v>14344</v>
      </c>
      <c r="BK787" s="1" t="s">
        <v>14345</v>
      </c>
      <c r="BL787" s="1" t="s">
        <v>4741</v>
      </c>
      <c r="BM787" s="1" t="s">
        <v>14346</v>
      </c>
      <c r="BN787" s="1">
        <v>8</v>
      </c>
      <c r="BO787" s="1"/>
      <c r="BP787" s="1" t="str">
        <f>HYPERLINK("https://nconnect.nicmar.ac.in/storage/profile/ProfilePhoto_P25700281_579136.jpg","Download")</f>
        <v>0</v>
      </c>
      <c r="BQ787" s="3"/>
      <c r="BR787" s="3"/>
    </row>
    <row r="788" spans="1:70">
      <c r="A788" s="1" t="s">
        <v>70</v>
      </c>
      <c r="B788" s="1" t="s">
        <v>1269</v>
      </c>
      <c r="C788" s="1" t="s">
        <v>14347</v>
      </c>
      <c r="D788" s="1" t="s">
        <v>816</v>
      </c>
      <c r="E788" s="1" t="s">
        <v>5393</v>
      </c>
      <c r="F788" s="1" t="s">
        <v>14348</v>
      </c>
      <c r="G788" s="1" t="s">
        <v>14349</v>
      </c>
      <c r="H788" s="1" t="s">
        <v>14350</v>
      </c>
      <c r="I788" s="1" t="s">
        <v>14351</v>
      </c>
      <c r="J788" s="1">
        <v>7588796873</v>
      </c>
      <c r="K788" s="1" t="s">
        <v>79</v>
      </c>
      <c r="L788" s="1" t="s">
        <v>14352</v>
      </c>
      <c r="M788" s="1" t="s">
        <v>81</v>
      </c>
      <c r="N788" s="1" t="s">
        <v>14353</v>
      </c>
      <c r="O788" s="1"/>
      <c r="P788" s="1" t="s">
        <v>1323</v>
      </c>
      <c r="Q788" s="1" t="s">
        <v>14354</v>
      </c>
      <c r="R788" s="1" t="s">
        <v>5393</v>
      </c>
      <c r="S788" s="1">
        <v>9850341198</v>
      </c>
      <c r="T788" s="1" t="s">
        <v>496</v>
      </c>
      <c r="U788" s="1" t="s">
        <v>12679</v>
      </c>
      <c r="V788" s="1">
        <v>9307325971</v>
      </c>
      <c r="W788" s="1" t="s">
        <v>89</v>
      </c>
      <c r="X788" s="1" t="s">
        <v>14355</v>
      </c>
      <c r="Y788" s="1" t="s">
        <v>405</v>
      </c>
      <c r="Z788" s="1" t="s">
        <v>92</v>
      </c>
      <c r="AA788" s="1" t="s">
        <v>14356</v>
      </c>
      <c r="AB788" s="1" t="s">
        <v>405</v>
      </c>
      <c r="AC788" s="1" t="s">
        <v>92</v>
      </c>
      <c r="AD788" s="1">
        <v>8.9</v>
      </c>
      <c r="AE788" s="1" t="s">
        <v>93</v>
      </c>
      <c r="AF788" s="1" t="s">
        <v>14357</v>
      </c>
      <c r="AG788" s="1" t="s">
        <v>14358</v>
      </c>
      <c r="AH788" s="1" t="s">
        <v>678</v>
      </c>
      <c r="AI788" s="1" t="s">
        <v>166</v>
      </c>
      <c r="AJ788" s="1">
        <v>73.6</v>
      </c>
      <c r="AK788" s="1"/>
      <c r="AL788" s="1" t="s">
        <v>14357</v>
      </c>
      <c r="AM788" s="1" t="s">
        <v>14359</v>
      </c>
      <c r="AN788" s="1" t="s">
        <v>433</v>
      </c>
      <c r="AO788" s="1" t="s">
        <v>173</v>
      </c>
      <c r="AP788" s="1">
        <v>77</v>
      </c>
      <c r="AQ788" s="1"/>
      <c r="AR788" s="1"/>
      <c r="AS788" s="1"/>
      <c r="AT788" s="1"/>
      <c r="AU788" s="1"/>
      <c r="AV788" s="1"/>
      <c r="AW788" s="1"/>
      <c r="AX788" s="1" t="s">
        <v>5523</v>
      </c>
      <c r="AY788" s="1" t="s">
        <v>14360</v>
      </c>
      <c r="AZ788" s="1" t="s">
        <v>363</v>
      </c>
      <c r="BA788" s="1" t="s">
        <v>1938</v>
      </c>
      <c r="BB788" s="1">
        <v>70.6</v>
      </c>
      <c r="BC788" s="1">
        <v>7.81</v>
      </c>
      <c r="BD788" s="1"/>
      <c r="BE788" s="1"/>
      <c r="BF788" s="1"/>
      <c r="BG788" s="1"/>
      <c r="BH788" s="1"/>
      <c r="BI788" s="1"/>
      <c r="BJ788" s="1" t="s">
        <v>14361</v>
      </c>
      <c r="BK788" s="1"/>
      <c r="BL788" s="1"/>
      <c r="BM788" s="1" t="s">
        <v>14362</v>
      </c>
      <c r="BN788" s="1">
        <v>17</v>
      </c>
      <c r="BO788" s="1" t="s">
        <v>14363</v>
      </c>
      <c r="BP788" s="1" t="str">
        <f>HYPERLINK("https://nconnect.nicmar.ac.in/storage/profile/ProfilePhoto_P25700325_532469.jpg","Download")</f>
        <v>0</v>
      </c>
      <c r="BQ788" s="3"/>
      <c r="BR788" s="3"/>
    </row>
    <row r="789" spans="1:70">
      <c r="A789" s="1" t="s">
        <v>70</v>
      </c>
      <c r="B789" s="1" t="s">
        <v>1269</v>
      </c>
      <c r="C789" s="1" t="s">
        <v>14364</v>
      </c>
      <c r="D789" s="1" t="s">
        <v>14365</v>
      </c>
      <c r="E789" s="1" t="s">
        <v>901</v>
      </c>
      <c r="F789" s="1" t="s">
        <v>4807</v>
      </c>
      <c r="G789" s="1" t="s">
        <v>14366</v>
      </c>
      <c r="H789" s="1" t="s">
        <v>14367</v>
      </c>
      <c r="I789" s="1" t="s">
        <v>14368</v>
      </c>
      <c r="J789" s="1">
        <v>6309295777</v>
      </c>
      <c r="K789" s="1" t="s">
        <v>79</v>
      </c>
      <c r="L789" s="1" t="s">
        <v>1861</v>
      </c>
      <c r="M789" s="1" t="s">
        <v>81</v>
      </c>
      <c r="N789" s="1" t="s">
        <v>14369</v>
      </c>
      <c r="O789" s="1"/>
      <c r="P789" s="1" t="s">
        <v>1323</v>
      </c>
      <c r="Q789" s="1" t="s">
        <v>14370</v>
      </c>
      <c r="R789" s="1" t="s">
        <v>14371</v>
      </c>
      <c r="S789" s="1">
        <v>9849721040</v>
      </c>
      <c r="T789" s="1" t="s">
        <v>4566</v>
      </c>
      <c r="U789" s="1" t="s">
        <v>14372</v>
      </c>
      <c r="V789" s="1">
        <v>9652271081</v>
      </c>
      <c r="W789" s="1" t="s">
        <v>122</v>
      </c>
      <c r="X789" s="1" t="s">
        <v>14373</v>
      </c>
      <c r="Y789" s="1" t="s">
        <v>4621</v>
      </c>
      <c r="Z789" s="1" t="s">
        <v>276</v>
      </c>
      <c r="AA789" s="1" t="s">
        <v>14373</v>
      </c>
      <c r="AB789" s="1" t="s">
        <v>4621</v>
      </c>
      <c r="AC789" s="1" t="s">
        <v>276</v>
      </c>
      <c r="AD789" s="1">
        <v>7.97</v>
      </c>
      <c r="AE789" s="1" t="s">
        <v>93</v>
      </c>
      <c r="AF789" s="1" t="s">
        <v>5589</v>
      </c>
      <c r="AG789" s="1" t="s">
        <v>14374</v>
      </c>
      <c r="AH789" s="1" t="s">
        <v>165</v>
      </c>
      <c r="AI789" s="1" t="s">
        <v>1307</v>
      </c>
      <c r="AJ789" s="1">
        <v>93</v>
      </c>
      <c r="AK789" s="1">
        <v>9.3</v>
      </c>
      <c r="AL789" s="1" t="s">
        <v>612</v>
      </c>
      <c r="AM789" s="1" t="s">
        <v>10733</v>
      </c>
      <c r="AN789" s="1" t="s">
        <v>433</v>
      </c>
      <c r="AO789" s="1" t="s">
        <v>173</v>
      </c>
      <c r="AP789" s="1">
        <v>90.4</v>
      </c>
      <c r="AQ789" s="1">
        <v>9.48</v>
      </c>
      <c r="AR789" s="1"/>
      <c r="AS789" s="1"/>
      <c r="AT789" s="1"/>
      <c r="AU789" s="1"/>
      <c r="AV789" s="1"/>
      <c r="AW789" s="1"/>
      <c r="AX789" s="1" t="s">
        <v>7614</v>
      </c>
      <c r="AY789" s="1" t="s">
        <v>7614</v>
      </c>
      <c r="AZ789" s="1" t="s">
        <v>681</v>
      </c>
      <c r="BA789" s="1" t="s">
        <v>6010</v>
      </c>
      <c r="BB789" s="1">
        <v>71.1</v>
      </c>
      <c r="BC789" s="1">
        <v>7.11</v>
      </c>
      <c r="BD789" s="1"/>
      <c r="BE789" s="1"/>
      <c r="BF789" s="1"/>
      <c r="BG789" s="1"/>
      <c r="BH789" s="1"/>
      <c r="BI789" s="1"/>
      <c r="BJ789" s="1" t="s">
        <v>1383</v>
      </c>
      <c r="BK789" s="1"/>
      <c r="BL789" s="1"/>
      <c r="BM789" s="1" t="s">
        <v>14375</v>
      </c>
      <c r="BN789" s="1">
        <v>12</v>
      </c>
      <c r="BO789" s="1" t="s">
        <v>14376</v>
      </c>
      <c r="BP789" s="1" t="str">
        <f>HYPERLINK("https://nconnect.nicmar.ac.in/storage/profile/ProfilePhoto_P25700367_329568.jpg","Download")</f>
        <v>0</v>
      </c>
      <c r="BQ789" s="3"/>
      <c r="BR789" s="3"/>
    </row>
    <row r="790" spans="1:70">
      <c r="A790" s="1" t="s">
        <v>70</v>
      </c>
      <c r="B790" s="1" t="s">
        <v>1269</v>
      </c>
      <c r="C790" s="1" t="s">
        <v>14377</v>
      </c>
      <c r="D790" s="1" t="s">
        <v>14378</v>
      </c>
      <c r="E790" s="1" t="s">
        <v>14379</v>
      </c>
      <c r="F790" s="1" t="s">
        <v>14380</v>
      </c>
      <c r="G790" s="1" t="s">
        <v>14381</v>
      </c>
      <c r="H790" s="1" t="s">
        <v>14382</v>
      </c>
      <c r="I790" s="1" t="s">
        <v>14383</v>
      </c>
      <c r="J790" s="1">
        <v>9975069808</v>
      </c>
      <c r="K790" s="1" t="s">
        <v>79</v>
      </c>
      <c r="L790" s="1" t="s">
        <v>14384</v>
      </c>
      <c r="M790" s="1" t="s">
        <v>81</v>
      </c>
      <c r="N790" s="1" t="s">
        <v>1765</v>
      </c>
      <c r="O790" s="1"/>
      <c r="P790" s="1" t="s">
        <v>1298</v>
      </c>
      <c r="Q790" s="1" t="s">
        <v>14385</v>
      </c>
      <c r="R790" s="1" t="s">
        <v>14386</v>
      </c>
      <c r="S790" s="1">
        <v>9850497606</v>
      </c>
      <c r="T790" s="1" t="s">
        <v>763</v>
      </c>
      <c r="U790" s="1" t="s">
        <v>14387</v>
      </c>
      <c r="V790" s="1">
        <v>9822570691</v>
      </c>
      <c r="W790" s="1" t="s">
        <v>156</v>
      </c>
      <c r="X790" s="1" t="s">
        <v>14388</v>
      </c>
      <c r="Y790" s="1" t="s">
        <v>191</v>
      </c>
      <c r="Z790" s="1" t="s">
        <v>92</v>
      </c>
      <c r="AA790" s="1" t="s">
        <v>14389</v>
      </c>
      <c r="AB790" s="1" t="s">
        <v>191</v>
      </c>
      <c r="AC790" s="1" t="s">
        <v>92</v>
      </c>
      <c r="AD790" s="1" t="s">
        <v>93</v>
      </c>
      <c r="AE790" s="1" t="s">
        <v>93</v>
      </c>
      <c r="AF790" s="1" t="s">
        <v>14390</v>
      </c>
      <c r="AG790" s="1" t="s">
        <v>14391</v>
      </c>
      <c r="AH790" s="1" t="s">
        <v>130</v>
      </c>
      <c r="AI790" s="1" t="s">
        <v>97</v>
      </c>
      <c r="AJ790" s="1">
        <v>73.4</v>
      </c>
      <c r="AK790" s="1">
        <v>0</v>
      </c>
      <c r="AL790" s="1" t="s">
        <v>14392</v>
      </c>
      <c r="AM790" s="1" t="s">
        <v>14393</v>
      </c>
      <c r="AN790" s="1" t="s">
        <v>6069</v>
      </c>
      <c r="AO790" s="1" t="s">
        <v>678</v>
      </c>
      <c r="AP790" s="1">
        <v>65.54</v>
      </c>
      <c r="AQ790" s="1">
        <v>0</v>
      </c>
      <c r="AR790" s="1"/>
      <c r="AS790" s="1"/>
      <c r="AT790" s="1"/>
      <c r="AU790" s="1"/>
      <c r="AV790" s="1"/>
      <c r="AW790" s="1"/>
      <c r="AX790" s="1" t="s">
        <v>361</v>
      </c>
      <c r="AY790" s="1" t="s">
        <v>14394</v>
      </c>
      <c r="AZ790" s="1" t="s">
        <v>383</v>
      </c>
      <c r="BA790" s="1" t="s">
        <v>1003</v>
      </c>
      <c r="BB790" s="1">
        <v>82</v>
      </c>
      <c r="BC790" s="1">
        <v>9.1</v>
      </c>
      <c r="BD790" s="1"/>
      <c r="BE790" s="1"/>
      <c r="BF790" s="1"/>
      <c r="BG790" s="1"/>
      <c r="BH790" s="1"/>
      <c r="BI790" s="1"/>
      <c r="BJ790" s="1" t="s">
        <v>14395</v>
      </c>
      <c r="BK790" s="1" t="s">
        <v>14396</v>
      </c>
      <c r="BL790" s="1" t="s">
        <v>340</v>
      </c>
      <c r="BM790" s="1" t="s">
        <v>14397</v>
      </c>
      <c r="BN790" s="1">
        <v>23</v>
      </c>
      <c r="BO790" s="1"/>
      <c r="BP790" s="1" t="str">
        <f>HYPERLINK("https://nconnect.nicmar.ac.in/storage/profile/ProfilePhoto_P25700694_372165.jpg","Download")</f>
        <v>0</v>
      </c>
      <c r="BQ790" s="3"/>
      <c r="BR790" s="3"/>
    </row>
    <row r="791" spans="1:70">
      <c r="A791" s="1" t="s">
        <v>441</v>
      </c>
      <c r="B791" s="1" t="s">
        <v>1269</v>
      </c>
      <c r="C791" s="1" t="s">
        <v>14398</v>
      </c>
      <c r="D791" s="1" t="s">
        <v>14399</v>
      </c>
      <c r="E791" s="1"/>
      <c r="F791" s="1" t="s">
        <v>14400</v>
      </c>
      <c r="G791" s="1" t="s">
        <v>14401</v>
      </c>
      <c r="H791" s="1" t="s">
        <v>14402</v>
      </c>
      <c r="I791" s="1" t="s">
        <v>14403</v>
      </c>
      <c r="J791" s="1">
        <v>7889141835</v>
      </c>
      <c r="K791" s="1" t="s">
        <v>148</v>
      </c>
      <c r="L791" s="1" t="s">
        <v>14404</v>
      </c>
      <c r="M791" s="1" t="s">
        <v>81</v>
      </c>
      <c r="N791" s="1" t="s">
        <v>2213</v>
      </c>
      <c r="O791" s="1" t="s">
        <v>14405</v>
      </c>
      <c r="P791" s="1" t="s">
        <v>1323</v>
      </c>
      <c r="Q791" s="1" t="s">
        <v>14406</v>
      </c>
      <c r="R791" s="1" t="s">
        <v>14407</v>
      </c>
      <c r="S791" s="1">
        <v>9878534679</v>
      </c>
      <c r="T791" s="1" t="s">
        <v>14408</v>
      </c>
      <c r="U791" s="1" t="s">
        <v>14409</v>
      </c>
      <c r="V791" s="1">
        <v>9078488685</v>
      </c>
      <c r="W791" s="1" t="s">
        <v>156</v>
      </c>
      <c r="X791" s="1" t="s">
        <v>14410</v>
      </c>
      <c r="Y791" s="1" t="s">
        <v>4892</v>
      </c>
      <c r="Z791" s="1" t="s">
        <v>1731</v>
      </c>
      <c r="AA791" s="1" t="s">
        <v>14411</v>
      </c>
      <c r="AB791" s="1" t="s">
        <v>14412</v>
      </c>
      <c r="AC791" s="1" t="s">
        <v>1828</v>
      </c>
      <c r="AD791" s="1" t="s">
        <v>93</v>
      </c>
      <c r="AE791" s="1" t="s">
        <v>93</v>
      </c>
      <c r="AF791" s="1" t="s">
        <v>14413</v>
      </c>
      <c r="AG791" s="1" t="s">
        <v>14414</v>
      </c>
      <c r="AH791" s="1" t="s">
        <v>477</v>
      </c>
      <c r="AI791" s="1" t="s">
        <v>131</v>
      </c>
      <c r="AJ791" s="1">
        <v>85.5</v>
      </c>
      <c r="AK791" s="1">
        <v>9</v>
      </c>
      <c r="AL791" s="1" t="s">
        <v>14415</v>
      </c>
      <c r="AM791" s="1" t="s">
        <v>14416</v>
      </c>
      <c r="AN791" s="1" t="s">
        <v>279</v>
      </c>
      <c r="AO791" s="1" t="s">
        <v>479</v>
      </c>
      <c r="AP791" s="1">
        <v>77.6</v>
      </c>
      <c r="AQ791" s="1"/>
      <c r="AR791" s="1"/>
      <c r="AS791" s="1"/>
      <c r="AT791" s="1"/>
      <c r="AU791" s="1"/>
      <c r="AV791" s="1"/>
      <c r="AW791" s="1"/>
      <c r="AX791" s="1" t="s">
        <v>14417</v>
      </c>
      <c r="AY791" s="1" t="s">
        <v>14418</v>
      </c>
      <c r="AZ791" s="1" t="s">
        <v>383</v>
      </c>
      <c r="BA791" s="1" t="s">
        <v>481</v>
      </c>
      <c r="BB791" s="1">
        <v>80.2</v>
      </c>
      <c r="BC791" s="1">
        <v>8.02</v>
      </c>
      <c r="BD791" s="1"/>
      <c r="BE791" s="1"/>
      <c r="BF791" s="1"/>
      <c r="BG791" s="1"/>
      <c r="BH791" s="1"/>
      <c r="BI791" s="1"/>
      <c r="BJ791" s="1" t="s">
        <v>14419</v>
      </c>
      <c r="BK791" s="1"/>
      <c r="BL791" s="1"/>
      <c r="BM791" s="1" t="s">
        <v>14420</v>
      </c>
      <c r="BN791" s="1">
        <v>39</v>
      </c>
      <c r="BO791" s="1" t="s">
        <v>14421</v>
      </c>
      <c r="BP791" s="1" t="str">
        <f>HYPERLINK("https://nconnect.nicmar.ac.in/storage/profile/ProfilePhoto_P24702124_129675.jpg","Download")</f>
        <v>0</v>
      </c>
      <c r="BQ791" s="3"/>
      <c r="BR791" s="3"/>
    </row>
    <row r="792" spans="1:70">
      <c r="A792" s="1" t="s">
        <v>441</v>
      </c>
      <c r="B792" s="1" t="s">
        <v>1269</v>
      </c>
      <c r="C792" s="1" t="s">
        <v>14422</v>
      </c>
      <c r="D792" s="1" t="s">
        <v>14423</v>
      </c>
      <c r="E792" s="1" t="s">
        <v>3231</v>
      </c>
      <c r="F792" s="1" t="s">
        <v>14424</v>
      </c>
      <c r="G792" s="1" t="s">
        <v>14425</v>
      </c>
      <c r="H792" s="1" t="s">
        <v>14426</v>
      </c>
      <c r="I792" s="1" t="s">
        <v>14427</v>
      </c>
      <c r="J792" s="1">
        <v>8917573341</v>
      </c>
      <c r="K792" s="1" t="s">
        <v>79</v>
      </c>
      <c r="L792" s="1" t="s">
        <v>14428</v>
      </c>
      <c r="M792" s="1" t="s">
        <v>81</v>
      </c>
      <c r="N792" s="1" t="s">
        <v>1746</v>
      </c>
      <c r="O792" s="1"/>
      <c r="P792" s="1" t="s">
        <v>1278</v>
      </c>
      <c r="Q792" s="1" t="s">
        <v>14429</v>
      </c>
      <c r="R792" s="1" t="s">
        <v>14430</v>
      </c>
      <c r="S792" s="1">
        <v>9937562879</v>
      </c>
      <c r="T792" s="1" t="s">
        <v>9095</v>
      </c>
      <c r="U792" s="1" t="s">
        <v>14431</v>
      </c>
      <c r="V792" s="1">
        <v>9853842707</v>
      </c>
      <c r="W792" s="1" t="s">
        <v>651</v>
      </c>
      <c r="X792" s="1" t="s">
        <v>14432</v>
      </c>
      <c r="Y792" s="1" t="s">
        <v>2096</v>
      </c>
      <c r="Z792" s="1" t="s">
        <v>1731</v>
      </c>
      <c r="AA792" s="1" t="s">
        <v>14432</v>
      </c>
      <c r="AB792" s="1" t="s">
        <v>2096</v>
      </c>
      <c r="AC792" s="1" t="s">
        <v>1731</v>
      </c>
      <c r="AD792" s="1">
        <v>9.82</v>
      </c>
      <c r="AE792" s="1" t="s">
        <v>93</v>
      </c>
      <c r="AF792" s="1" t="s">
        <v>14433</v>
      </c>
      <c r="AG792" s="1" t="s">
        <v>1152</v>
      </c>
      <c r="AH792" s="1" t="s">
        <v>1197</v>
      </c>
      <c r="AI792" s="1" t="s">
        <v>131</v>
      </c>
      <c r="AJ792" s="1">
        <v>69</v>
      </c>
      <c r="AK792" s="1"/>
      <c r="AL792" s="1" t="s">
        <v>14434</v>
      </c>
      <c r="AM792" s="1" t="s">
        <v>939</v>
      </c>
      <c r="AN792" s="1" t="s">
        <v>527</v>
      </c>
      <c r="AO792" s="1" t="s">
        <v>479</v>
      </c>
      <c r="AP792" s="1">
        <v>61</v>
      </c>
      <c r="AQ792" s="1"/>
      <c r="AR792" s="1"/>
      <c r="AS792" s="1"/>
      <c r="AT792" s="1"/>
      <c r="AU792" s="1"/>
      <c r="AV792" s="1"/>
      <c r="AW792" s="1"/>
      <c r="AX792" s="1" t="s">
        <v>5842</v>
      </c>
      <c r="AY792" s="1" t="s">
        <v>14435</v>
      </c>
      <c r="AZ792" s="1" t="s">
        <v>165</v>
      </c>
      <c r="BA792" s="1" t="s">
        <v>1712</v>
      </c>
      <c r="BB792" s="1">
        <v>79.9</v>
      </c>
      <c r="BC792" s="1">
        <v>7.99</v>
      </c>
      <c r="BD792" s="1"/>
      <c r="BE792" s="1"/>
      <c r="BF792" s="1"/>
      <c r="BG792" s="1"/>
      <c r="BH792" s="1"/>
      <c r="BI792" s="1"/>
      <c r="BJ792" s="1" t="s">
        <v>14436</v>
      </c>
      <c r="BK792" s="1" t="s">
        <v>14437</v>
      </c>
      <c r="BL792" s="1" t="s">
        <v>14438</v>
      </c>
      <c r="BM792" s="1"/>
      <c r="BN792" s="1"/>
      <c r="BO792" s="1"/>
      <c r="BP792" s="1" t="str">
        <f>HYPERLINK("https://nconnect.nicmar.ac.in/storage/profile/ProfilePhoto_P25702001_634892.jpg","Download")</f>
        <v>0</v>
      </c>
      <c r="BQ792" s="3"/>
      <c r="BR792" s="3"/>
    </row>
    <row r="793" spans="1:70">
      <c r="A793" s="1" t="s">
        <v>441</v>
      </c>
      <c r="B793" s="1" t="s">
        <v>1269</v>
      </c>
      <c r="C793" s="1" t="s">
        <v>14439</v>
      </c>
      <c r="D793" s="1" t="s">
        <v>12210</v>
      </c>
      <c r="E793" s="1" t="s">
        <v>1875</v>
      </c>
      <c r="F793" s="1" t="s">
        <v>14440</v>
      </c>
      <c r="G793" s="1" t="s">
        <v>14441</v>
      </c>
      <c r="H793" s="1" t="s">
        <v>14442</v>
      </c>
      <c r="I793" s="1" t="s">
        <v>14443</v>
      </c>
      <c r="J793" s="1">
        <v>9987557698</v>
      </c>
      <c r="K793" s="1" t="s">
        <v>148</v>
      </c>
      <c r="L793" s="1" t="s">
        <v>14444</v>
      </c>
      <c r="M793" s="1" t="s">
        <v>81</v>
      </c>
      <c r="N793" s="1" t="s">
        <v>2008</v>
      </c>
      <c r="O793" s="1"/>
      <c r="P793" s="1" t="s">
        <v>1323</v>
      </c>
      <c r="Q793" s="1" t="s">
        <v>14445</v>
      </c>
      <c r="R793" s="1" t="s">
        <v>1875</v>
      </c>
      <c r="S793" s="1">
        <v>9987557697</v>
      </c>
      <c r="T793" s="1" t="s">
        <v>842</v>
      </c>
      <c r="U793" s="1" t="s">
        <v>693</v>
      </c>
      <c r="V793" s="1">
        <v>8108911444</v>
      </c>
      <c r="W793" s="1" t="s">
        <v>122</v>
      </c>
      <c r="X793" s="1" t="s">
        <v>14446</v>
      </c>
      <c r="Y793" s="1" t="s">
        <v>191</v>
      </c>
      <c r="Z793" s="1" t="s">
        <v>92</v>
      </c>
      <c r="AA793" s="1" t="s">
        <v>14447</v>
      </c>
      <c r="AB793" s="1" t="s">
        <v>766</v>
      </c>
      <c r="AC793" s="1" t="s">
        <v>92</v>
      </c>
      <c r="AD793" s="1">
        <v>8.64</v>
      </c>
      <c r="AE793" s="1" t="s">
        <v>93</v>
      </c>
      <c r="AF793" s="1" t="s">
        <v>14448</v>
      </c>
      <c r="AG793" s="1" t="s">
        <v>14449</v>
      </c>
      <c r="AH793" s="1" t="s">
        <v>1240</v>
      </c>
      <c r="AI793" s="1" t="s">
        <v>456</v>
      </c>
      <c r="AJ793" s="1">
        <v>86.8</v>
      </c>
      <c r="AK793" s="1"/>
      <c r="AL793" s="1" t="s">
        <v>14450</v>
      </c>
      <c r="AM793" s="1" t="s">
        <v>14449</v>
      </c>
      <c r="AN793" s="1" t="s">
        <v>162</v>
      </c>
      <c r="AO793" s="1" t="s">
        <v>457</v>
      </c>
      <c r="AP793" s="1">
        <v>63.08</v>
      </c>
      <c r="AQ793" s="1"/>
      <c r="AR793" s="1"/>
      <c r="AS793" s="1"/>
      <c r="AT793" s="1"/>
      <c r="AU793" s="1"/>
      <c r="AV793" s="1"/>
      <c r="AW793" s="1"/>
      <c r="AX793" s="1" t="s">
        <v>1024</v>
      </c>
      <c r="AY793" s="1" t="s">
        <v>14451</v>
      </c>
      <c r="AZ793" s="1" t="s">
        <v>101</v>
      </c>
      <c r="BA793" s="1" t="s">
        <v>590</v>
      </c>
      <c r="BB793" s="1">
        <v>75.04</v>
      </c>
      <c r="BC793" s="1">
        <v>8.52</v>
      </c>
      <c r="BD793" s="1"/>
      <c r="BE793" s="1"/>
      <c r="BF793" s="1"/>
      <c r="BG793" s="1"/>
      <c r="BH793" s="1"/>
      <c r="BI793" s="1"/>
      <c r="BJ793" s="1" t="s">
        <v>14452</v>
      </c>
      <c r="BK793" s="1" t="s">
        <v>14453</v>
      </c>
      <c r="BL793" s="1" t="s">
        <v>1561</v>
      </c>
      <c r="BM793" s="1" t="s">
        <v>14454</v>
      </c>
      <c r="BN793" s="1">
        <v>26</v>
      </c>
      <c r="BO793" s="1"/>
      <c r="BP793" s="1" t="str">
        <f>HYPERLINK("https://nconnect.nicmar.ac.in/storage/profile/ProfilePhoto_P25702002_231946.jpg","Download")</f>
        <v>0</v>
      </c>
      <c r="BQ793" s="3"/>
      <c r="BR793" s="3"/>
    </row>
    <row r="794" spans="1:70">
      <c r="A794" s="1" t="s">
        <v>441</v>
      </c>
      <c r="B794" s="1" t="s">
        <v>1269</v>
      </c>
      <c r="C794" s="1" t="s">
        <v>14455</v>
      </c>
      <c r="D794" s="1" t="s">
        <v>3180</v>
      </c>
      <c r="E794" s="1" t="s">
        <v>1280</v>
      </c>
      <c r="F794" s="1" t="s">
        <v>14456</v>
      </c>
      <c r="G794" s="1" t="s">
        <v>14457</v>
      </c>
      <c r="H794" s="1" t="s">
        <v>14458</v>
      </c>
      <c r="I794" s="1" t="s">
        <v>14459</v>
      </c>
      <c r="J794" s="1">
        <v>7039966448</v>
      </c>
      <c r="K794" s="1" t="s">
        <v>79</v>
      </c>
      <c r="L794" s="1" t="s">
        <v>14460</v>
      </c>
      <c r="M794" s="1" t="s">
        <v>81</v>
      </c>
      <c r="N794" s="1" t="s">
        <v>2008</v>
      </c>
      <c r="O794" s="1"/>
      <c r="P794" s="1" t="s">
        <v>1766</v>
      </c>
      <c r="Q794" s="1" t="s">
        <v>14461</v>
      </c>
      <c r="R794" s="1" t="s">
        <v>14462</v>
      </c>
      <c r="S794" s="1">
        <v>8805022278</v>
      </c>
      <c r="T794" s="1" t="s">
        <v>14408</v>
      </c>
      <c r="U794" s="1" t="s">
        <v>14463</v>
      </c>
      <c r="V794" s="1">
        <v>7045780444</v>
      </c>
      <c r="W794" s="1" t="s">
        <v>14464</v>
      </c>
      <c r="X794" s="1" t="s">
        <v>14465</v>
      </c>
      <c r="Y794" s="1" t="s">
        <v>995</v>
      </c>
      <c r="Z794" s="1" t="s">
        <v>92</v>
      </c>
      <c r="AA794" s="1" t="s">
        <v>14465</v>
      </c>
      <c r="AB794" s="1" t="s">
        <v>995</v>
      </c>
      <c r="AC794" s="1" t="s">
        <v>92</v>
      </c>
      <c r="AD794" s="1">
        <v>7.16</v>
      </c>
      <c r="AE794" s="1" t="s">
        <v>93</v>
      </c>
      <c r="AF794" s="1" t="s">
        <v>14466</v>
      </c>
      <c r="AG794" s="1" t="s">
        <v>5086</v>
      </c>
      <c r="AH794" s="1" t="s">
        <v>503</v>
      </c>
      <c r="AI794" s="1" t="s">
        <v>527</v>
      </c>
      <c r="AJ794" s="1">
        <v>82.8</v>
      </c>
      <c r="AK794" s="1"/>
      <c r="AL794" s="1" t="s">
        <v>14467</v>
      </c>
      <c r="AM794" s="1" t="s">
        <v>5086</v>
      </c>
      <c r="AN794" s="1" t="s">
        <v>165</v>
      </c>
      <c r="AO794" s="1" t="s">
        <v>166</v>
      </c>
      <c r="AP794" s="1">
        <v>57.23</v>
      </c>
      <c r="AQ794" s="1"/>
      <c r="AR794" s="1"/>
      <c r="AS794" s="1"/>
      <c r="AT794" s="1"/>
      <c r="AU794" s="1"/>
      <c r="AV794" s="1"/>
      <c r="AW794" s="1"/>
      <c r="AX794" s="1" t="s">
        <v>1024</v>
      </c>
      <c r="AY794" s="1" t="s">
        <v>14468</v>
      </c>
      <c r="AZ794" s="1" t="s">
        <v>636</v>
      </c>
      <c r="BA794" s="1" t="s">
        <v>682</v>
      </c>
      <c r="BB794" s="1">
        <v>67</v>
      </c>
      <c r="BC794" s="1">
        <v>7.64</v>
      </c>
      <c r="BD794" s="1"/>
      <c r="BE794" s="1"/>
      <c r="BF794" s="1"/>
      <c r="BG794" s="1"/>
      <c r="BH794" s="1"/>
      <c r="BI794" s="1"/>
      <c r="BJ794" s="1" t="s">
        <v>364</v>
      </c>
      <c r="BK794" s="1"/>
      <c r="BL794" s="1"/>
      <c r="BM794" s="1" t="s">
        <v>14469</v>
      </c>
      <c r="BN794" s="1">
        <v>30</v>
      </c>
      <c r="BO794" s="1" t="s">
        <v>14470</v>
      </c>
      <c r="BP794" s="1" t="str">
        <f>HYPERLINK("https://nconnect.nicmar.ac.in/storage/profile/ProfilePhoto_P25702003_496738.jpg","Download")</f>
        <v>0</v>
      </c>
      <c r="BQ794" s="3"/>
      <c r="BR794" s="3"/>
    </row>
    <row r="795" spans="1:70">
      <c r="A795" s="1" t="s">
        <v>441</v>
      </c>
      <c r="B795" s="1" t="s">
        <v>1269</v>
      </c>
      <c r="C795" s="1" t="s">
        <v>14471</v>
      </c>
      <c r="D795" s="1" t="s">
        <v>14472</v>
      </c>
      <c r="E795" s="1"/>
      <c r="F795" s="1" t="s">
        <v>14473</v>
      </c>
      <c r="G795" s="1" t="s">
        <v>14474</v>
      </c>
      <c r="H795" s="1" t="s">
        <v>14475</v>
      </c>
      <c r="I795" s="1" t="s">
        <v>14476</v>
      </c>
      <c r="J795" s="1">
        <v>8999352941</v>
      </c>
      <c r="K795" s="1" t="s">
        <v>79</v>
      </c>
      <c r="L795" s="1" t="s">
        <v>5762</v>
      </c>
      <c r="M795" s="1" t="s">
        <v>81</v>
      </c>
      <c r="N795" s="1" t="s">
        <v>14477</v>
      </c>
      <c r="O795" s="1"/>
      <c r="P795" s="1" t="s">
        <v>1323</v>
      </c>
      <c r="Q795" s="1" t="s">
        <v>14478</v>
      </c>
      <c r="R795" s="1" t="s">
        <v>14479</v>
      </c>
      <c r="S795" s="1">
        <v>9822134050</v>
      </c>
      <c r="T795" s="1" t="s">
        <v>4471</v>
      </c>
      <c r="U795" s="1" t="s">
        <v>14480</v>
      </c>
      <c r="V795" s="1">
        <v>9096876414</v>
      </c>
      <c r="W795" s="1" t="s">
        <v>156</v>
      </c>
      <c r="X795" s="1" t="s">
        <v>14481</v>
      </c>
      <c r="Y795" s="1" t="s">
        <v>7238</v>
      </c>
      <c r="Z795" s="1" t="s">
        <v>500</v>
      </c>
      <c r="AA795" s="1" t="s">
        <v>14481</v>
      </c>
      <c r="AB795" s="1" t="s">
        <v>7238</v>
      </c>
      <c r="AC795" s="1" t="s">
        <v>500</v>
      </c>
      <c r="AD795" s="1">
        <v>8.77</v>
      </c>
      <c r="AE795" s="1" t="s">
        <v>93</v>
      </c>
      <c r="AF795" s="1" t="s">
        <v>14482</v>
      </c>
      <c r="AG795" s="1" t="s">
        <v>14483</v>
      </c>
      <c r="AH795" s="1" t="s">
        <v>383</v>
      </c>
      <c r="AI795" s="1" t="s">
        <v>101</v>
      </c>
      <c r="AJ795" s="1">
        <v>73</v>
      </c>
      <c r="AK795" s="1"/>
      <c r="AL795" s="1" t="s">
        <v>14484</v>
      </c>
      <c r="AM795" s="1" t="s">
        <v>14483</v>
      </c>
      <c r="AN795" s="1" t="s">
        <v>310</v>
      </c>
      <c r="AO795" s="1" t="s">
        <v>699</v>
      </c>
      <c r="AP795" s="1">
        <v>54.33</v>
      </c>
      <c r="AQ795" s="1"/>
      <c r="AR795" s="1"/>
      <c r="AS795" s="1"/>
      <c r="AT795" s="1"/>
      <c r="AU795" s="1"/>
      <c r="AV795" s="1"/>
      <c r="AW795" s="1"/>
      <c r="AX795" s="1" t="s">
        <v>14485</v>
      </c>
      <c r="AY795" s="1" t="s">
        <v>14485</v>
      </c>
      <c r="AZ795" s="1" t="s">
        <v>681</v>
      </c>
      <c r="BA795" s="1" t="s">
        <v>202</v>
      </c>
      <c r="BB795" s="1">
        <v>67.6</v>
      </c>
      <c r="BC795" s="1">
        <v>7.26</v>
      </c>
      <c r="BD795" s="1"/>
      <c r="BE795" s="1"/>
      <c r="BF795" s="1"/>
      <c r="BG795" s="1"/>
      <c r="BH795" s="1"/>
      <c r="BI795" s="1"/>
      <c r="BJ795" s="1" t="s">
        <v>14486</v>
      </c>
      <c r="BK795" s="1" t="s">
        <v>14487</v>
      </c>
      <c r="BL795" s="1" t="s">
        <v>1289</v>
      </c>
      <c r="BM795" s="1" t="s">
        <v>14488</v>
      </c>
      <c r="BN795" s="1">
        <v>15</v>
      </c>
      <c r="BO795" s="1" t="s">
        <v>14489</v>
      </c>
      <c r="BP795" s="1" t="str">
        <f>HYPERLINK("https://nconnect.nicmar.ac.in/storage/profile/ProfilePhoto_P25702005_782691.jpg","Download")</f>
        <v>0</v>
      </c>
      <c r="BQ795" s="3"/>
      <c r="BR795" s="3"/>
    </row>
    <row r="796" spans="1:70">
      <c r="A796" s="1" t="s">
        <v>441</v>
      </c>
      <c r="B796" s="1" t="s">
        <v>1269</v>
      </c>
      <c r="C796" s="1" t="s">
        <v>14490</v>
      </c>
      <c r="D796" s="1" t="s">
        <v>7488</v>
      </c>
      <c r="E796" s="1"/>
      <c r="F796" s="1" t="s">
        <v>5668</v>
      </c>
      <c r="G796" s="1" t="s">
        <v>14491</v>
      </c>
      <c r="H796" s="1" t="s">
        <v>14492</v>
      </c>
      <c r="I796" s="1" t="s">
        <v>14493</v>
      </c>
      <c r="J796" s="1">
        <v>8637370613</v>
      </c>
      <c r="K796" s="1" t="s">
        <v>148</v>
      </c>
      <c r="L796" s="1" t="s">
        <v>14494</v>
      </c>
      <c r="M796" s="1" t="s">
        <v>81</v>
      </c>
      <c r="N796" s="1" t="s">
        <v>14495</v>
      </c>
      <c r="O796" s="1"/>
      <c r="P796" s="1" t="s">
        <v>1323</v>
      </c>
      <c r="Q796" s="1" t="s">
        <v>14496</v>
      </c>
      <c r="R796" s="1" t="s">
        <v>14497</v>
      </c>
      <c r="S796" s="1">
        <v>9064080443</v>
      </c>
      <c r="T796" s="1" t="s">
        <v>216</v>
      </c>
      <c r="U796" s="1" t="s">
        <v>14498</v>
      </c>
      <c r="V796" s="1">
        <v>8900644317</v>
      </c>
      <c r="W796" s="1" t="s">
        <v>14499</v>
      </c>
      <c r="X796" s="1" t="s">
        <v>14500</v>
      </c>
      <c r="Y796" s="1" t="s">
        <v>4078</v>
      </c>
      <c r="Z796" s="1" t="s">
        <v>783</v>
      </c>
      <c r="AA796" s="1" t="s">
        <v>14501</v>
      </c>
      <c r="AB796" s="1" t="s">
        <v>2988</v>
      </c>
      <c r="AC796" s="1" t="s">
        <v>846</v>
      </c>
      <c r="AD796" s="1" t="s">
        <v>93</v>
      </c>
      <c r="AE796" s="1" t="s">
        <v>93</v>
      </c>
      <c r="AF796" s="1" t="s">
        <v>14502</v>
      </c>
      <c r="AG796" s="1" t="s">
        <v>307</v>
      </c>
      <c r="AH796" s="1" t="s">
        <v>477</v>
      </c>
      <c r="AI796" s="1" t="s">
        <v>131</v>
      </c>
      <c r="AJ796" s="1">
        <v>83.6</v>
      </c>
      <c r="AK796" s="1">
        <v>8.8</v>
      </c>
      <c r="AL796" s="1" t="s">
        <v>14503</v>
      </c>
      <c r="AM796" s="1" t="s">
        <v>307</v>
      </c>
      <c r="AN796" s="1" t="s">
        <v>678</v>
      </c>
      <c r="AO796" s="1" t="s">
        <v>166</v>
      </c>
      <c r="AP796" s="1">
        <v>70.8</v>
      </c>
      <c r="AQ796" s="1"/>
      <c r="AR796" s="1"/>
      <c r="AS796" s="1"/>
      <c r="AT796" s="1"/>
      <c r="AU796" s="1"/>
      <c r="AV796" s="1"/>
      <c r="AW796" s="1"/>
      <c r="AX796" s="1" t="s">
        <v>5842</v>
      </c>
      <c r="AY796" s="1" t="s">
        <v>14504</v>
      </c>
      <c r="AZ796" s="1" t="s">
        <v>1307</v>
      </c>
      <c r="BA796" s="1" t="s">
        <v>1003</v>
      </c>
      <c r="BB796" s="1">
        <v>84.4</v>
      </c>
      <c r="BC796" s="1">
        <v>8.44</v>
      </c>
      <c r="BD796" s="1"/>
      <c r="BE796" s="1"/>
      <c r="BF796" s="1"/>
      <c r="BG796" s="1"/>
      <c r="BH796" s="1"/>
      <c r="BI796" s="1"/>
      <c r="BJ796" s="1" t="s">
        <v>14505</v>
      </c>
      <c r="BK796" s="1"/>
      <c r="BL796" s="1"/>
      <c r="BM796" s="1"/>
      <c r="BN796" s="1"/>
      <c r="BO796" s="1" t="s">
        <v>14506</v>
      </c>
      <c r="BP796" s="1" t="str">
        <f>HYPERLINK("https://nconnect.nicmar.ac.in/storage/profile/ProfilePhoto_P25702006_129674.jpg","Download")</f>
        <v>0</v>
      </c>
      <c r="BQ796" s="3"/>
      <c r="BR796" s="3"/>
    </row>
    <row r="797" spans="1:70">
      <c r="A797" s="1" t="s">
        <v>441</v>
      </c>
      <c r="B797" s="1" t="s">
        <v>1269</v>
      </c>
      <c r="C797" s="1" t="s">
        <v>14507</v>
      </c>
      <c r="D797" s="1" t="s">
        <v>10623</v>
      </c>
      <c r="E797" s="1"/>
      <c r="F797" s="1" t="s">
        <v>3031</v>
      </c>
      <c r="G797" s="1" t="s">
        <v>14508</v>
      </c>
      <c r="H797" s="1" t="s">
        <v>14509</v>
      </c>
      <c r="I797" s="1" t="s">
        <v>14510</v>
      </c>
      <c r="J797" s="1">
        <v>8789890323</v>
      </c>
      <c r="K797" s="1" t="s">
        <v>148</v>
      </c>
      <c r="L797" s="1" t="s">
        <v>14511</v>
      </c>
      <c r="M797" s="1" t="s">
        <v>81</v>
      </c>
      <c r="N797" s="1" t="s">
        <v>241</v>
      </c>
      <c r="O797" s="1"/>
      <c r="P797" s="1" t="s">
        <v>1278</v>
      </c>
      <c r="Q797" s="1" t="s">
        <v>14512</v>
      </c>
      <c r="R797" s="1" t="s">
        <v>14513</v>
      </c>
      <c r="S797" s="1">
        <v>9431305005</v>
      </c>
      <c r="T797" s="1" t="s">
        <v>496</v>
      </c>
      <c r="U797" s="1" t="s">
        <v>14514</v>
      </c>
      <c r="V797" s="1">
        <v>9439947894</v>
      </c>
      <c r="W797" s="1" t="s">
        <v>89</v>
      </c>
      <c r="X797" s="1" t="s">
        <v>14515</v>
      </c>
      <c r="Y797" s="1" t="s">
        <v>14516</v>
      </c>
      <c r="Z797" s="1" t="s">
        <v>3765</v>
      </c>
      <c r="AA797" s="1" t="s">
        <v>14515</v>
      </c>
      <c r="AB797" s="1" t="s">
        <v>14516</v>
      </c>
      <c r="AC797" s="1" t="s">
        <v>3765</v>
      </c>
      <c r="AD797" s="1">
        <v>9.5</v>
      </c>
      <c r="AE797" s="1" t="s">
        <v>93</v>
      </c>
      <c r="AF797" s="1" t="s">
        <v>14517</v>
      </c>
      <c r="AG797" s="1" t="s">
        <v>14518</v>
      </c>
      <c r="AH797" s="1" t="s">
        <v>477</v>
      </c>
      <c r="AI797" s="1" t="s">
        <v>131</v>
      </c>
      <c r="AJ797" s="1">
        <v>89</v>
      </c>
      <c r="AK797" s="1"/>
      <c r="AL797" s="1" t="s">
        <v>14517</v>
      </c>
      <c r="AM797" s="1" t="s">
        <v>14519</v>
      </c>
      <c r="AN797" s="1" t="s">
        <v>279</v>
      </c>
      <c r="AO797" s="1" t="s">
        <v>479</v>
      </c>
      <c r="AP797" s="1">
        <v>81.17</v>
      </c>
      <c r="AQ797" s="1"/>
      <c r="AR797" s="1"/>
      <c r="AS797" s="1"/>
      <c r="AT797" s="1"/>
      <c r="AU797" s="1"/>
      <c r="AV797" s="1"/>
      <c r="AW797" s="1"/>
      <c r="AX797" s="1" t="s">
        <v>14520</v>
      </c>
      <c r="AY797" s="1" t="s">
        <v>14520</v>
      </c>
      <c r="AZ797" s="1" t="s">
        <v>383</v>
      </c>
      <c r="BA797" s="1" t="s">
        <v>284</v>
      </c>
      <c r="BB797" s="1">
        <v>79.3</v>
      </c>
      <c r="BC797" s="1">
        <v>7.93</v>
      </c>
      <c r="BD797" s="1"/>
      <c r="BE797" s="1"/>
      <c r="BF797" s="1"/>
      <c r="BG797" s="1"/>
      <c r="BH797" s="1"/>
      <c r="BI797" s="1"/>
      <c r="BJ797" s="1" t="s">
        <v>14521</v>
      </c>
      <c r="BK797" s="1" t="s">
        <v>14522</v>
      </c>
      <c r="BL797" s="1" t="s">
        <v>9730</v>
      </c>
      <c r="BM797" s="1" t="s">
        <v>14523</v>
      </c>
      <c r="BN797" s="1">
        <v>21</v>
      </c>
      <c r="BO797" s="1" t="s">
        <v>14524</v>
      </c>
      <c r="BP797" s="1" t="str">
        <f>HYPERLINK("https://nconnect.nicmar.ac.in/storage/profile/ProfilePhoto_P25702007_643529.jpg","Download")</f>
        <v>0</v>
      </c>
      <c r="BQ797" s="3"/>
      <c r="BR797" s="3"/>
    </row>
    <row r="798" spans="1:70">
      <c r="A798" s="1" t="s">
        <v>441</v>
      </c>
      <c r="B798" s="1" t="s">
        <v>1269</v>
      </c>
      <c r="C798" s="1" t="s">
        <v>14525</v>
      </c>
      <c r="D798" s="1" t="s">
        <v>9036</v>
      </c>
      <c r="E798" s="1"/>
      <c r="F798" s="1" t="s">
        <v>14526</v>
      </c>
      <c r="G798" s="1" t="s">
        <v>14527</v>
      </c>
      <c r="H798" s="1" t="s">
        <v>14528</v>
      </c>
      <c r="I798" s="1" t="s">
        <v>14529</v>
      </c>
      <c r="J798" s="1">
        <v>8105266479</v>
      </c>
      <c r="K798" s="1" t="s">
        <v>79</v>
      </c>
      <c r="L798" s="1" t="s">
        <v>3091</v>
      </c>
      <c r="M798" s="1" t="s">
        <v>81</v>
      </c>
      <c r="N798" s="1" t="s">
        <v>11597</v>
      </c>
      <c r="O798" s="1"/>
      <c r="P798" s="1" t="s">
        <v>1766</v>
      </c>
      <c r="Q798" s="1" t="s">
        <v>14530</v>
      </c>
      <c r="R798" s="1" t="s">
        <v>14531</v>
      </c>
      <c r="S798" s="1">
        <v>7888399160</v>
      </c>
      <c r="T798" s="1" t="s">
        <v>14532</v>
      </c>
      <c r="U798" s="1" t="s">
        <v>14533</v>
      </c>
      <c r="V798" s="1">
        <v>9611261776</v>
      </c>
      <c r="W798" s="1" t="s">
        <v>122</v>
      </c>
      <c r="X798" s="1" t="s">
        <v>14534</v>
      </c>
      <c r="Y798" s="1" t="s">
        <v>1083</v>
      </c>
      <c r="Z798" s="1" t="s">
        <v>1084</v>
      </c>
      <c r="AA798" s="1" t="s">
        <v>14534</v>
      </c>
      <c r="AB798" s="1" t="s">
        <v>1083</v>
      </c>
      <c r="AC798" s="1" t="s">
        <v>1084</v>
      </c>
      <c r="AD798" s="1">
        <v>8.32</v>
      </c>
      <c r="AE798" s="1" t="s">
        <v>93</v>
      </c>
      <c r="AF798" s="1" t="s">
        <v>14535</v>
      </c>
      <c r="AG798" s="1" t="s">
        <v>14536</v>
      </c>
      <c r="AH798" s="1" t="s">
        <v>162</v>
      </c>
      <c r="AI798" s="1" t="s">
        <v>165</v>
      </c>
      <c r="AJ798" s="1">
        <v>91.2</v>
      </c>
      <c r="AK798" s="1">
        <v>9.6</v>
      </c>
      <c r="AL798" s="1" t="s">
        <v>14537</v>
      </c>
      <c r="AM798" s="1" t="s">
        <v>2056</v>
      </c>
      <c r="AN798" s="1" t="s">
        <v>101</v>
      </c>
      <c r="AO798" s="1" t="s">
        <v>433</v>
      </c>
      <c r="AP798" s="1">
        <v>64.16</v>
      </c>
      <c r="AQ798" s="1"/>
      <c r="AR798" s="1"/>
      <c r="AS798" s="1"/>
      <c r="AT798" s="1"/>
      <c r="AU798" s="1"/>
      <c r="AV798" s="1"/>
      <c r="AW798" s="1"/>
      <c r="AX798" s="1" t="s">
        <v>14538</v>
      </c>
      <c r="AY798" s="1" t="s">
        <v>14539</v>
      </c>
      <c r="AZ798" s="1" t="s">
        <v>310</v>
      </c>
      <c r="BA798" s="1" t="s">
        <v>2630</v>
      </c>
      <c r="BB798" s="1">
        <v>72.5</v>
      </c>
      <c r="BC798" s="1">
        <v>7.25</v>
      </c>
      <c r="BD798" s="1"/>
      <c r="BE798" s="1"/>
      <c r="BF798" s="1"/>
      <c r="BG798" s="1"/>
      <c r="BH798" s="1"/>
      <c r="BI798" s="1"/>
      <c r="BJ798" s="1" t="s">
        <v>14540</v>
      </c>
      <c r="BK798" s="1"/>
      <c r="BL798" s="1"/>
      <c r="BM798" s="1"/>
      <c r="BN798" s="1"/>
      <c r="BO798" s="1"/>
      <c r="BP798" s="1" t="str">
        <f>HYPERLINK("https://nconnect.nicmar.ac.in/storage/profile/ProfilePhoto_P25702008_452319.jpg","Download")</f>
        <v>0</v>
      </c>
      <c r="BQ798" s="3"/>
      <c r="BR798" s="3"/>
    </row>
    <row r="799" spans="1:70">
      <c r="A799" s="1" t="s">
        <v>441</v>
      </c>
      <c r="B799" s="1" t="s">
        <v>1269</v>
      </c>
      <c r="C799" s="1" t="s">
        <v>14541</v>
      </c>
      <c r="D799" s="1" t="s">
        <v>4143</v>
      </c>
      <c r="E799" s="1" t="s">
        <v>14542</v>
      </c>
      <c r="F799" s="1" t="s">
        <v>14543</v>
      </c>
      <c r="G799" s="1" t="s">
        <v>14544</v>
      </c>
      <c r="H799" s="1" t="s">
        <v>14545</v>
      </c>
      <c r="I799" s="1" t="s">
        <v>14546</v>
      </c>
      <c r="J799" s="1">
        <v>9892727082</v>
      </c>
      <c r="K799" s="1" t="s">
        <v>79</v>
      </c>
      <c r="L799" s="1" t="s">
        <v>4964</v>
      </c>
      <c r="M799" s="1" t="s">
        <v>81</v>
      </c>
      <c r="N799" s="1" t="s">
        <v>1765</v>
      </c>
      <c r="O799" s="1"/>
      <c r="P799" s="1" t="s">
        <v>1278</v>
      </c>
      <c r="Q799" s="1" t="s">
        <v>14547</v>
      </c>
      <c r="R799" s="1" t="s">
        <v>14548</v>
      </c>
      <c r="S799" s="1">
        <v>9757303741</v>
      </c>
      <c r="T799" s="1" t="s">
        <v>14549</v>
      </c>
      <c r="U799" s="1" t="s">
        <v>14550</v>
      </c>
      <c r="V799" s="1">
        <v>8652423781</v>
      </c>
      <c r="W799" s="1" t="s">
        <v>651</v>
      </c>
      <c r="X799" s="1" t="s">
        <v>14551</v>
      </c>
      <c r="Y799" s="1" t="s">
        <v>995</v>
      </c>
      <c r="Z799" s="1" t="s">
        <v>92</v>
      </c>
      <c r="AA799" s="1" t="s">
        <v>14551</v>
      </c>
      <c r="AB799" s="1" t="s">
        <v>995</v>
      </c>
      <c r="AC799" s="1" t="s">
        <v>92</v>
      </c>
      <c r="AD799" s="1">
        <v>8.08</v>
      </c>
      <c r="AE799" s="1" t="s">
        <v>93</v>
      </c>
      <c r="AF799" s="1" t="s">
        <v>14552</v>
      </c>
      <c r="AG799" s="1" t="s">
        <v>476</v>
      </c>
      <c r="AH799" s="1" t="s">
        <v>279</v>
      </c>
      <c r="AI799" s="1" t="s">
        <v>195</v>
      </c>
      <c r="AJ799" s="1">
        <v>72</v>
      </c>
      <c r="AK799" s="1">
        <v>0</v>
      </c>
      <c r="AL799" s="1" t="s">
        <v>14553</v>
      </c>
      <c r="AM799" s="1" t="s">
        <v>476</v>
      </c>
      <c r="AN799" s="1" t="s">
        <v>101</v>
      </c>
      <c r="AO799" s="1" t="s">
        <v>308</v>
      </c>
      <c r="AP799" s="1">
        <v>56.15</v>
      </c>
      <c r="AQ799" s="1">
        <v>0</v>
      </c>
      <c r="AR799" s="1"/>
      <c r="AS799" s="1"/>
      <c r="AT799" s="1"/>
      <c r="AU799" s="1"/>
      <c r="AV799" s="1"/>
      <c r="AW799" s="1"/>
      <c r="AX799" s="1" t="s">
        <v>253</v>
      </c>
      <c r="AY799" s="1" t="s">
        <v>14554</v>
      </c>
      <c r="AZ799" s="1" t="s">
        <v>201</v>
      </c>
      <c r="BA799" s="1" t="s">
        <v>174</v>
      </c>
      <c r="BB799" s="1">
        <v>74.63</v>
      </c>
      <c r="BC799" s="1">
        <v>8.35</v>
      </c>
      <c r="BD799" s="1"/>
      <c r="BE799" s="1"/>
      <c r="BF799" s="1"/>
      <c r="BG799" s="1"/>
      <c r="BH799" s="1"/>
      <c r="BI799" s="1"/>
      <c r="BJ799" s="1" t="s">
        <v>14555</v>
      </c>
      <c r="BK799" s="1"/>
      <c r="BL799" s="1"/>
      <c r="BM799" s="1" t="s">
        <v>14556</v>
      </c>
      <c r="BN799" s="1">
        <v>15</v>
      </c>
      <c r="BO799" s="1" t="s">
        <v>14557</v>
      </c>
      <c r="BP799" s="1" t="str">
        <f>HYPERLINK("https://nconnect.nicmar.ac.in/storage/profile/ProfilePhoto_P25702009_718354.jpg","Download")</f>
        <v>0</v>
      </c>
      <c r="BQ799" s="3"/>
      <c r="BR799" s="3"/>
    </row>
    <row r="800" spans="1:70">
      <c r="A800" s="1" t="s">
        <v>441</v>
      </c>
      <c r="B800" s="1" t="s">
        <v>1269</v>
      </c>
      <c r="C800" s="1" t="s">
        <v>14558</v>
      </c>
      <c r="D800" s="1" t="s">
        <v>112</v>
      </c>
      <c r="E800" s="1" t="s">
        <v>11942</v>
      </c>
      <c r="F800" s="1" t="s">
        <v>6433</v>
      </c>
      <c r="G800" s="1" t="s">
        <v>14559</v>
      </c>
      <c r="H800" s="1" t="s">
        <v>14560</v>
      </c>
      <c r="I800" s="1" t="s">
        <v>14561</v>
      </c>
      <c r="J800" s="1">
        <v>7043115350</v>
      </c>
      <c r="K800" s="1" t="s">
        <v>79</v>
      </c>
      <c r="L800" s="1" t="s">
        <v>1297</v>
      </c>
      <c r="M800" s="1" t="s">
        <v>81</v>
      </c>
      <c r="N800" s="1" t="s">
        <v>14562</v>
      </c>
      <c r="O800" s="1"/>
      <c r="P800" s="1" t="s">
        <v>1323</v>
      </c>
      <c r="Q800" s="1" t="s">
        <v>14563</v>
      </c>
      <c r="R800" s="1" t="s">
        <v>14564</v>
      </c>
      <c r="S800" s="1">
        <v>9725117523</v>
      </c>
      <c r="T800" s="1" t="s">
        <v>763</v>
      </c>
      <c r="U800" s="1" t="s">
        <v>14565</v>
      </c>
      <c r="V800" s="1">
        <v>9998140784</v>
      </c>
      <c r="W800" s="1" t="s">
        <v>763</v>
      </c>
      <c r="X800" s="1" t="s">
        <v>14566</v>
      </c>
      <c r="Y800" s="1" t="s">
        <v>3680</v>
      </c>
      <c r="Z800" s="1" t="s">
        <v>1468</v>
      </c>
      <c r="AA800" s="1" t="s">
        <v>14566</v>
      </c>
      <c r="AB800" s="1" t="s">
        <v>3680</v>
      </c>
      <c r="AC800" s="1" t="s">
        <v>1468</v>
      </c>
      <c r="AD800" s="1">
        <v>7.03</v>
      </c>
      <c r="AE800" s="1" t="s">
        <v>93</v>
      </c>
      <c r="AF800" s="1" t="s">
        <v>14567</v>
      </c>
      <c r="AG800" s="1" t="s">
        <v>9375</v>
      </c>
      <c r="AH800" s="1" t="s">
        <v>101</v>
      </c>
      <c r="AI800" s="1" t="s">
        <v>409</v>
      </c>
      <c r="AJ800" s="1">
        <v>59.83</v>
      </c>
      <c r="AK800" s="1">
        <v>0</v>
      </c>
      <c r="AL800" s="1" t="s">
        <v>14568</v>
      </c>
      <c r="AM800" s="1" t="s">
        <v>10695</v>
      </c>
      <c r="AN800" s="1" t="s">
        <v>433</v>
      </c>
      <c r="AO800" s="1" t="s">
        <v>506</v>
      </c>
      <c r="AP800" s="1">
        <v>56.4</v>
      </c>
      <c r="AQ800" s="1">
        <v>0</v>
      </c>
      <c r="AR800" s="1"/>
      <c r="AS800" s="1"/>
      <c r="AT800" s="1"/>
      <c r="AU800" s="1"/>
      <c r="AV800" s="1"/>
      <c r="AW800" s="1"/>
      <c r="AX800" s="1" t="s">
        <v>14569</v>
      </c>
      <c r="AY800" s="1" t="s">
        <v>14569</v>
      </c>
      <c r="AZ800" s="1" t="s">
        <v>1051</v>
      </c>
      <c r="BA800" s="1" t="s">
        <v>3158</v>
      </c>
      <c r="BB800" s="1">
        <v>55.8</v>
      </c>
      <c r="BC800" s="1">
        <v>5.58</v>
      </c>
      <c r="BD800" s="1"/>
      <c r="BE800" s="1"/>
      <c r="BF800" s="1"/>
      <c r="BG800" s="1"/>
      <c r="BH800" s="1"/>
      <c r="BI800" s="1"/>
      <c r="BJ800" s="1" t="s">
        <v>14570</v>
      </c>
      <c r="BK800" s="1"/>
      <c r="BL800" s="1"/>
      <c r="BM800" s="1" t="s">
        <v>14571</v>
      </c>
      <c r="BN800" s="1">
        <v>8</v>
      </c>
      <c r="BO800" s="1"/>
      <c r="BP800" s="1" t="str">
        <f>HYPERLINK("https://nconnect.nicmar.ac.in/storage/profile/ProfilePhoto_P25702010_942758.jpg","Download")</f>
        <v>0</v>
      </c>
      <c r="BQ800" s="3"/>
      <c r="BR800" s="3"/>
    </row>
    <row r="801" spans="1:70">
      <c r="A801" s="1" t="s">
        <v>441</v>
      </c>
      <c r="B801" s="1" t="s">
        <v>1269</v>
      </c>
      <c r="C801" s="1" t="s">
        <v>14572</v>
      </c>
      <c r="D801" s="1" t="s">
        <v>4014</v>
      </c>
      <c r="E801" s="1"/>
      <c r="F801" s="1" t="s">
        <v>14573</v>
      </c>
      <c r="G801" s="1" t="s">
        <v>14574</v>
      </c>
      <c r="H801" s="1" t="s">
        <v>14575</v>
      </c>
      <c r="I801" s="1" t="s">
        <v>14576</v>
      </c>
      <c r="J801" s="1">
        <v>8637816940</v>
      </c>
      <c r="K801" s="1" t="s">
        <v>148</v>
      </c>
      <c r="L801" s="1" t="s">
        <v>14577</v>
      </c>
      <c r="M801" s="1" t="s">
        <v>81</v>
      </c>
      <c r="N801" s="1" t="s">
        <v>14578</v>
      </c>
      <c r="O801" s="1"/>
      <c r="P801" s="1" t="s">
        <v>1298</v>
      </c>
      <c r="Q801" s="1" t="s">
        <v>14579</v>
      </c>
      <c r="R801" s="1" t="s">
        <v>14580</v>
      </c>
      <c r="S801" s="1">
        <v>9932067540</v>
      </c>
      <c r="T801" s="1" t="s">
        <v>14581</v>
      </c>
      <c r="U801" s="1" t="s">
        <v>14582</v>
      </c>
      <c r="V801" s="1">
        <v>9434496187</v>
      </c>
      <c r="W801" s="1" t="s">
        <v>14583</v>
      </c>
      <c r="X801" s="1" t="s">
        <v>14584</v>
      </c>
      <c r="Y801" s="1" t="s">
        <v>12315</v>
      </c>
      <c r="Z801" s="1" t="s">
        <v>783</v>
      </c>
      <c r="AA801" s="1" t="s">
        <v>14585</v>
      </c>
      <c r="AB801" s="1" t="s">
        <v>14586</v>
      </c>
      <c r="AC801" s="1" t="s">
        <v>783</v>
      </c>
      <c r="AD801" s="1">
        <v>9.47</v>
      </c>
      <c r="AE801" s="1" t="s">
        <v>93</v>
      </c>
      <c r="AF801" s="1" t="s">
        <v>14587</v>
      </c>
      <c r="AG801" s="1" t="s">
        <v>14588</v>
      </c>
      <c r="AH801" s="1" t="s">
        <v>279</v>
      </c>
      <c r="AI801" s="1" t="s">
        <v>479</v>
      </c>
      <c r="AJ801" s="1">
        <v>92.5</v>
      </c>
      <c r="AK801" s="1"/>
      <c r="AL801" s="1" t="s">
        <v>14589</v>
      </c>
      <c r="AM801" s="1" t="s">
        <v>894</v>
      </c>
      <c r="AN801" s="1" t="s">
        <v>1307</v>
      </c>
      <c r="AO801" s="1" t="s">
        <v>308</v>
      </c>
      <c r="AP801" s="1">
        <v>91.16</v>
      </c>
      <c r="AQ801" s="1"/>
      <c r="AR801" s="1"/>
      <c r="AS801" s="1"/>
      <c r="AT801" s="1"/>
      <c r="AU801" s="1"/>
      <c r="AV801" s="1"/>
      <c r="AW801" s="1"/>
      <c r="AX801" s="1" t="s">
        <v>253</v>
      </c>
      <c r="AY801" s="1" t="s">
        <v>14590</v>
      </c>
      <c r="AZ801" s="1" t="s">
        <v>310</v>
      </c>
      <c r="BA801" s="1" t="s">
        <v>413</v>
      </c>
      <c r="BB801" s="1">
        <v>77.12</v>
      </c>
      <c r="BC801" s="1">
        <v>8.8</v>
      </c>
      <c r="BD801" s="1"/>
      <c r="BE801" s="1"/>
      <c r="BF801" s="1"/>
      <c r="BG801" s="1"/>
      <c r="BH801" s="1"/>
      <c r="BI801" s="1"/>
      <c r="BJ801" s="1" t="s">
        <v>14591</v>
      </c>
      <c r="BK801" s="1" t="s">
        <v>14592</v>
      </c>
      <c r="BL801" s="1" t="s">
        <v>287</v>
      </c>
      <c r="BM801" s="1" t="s">
        <v>14593</v>
      </c>
      <c r="BN801" s="1">
        <v>19</v>
      </c>
      <c r="BO801" s="1" t="s">
        <v>14594</v>
      </c>
      <c r="BP801" s="1" t="str">
        <f>HYPERLINK("https://nconnect.nicmar.ac.in/storage/profile/ProfilePhoto_P25702012_195362.jpg","Download")</f>
        <v>0</v>
      </c>
      <c r="BQ801" s="3"/>
      <c r="BR801" s="3"/>
    </row>
    <row r="802" spans="1:70">
      <c r="A802" s="1" t="s">
        <v>441</v>
      </c>
      <c r="B802" s="1" t="s">
        <v>1269</v>
      </c>
      <c r="C802" s="1" t="s">
        <v>14595</v>
      </c>
      <c r="D802" s="1" t="s">
        <v>1981</v>
      </c>
      <c r="E802" s="1"/>
      <c r="F802" s="1" t="s">
        <v>14596</v>
      </c>
      <c r="G802" s="1" t="s">
        <v>14597</v>
      </c>
      <c r="H802" s="1" t="s">
        <v>14598</v>
      </c>
      <c r="I802" s="1" t="s">
        <v>14599</v>
      </c>
      <c r="J802" s="1">
        <v>8019470537</v>
      </c>
      <c r="K802" s="1" t="s">
        <v>79</v>
      </c>
      <c r="L802" s="1" t="s">
        <v>7589</v>
      </c>
      <c r="M802" s="1" t="s">
        <v>81</v>
      </c>
      <c r="N802" s="1" t="s">
        <v>5040</v>
      </c>
      <c r="O802" s="1"/>
      <c r="P802" s="1" t="s">
        <v>1278</v>
      </c>
      <c r="Q802" s="1" t="s">
        <v>14600</v>
      </c>
      <c r="R802" s="1" t="s">
        <v>14601</v>
      </c>
      <c r="S802" s="1">
        <v>9246524593</v>
      </c>
      <c r="T802" s="1" t="s">
        <v>496</v>
      </c>
      <c r="U802" s="1" t="s">
        <v>14602</v>
      </c>
      <c r="V802" s="1">
        <v>8121146829</v>
      </c>
      <c r="W802" s="1" t="s">
        <v>89</v>
      </c>
      <c r="X802" s="1" t="s">
        <v>14603</v>
      </c>
      <c r="Y802" s="1" t="s">
        <v>608</v>
      </c>
      <c r="Z802" s="1" t="s">
        <v>609</v>
      </c>
      <c r="AA802" s="1" t="s">
        <v>14603</v>
      </c>
      <c r="AB802" s="1" t="s">
        <v>608</v>
      </c>
      <c r="AC802" s="1" t="s">
        <v>609</v>
      </c>
      <c r="AD802" s="1">
        <v>7.32</v>
      </c>
      <c r="AE802" s="1" t="s">
        <v>93</v>
      </c>
      <c r="AF802" s="1" t="s">
        <v>3459</v>
      </c>
      <c r="AG802" s="1" t="s">
        <v>611</v>
      </c>
      <c r="AH802" s="1" t="s">
        <v>733</v>
      </c>
      <c r="AI802" s="1" t="s">
        <v>479</v>
      </c>
      <c r="AJ802" s="1">
        <v>82</v>
      </c>
      <c r="AK802" s="1">
        <v>8.2</v>
      </c>
      <c r="AL802" s="1" t="s">
        <v>2419</v>
      </c>
      <c r="AM802" s="1" t="s">
        <v>7911</v>
      </c>
      <c r="AN802" s="1" t="s">
        <v>383</v>
      </c>
      <c r="AO802" s="1" t="s">
        <v>1065</v>
      </c>
      <c r="AP802" s="1">
        <v>87.3</v>
      </c>
      <c r="AQ802" s="1">
        <v>0</v>
      </c>
      <c r="AR802" s="1"/>
      <c r="AS802" s="1"/>
      <c r="AT802" s="1"/>
      <c r="AU802" s="1"/>
      <c r="AV802" s="1"/>
      <c r="AW802" s="1"/>
      <c r="AX802" s="1" t="s">
        <v>811</v>
      </c>
      <c r="AY802" s="1" t="s">
        <v>14604</v>
      </c>
      <c r="AZ802" s="1" t="s">
        <v>310</v>
      </c>
      <c r="BA802" s="1" t="s">
        <v>481</v>
      </c>
      <c r="BB802" s="1">
        <v>78.8</v>
      </c>
      <c r="BC802" s="1">
        <v>8.38</v>
      </c>
      <c r="BD802" s="1"/>
      <c r="BE802" s="1"/>
      <c r="BF802" s="1"/>
      <c r="BG802" s="1"/>
      <c r="BH802" s="1"/>
      <c r="BI802" s="1"/>
      <c r="BJ802" s="1" t="s">
        <v>4102</v>
      </c>
      <c r="BK802" s="1"/>
      <c r="BL802" s="1"/>
      <c r="BM802" s="1"/>
      <c r="BN802" s="1"/>
      <c r="BO802" s="1" t="s">
        <v>14605</v>
      </c>
      <c r="BP802" s="1" t="str">
        <f>HYPERLINK("https://nconnect.nicmar.ac.in/storage/profile/ProfilePhoto_P25702013_817429.jpg","Download")</f>
        <v>0</v>
      </c>
      <c r="BQ802" s="3"/>
      <c r="BR802" s="3"/>
    </row>
    <row r="803" spans="1:70">
      <c r="A803" s="1" t="s">
        <v>441</v>
      </c>
      <c r="B803" s="1" t="s">
        <v>1269</v>
      </c>
      <c r="C803" s="1" t="s">
        <v>14606</v>
      </c>
      <c r="D803" s="1" t="s">
        <v>5726</v>
      </c>
      <c r="E803" s="1" t="s">
        <v>14607</v>
      </c>
      <c r="F803" s="1" t="s">
        <v>14608</v>
      </c>
      <c r="G803" s="1" t="s">
        <v>14609</v>
      </c>
      <c r="H803" s="1" t="s">
        <v>14610</v>
      </c>
      <c r="I803" s="1" t="s">
        <v>14611</v>
      </c>
      <c r="J803" s="1">
        <v>8307581603</v>
      </c>
      <c r="K803" s="1" t="s">
        <v>148</v>
      </c>
      <c r="L803" s="1" t="s">
        <v>14612</v>
      </c>
      <c r="M803" s="1" t="s">
        <v>81</v>
      </c>
      <c r="N803" s="1" t="s">
        <v>241</v>
      </c>
      <c r="O803" s="1" t="s">
        <v>14613</v>
      </c>
      <c r="P803" s="1" t="s">
        <v>1323</v>
      </c>
      <c r="Q803" s="1" t="s">
        <v>14614</v>
      </c>
      <c r="R803" s="1" t="s">
        <v>14607</v>
      </c>
      <c r="S803" s="1">
        <v>8307581603</v>
      </c>
      <c r="T803" s="1" t="s">
        <v>14615</v>
      </c>
      <c r="U803" s="1" t="s">
        <v>3060</v>
      </c>
      <c r="V803" s="1">
        <v>8550911603</v>
      </c>
      <c r="W803" s="1" t="s">
        <v>273</v>
      </c>
      <c r="X803" s="1" t="s">
        <v>14616</v>
      </c>
      <c r="Y803" s="1" t="s">
        <v>523</v>
      </c>
      <c r="Z803" s="1" t="s">
        <v>92</v>
      </c>
      <c r="AA803" s="1" t="s">
        <v>14616</v>
      </c>
      <c r="AB803" s="1" t="s">
        <v>523</v>
      </c>
      <c r="AC803" s="1" t="s">
        <v>92</v>
      </c>
      <c r="AD803" s="1">
        <v>7.55</v>
      </c>
      <c r="AE803" s="1" t="s">
        <v>93</v>
      </c>
      <c r="AF803" s="1" t="s">
        <v>14617</v>
      </c>
      <c r="AG803" s="1" t="s">
        <v>14618</v>
      </c>
      <c r="AH803" s="1" t="s">
        <v>503</v>
      </c>
      <c r="AI803" s="1" t="s">
        <v>527</v>
      </c>
      <c r="AJ803" s="1">
        <v>85.5</v>
      </c>
      <c r="AK803" s="1">
        <v>9</v>
      </c>
      <c r="AL803" s="1" t="s">
        <v>14619</v>
      </c>
      <c r="AM803" s="1" t="s">
        <v>14620</v>
      </c>
      <c r="AN803" s="1" t="s">
        <v>166</v>
      </c>
      <c r="AO803" s="1" t="s">
        <v>308</v>
      </c>
      <c r="AP803" s="1">
        <v>71.4</v>
      </c>
      <c r="AQ803" s="1"/>
      <c r="AR803" s="1"/>
      <c r="AS803" s="1"/>
      <c r="AT803" s="1"/>
      <c r="AU803" s="1"/>
      <c r="AV803" s="1"/>
      <c r="AW803" s="1"/>
      <c r="AX803" s="1" t="s">
        <v>361</v>
      </c>
      <c r="AY803" s="1" t="s">
        <v>14621</v>
      </c>
      <c r="AZ803" s="1" t="s">
        <v>310</v>
      </c>
      <c r="BA803" s="1" t="s">
        <v>202</v>
      </c>
      <c r="BB803" s="1">
        <v>60.07</v>
      </c>
      <c r="BC803" s="1">
        <v>6.75</v>
      </c>
      <c r="BD803" s="1"/>
      <c r="BE803" s="1"/>
      <c r="BF803" s="1"/>
      <c r="BG803" s="1"/>
      <c r="BH803" s="1"/>
      <c r="BI803" s="1"/>
      <c r="BJ803" s="1" t="s">
        <v>14622</v>
      </c>
      <c r="BK803" s="1" t="s">
        <v>14623</v>
      </c>
      <c r="BL803" s="1" t="s">
        <v>947</v>
      </c>
      <c r="BM803" s="1" t="s">
        <v>14624</v>
      </c>
      <c r="BN803" s="1">
        <v>21</v>
      </c>
      <c r="BO803" s="1"/>
      <c r="BP803" s="1" t="str">
        <f>HYPERLINK("https://nconnect.nicmar.ac.in/storage/profile/ProfilePhoto_P25702014_613248.jpg","Download")</f>
        <v>0</v>
      </c>
      <c r="BQ803" s="3"/>
      <c r="BR803" s="3"/>
    </row>
    <row r="804" spans="1:70">
      <c r="A804" s="1" t="s">
        <v>441</v>
      </c>
      <c r="B804" s="1" t="s">
        <v>1269</v>
      </c>
      <c r="C804" s="1" t="s">
        <v>14625</v>
      </c>
      <c r="D804" s="1" t="s">
        <v>14626</v>
      </c>
      <c r="E804" s="1" t="s">
        <v>1566</v>
      </c>
      <c r="F804" s="1" t="s">
        <v>14627</v>
      </c>
      <c r="G804" s="1" t="s">
        <v>14628</v>
      </c>
      <c r="H804" s="1" t="s">
        <v>14629</v>
      </c>
      <c r="I804" s="1" t="s">
        <v>14630</v>
      </c>
      <c r="J804" s="1">
        <v>9820329908</v>
      </c>
      <c r="K804" s="1" t="s">
        <v>79</v>
      </c>
      <c r="L804" s="1" t="s">
        <v>3091</v>
      </c>
      <c r="M804" s="1" t="s">
        <v>81</v>
      </c>
      <c r="N804" s="1" t="s">
        <v>1765</v>
      </c>
      <c r="O804" s="1"/>
      <c r="P804" s="1" t="s">
        <v>1298</v>
      </c>
      <c r="Q804" s="1" t="s">
        <v>14631</v>
      </c>
      <c r="R804" s="1" t="s">
        <v>14632</v>
      </c>
      <c r="S804" s="1">
        <v>9594949875</v>
      </c>
      <c r="T804" s="1" t="s">
        <v>14633</v>
      </c>
      <c r="U804" s="1" t="s">
        <v>14634</v>
      </c>
      <c r="V804" s="1">
        <v>9594949874</v>
      </c>
      <c r="W804" s="1" t="s">
        <v>14635</v>
      </c>
      <c r="X804" s="1" t="s">
        <v>14636</v>
      </c>
      <c r="Y804" s="1" t="s">
        <v>191</v>
      </c>
      <c r="Z804" s="1" t="s">
        <v>92</v>
      </c>
      <c r="AA804" s="1" t="s">
        <v>14637</v>
      </c>
      <c r="AB804" s="1" t="s">
        <v>1623</v>
      </c>
      <c r="AC804" s="1" t="s">
        <v>92</v>
      </c>
      <c r="AD804" s="1">
        <v>9.53</v>
      </c>
      <c r="AE804" s="1" t="s">
        <v>93</v>
      </c>
      <c r="AF804" s="1" t="s">
        <v>14638</v>
      </c>
      <c r="AG804" s="1" t="s">
        <v>14639</v>
      </c>
      <c r="AH804" s="1" t="s">
        <v>3912</v>
      </c>
      <c r="AI804" s="1" t="s">
        <v>479</v>
      </c>
      <c r="AJ804" s="1">
        <v>82</v>
      </c>
      <c r="AK804" s="1"/>
      <c r="AL804" s="1" t="s">
        <v>14640</v>
      </c>
      <c r="AM804" s="1" t="s">
        <v>5103</v>
      </c>
      <c r="AN804" s="1" t="s">
        <v>225</v>
      </c>
      <c r="AO804" s="1" t="s">
        <v>308</v>
      </c>
      <c r="AP804" s="1">
        <v>78.15</v>
      </c>
      <c r="AQ804" s="1"/>
      <c r="AR804" s="1"/>
      <c r="AS804" s="1"/>
      <c r="AT804" s="1"/>
      <c r="AU804" s="1"/>
      <c r="AV804" s="1"/>
      <c r="AW804" s="1"/>
      <c r="AX804" s="1" t="s">
        <v>1024</v>
      </c>
      <c r="AY804" s="1" t="s">
        <v>14641</v>
      </c>
      <c r="AZ804" s="1" t="s">
        <v>201</v>
      </c>
      <c r="BA804" s="1" t="s">
        <v>413</v>
      </c>
      <c r="BB804" s="1">
        <v>62</v>
      </c>
      <c r="BC804" s="1">
        <v>6.75</v>
      </c>
      <c r="BD804" s="1"/>
      <c r="BE804" s="1"/>
      <c r="BF804" s="1"/>
      <c r="BG804" s="1"/>
      <c r="BH804" s="1"/>
      <c r="BI804" s="1"/>
      <c r="BJ804" s="1" t="s">
        <v>14642</v>
      </c>
      <c r="BK804" s="1" t="s">
        <v>14643</v>
      </c>
      <c r="BL804" s="1" t="s">
        <v>1475</v>
      </c>
      <c r="BM804" s="1" t="s">
        <v>14644</v>
      </c>
      <c r="BN804" s="1">
        <v>17</v>
      </c>
      <c r="BO804" s="1" t="s">
        <v>14645</v>
      </c>
      <c r="BP804" s="1" t="str">
        <f>HYPERLINK("https://nconnect.nicmar.ac.in/storage/profile/ProfilePhoto_P25702015_368254.jpg","Download")</f>
        <v>0</v>
      </c>
      <c r="BQ804" s="3"/>
      <c r="BR804" s="3"/>
    </row>
    <row r="805" spans="1:70">
      <c r="A805" s="1" t="s">
        <v>441</v>
      </c>
      <c r="B805" s="1" t="s">
        <v>1269</v>
      </c>
      <c r="C805" s="1" t="s">
        <v>14646</v>
      </c>
      <c r="D805" s="1" t="s">
        <v>14647</v>
      </c>
      <c r="E805" s="1" t="s">
        <v>14648</v>
      </c>
      <c r="F805" s="1" t="s">
        <v>14649</v>
      </c>
      <c r="G805" s="1" t="s">
        <v>14650</v>
      </c>
      <c r="H805" s="1" t="s">
        <v>14651</v>
      </c>
      <c r="I805" s="1" t="s">
        <v>14652</v>
      </c>
      <c r="J805" s="1">
        <v>7204781163</v>
      </c>
      <c r="K805" s="1" t="s">
        <v>79</v>
      </c>
      <c r="L805" s="1" t="s">
        <v>14653</v>
      </c>
      <c r="M805" s="1" t="s">
        <v>81</v>
      </c>
      <c r="N805" s="1" t="s">
        <v>11898</v>
      </c>
      <c r="O805" s="1"/>
      <c r="P805" s="1" t="s">
        <v>1766</v>
      </c>
      <c r="Q805" s="1" t="s">
        <v>14654</v>
      </c>
      <c r="R805" s="1" t="s">
        <v>14655</v>
      </c>
      <c r="S805" s="1">
        <v>7204781163</v>
      </c>
      <c r="T805" s="1" t="s">
        <v>10420</v>
      </c>
      <c r="U805" s="1" t="s">
        <v>14656</v>
      </c>
      <c r="V805" s="1">
        <v>9901435792</v>
      </c>
      <c r="W805" s="1" t="s">
        <v>122</v>
      </c>
      <c r="X805" s="1" t="s">
        <v>14657</v>
      </c>
      <c r="Y805" s="1" t="s">
        <v>7108</v>
      </c>
      <c r="Z805" s="1" t="s">
        <v>1084</v>
      </c>
      <c r="AA805" s="1" t="s">
        <v>14657</v>
      </c>
      <c r="AB805" s="1" t="s">
        <v>7108</v>
      </c>
      <c r="AC805" s="1" t="s">
        <v>1084</v>
      </c>
      <c r="AD805" s="1">
        <v>7.61</v>
      </c>
      <c r="AE805" s="1" t="s">
        <v>93</v>
      </c>
      <c r="AF805" s="1" t="s">
        <v>14658</v>
      </c>
      <c r="AG805" s="1" t="s">
        <v>14659</v>
      </c>
      <c r="AH805" s="1" t="s">
        <v>165</v>
      </c>
      <c r="AI805" s="1" t="s">
        <v>166</v>
      </c>
      <c r="AJ805" s="1">
        <v>53.4</v>
      </c>
      <c r="AK805" s="1"/>
      <c r="AL805" s="1" t="s">
        <v>14660</v>
      </c>
      <c r="AM805" s="1" t="s">
        <v>14661</v>
      </c>
      <c r="AN805" s="1" t="s">
        <v>433</v>
      </c>
      <c r="AO805" s="1" t="s">
        <v>173</v>
      </c>
      <c r="AP805" s="1">
        <v>70.83</v>
      </c>
      <c r="AQ805" s="1"/>
      <c r="AR805" s="1"/>
      <c r="AS805" s="1"/>
      <c r="AT805" s="1"/>
      <c r="AU805" s="1"/>
      <c r="AV805" s="1"/>
      <c r="AW805" s="1"/>
      <c r="AX805" s="1" t="s">
        <v>14662</v>
      </c>
      <c r="AY805" s="1" t="s">
        <v>14663</v>
      </c>
      <c r="AZ805" s="1" t="s">
        <v>228</v>
      </c>
      <c r="BA805" s="1" t="s">
        <v>1938</v>
      </c>
      <c r="BB805" s="1">
        <v>61</v>
      </c>
      <c r="BC805" s="1">
        <v>7.42</v>
      </c>
      <c r="BD805" s="1"/>
      <c r="BE805" s="1"/>
      <c r="BF805" s="1"/>
      <c r="BG805" s="1"/>
      <c r="BH805" s="1"/>
      <c r="BI805" s="1"/>
      <c r="BJ805" s="1" t="s">
        <v>364</v>
      </c>
      <c r="BK805" s="1"/>
      <c r="BL805" s="1"/>
      <c r="BM805" s="1"/>
      <c r="BN805" s="1"/>
      <c r="BO805" s="1" t="s">
        <v>14664</v>
      </c>
      <c r="BP805" s="1" t="str">
        <f>HYPERLINK("https://nconnect.nicmar.ac.in/storage/profile/ProfilePhoto_P25702016_652349.jpg","Download")</f>
        <v>0</v>
      </c>
      <c r="BQ805" s="3"/>
      <c r="BR805" s="3"/>
    </row>
    <row r="806" spans="1:70">
      <c r="A806" s="1" t="s">
        <v>441</v>
      </c>
      <c r="B806" s="1" t="s">
        <v>1269</v>
      </c>
      <c r="C806" s="1" t="s">
        <v>14665</v>
      </c>
      <c r="D806" s="1" t="s">
        <v>7424</v>
      </c>
      <c r="E806" s="1" t="s">
        <v>3297</v>
      </c>
      <c r="F806" s="1" t="s">
        <v>14666</v>
      </c>
      <c r="G806" s="1" t="s">
        <v>14667</v>
      </c>
      <c r="H806" s="1" t="s">
        <v>14668</v>
      </c>
      <c r="I806" s="1" t="s">
        <v>14669</v>
      </c>
      <c r="J806" s="1">
        <v>9423462102</v>
      </c>
      <c r="K806" s="1" t="s">
        <v>79</v>
      </c>
      <c r="L806" s="1" t="s">
        <v>14670</v>
      </c>
      <c r="M806" s="1" t="s">
        <v>81</v>
      </c>
      <c r="N806" s="1" t="s">
        <v>1418</v>
      </c>
      <c r="O806" s="1"/>
      <c r="P806" s="1" t="s">
        <v>1323</v>
      </c>
      <c r="Q806" s="1" t="s">
        <v>14671</v>
      </c>
      <c r="R806" s="1" t="s">
        <v>3297</v>
      </c>
      <c r="S806" s="1">
        <v>9371436304</v>
      </c>
      <c r="T806" s="1" t="s">
        <v>14672</v>
      </c>
      <c r="U806" s="1" t="s">
        <v>3060</v>
      </c>
      <c r="V806" s="1">
        <v>8999895927</v>
      </c>
      <c r="W806" s="1" t="s">
        <v>122</v>
      </c>
      <c r="X806" s="1" t="s">
        <v>14673</v>
      </c>
      <c r="Y806" s="1" t="s">
        <v>379</v>
      </c>
      <c r="Z806" s="1" t="s">
        <v>92</v>
      </c>
      <c r="AA806" s="1" t="s">
        <v>14673</v>
      </c>
      <c r="AB806" s="1" t="s">
        <v>379</v>
      </c>
      <c r="AC806" s="1" t="s">
        <v>92</v>
      </c>
      <c r="AD806" s="1">
        <v>7.05</v>
      </c>
      <c r="AE806" s="1" t="s">
        <v>93</v>
      </c>
      <c r="AF806" s="1" t="s">
        <v>14674</v>
      </c>
      <c r="AG806" s="1" t="s">
        <v>14675</v>
      </c>
      <c r="AH806" s="1" t="s">
        <v>14676</v>
      </c>
      <c r="AI806" s="1" t="s">
        <v>409</v>
      </c>
      <c r="AJ806" s="1">
        <v>58.8</v>
      </c>
      <c r="AK806" s="1"/>
      <c r="AL806" s="1" t="s">
        <v>14677</v>
      </c>
      <c r="AM806" s="1" t="s">
        <v>14678</v>
      </c>
      <c r="AN806" s="1" t="s">
        <v>310</v>
      </c>
      <c r="AO806" s="1" t="s">
        <v>1712</v>
      </c>
      <c r="AP806" s="1">
        <v>78.67</v>
      </c>
      <c r="AQ806" s="1"/>
      <c r="AR806" s="1"/>
      <c r="AS806" s="1"/>
      <c r="AT806" s="1"/>
      <c r="AU806" s="1"/>
      <c r="AV806" s="1"/>
      <c r="AW806" s="1"/>
      <c r="AX806" s="1" t="s">
        <v>14679</v>
      </c>
      <c r="AY806" s="1" t="s">
        <v>14680</v>
      </c>
      <c r="AZ806" s="1" t="s">
        <v>436</v>
      </c>
      <c r="BA806" s="1" t="s">
        <v>6069</v>
      </c>
      <c r="BB806" s="1">
        <v>54.2</v>
      </c>
      <c r="BC806" s="1">
        <v>5.92</v>
      </c>
      <c r="BD806" s="1"/>
      <c r="BE806" s="1"/>
      <c r="BF806" s="1"/>
      <c r="BG806" s="1"/>
      <c r="BH806" s="1"/>
      <c r="BI806" s="1"/>
      <c r="BJ806" s="1" t="s">
        <v>11589</v>
      </c>
      <c r="BK806" s="1"/>
      <c r="BL806" s="1"/>
      <c r="BM806" s="1" t="s">
        <v>14681</v>
      </c>
      <c r="BN806" s="1">
        <v>16</v>
      </c>
      <c r="BO806" s="1"/>
      <c r="BP806" s="1" t="str">
        <f>HYPERLINK("https://nconnect.nicmar.ac.in/storage/profile/ProfilePhoto_P25702018_693254.jpg","Download")</f>
        <v>0</v>
      </c>
      <c r="BQ806" s="3"/>
      <c r="BR806" s="3"/>
    </row>
    <row r="807" spans="1:70">
      <c r="A807" s="1" t="s">
        <v>441</v>
      </c>
      <c r="B807" s="1" t="s">
        <v>1269</v>
      </c>
      <c r="C807" s="1" t="s">
        <v>14682</v>
      </c>
      <c r="D807" s="1" t="s">
        <v>14683</v>
      </c>
      <c r="E807" s="1" t="s">
        <v>208</v>
      </c>
      <c r="F807" s="1" t="s">
        <v>2674</v>
      </c>
      <c r="G807" s="1" t="s">
        <v>14684</v>
      </c>
      <c r="H807" s="1" t="s">
        <v>14685</v>
      </c>
      <c r="I807" s="1" t="s">
        <v>14686</v>
      </c>
      <c r="J807" s="1">
        <v>9372834212</v>
      </c>
      <c r="K807" s="1" t="s">
        <v>148</v>
      </c>
      <c r="L807" s="1" t="s">
        <v>839</v>
      </c>
      <c r="M807" s="1" t="s">
        <v>81</v>
      </c>
      <c r="N807" s="1" t="s">
        <v>1418</v>
      </c>
      <c r="O807" s="1"/>
      <c r="P807" s="1" t="s">
        <v>1298</v>
      </c>
      <c r="Q807" s="1" t="s">
        <v>14687</v>
      </c>
      <c r="R807" s="1" t="s">
        <v>208</v>
      </c>
      <c r="S807" s="1">
        <v>9594901838</v>
      </c>
      <c r="T807" s="1" t="s">
        <v>14688</v>
      </c>
      <c r="U807" s="1" t="s">
        <v>693</v>
      </c>
      <c r="V807" s="1">
        <v>9594931830</v>
      </c>
      <c r="W807" s="1" t="s">
        <v>651</v>
      </c>
      <c r="X807" s="1" t="s">
        <v>14689</v>
      </c>
      <c r="Y807" s="1" t="s">
        <v>191</v>
      </c>
      <c r="Z807" s="1" t="s">
        <v>92</v>
      </c>
      <c r="AA807" s="1" t="s">
        <v>14689</v>
      </c>
      <c r="AB807" s="1" t="s">
        <v>191</v>
      </c>
      <c r="AC807" s="1" t="s">
        <v>92</v>
      </c>
      <c r="AD807" s="1">
        <v>8.87</v>
      </c>
      <c r="AE807" s="1" t="s">
        <v>93</v>
      </c>
      <c r="AF807" s="1" t="s">
        <v>14690</v>
      </c>
      <c r="AG807" s="1" t="s">
        <v>160</v>
      </c>
      <c r="AH807" s="1" t="s">
        <v>162</v>
      </c>
      <c r="AI807" s="1" t="s">
        <v>195</v>
      </c>
      <c r="AJ807" s="1">
        <v>84.2</v>
      </c>
      <c r="AK807" s="1"/>
      <c r="AL807" s="1" t="s">
        <v>14691</v>
      </c>
      <c r="AM807" s="1" t="s">
        <v>160</v>
      </c>
      <c r="AN807" s="1" t="s">
        <v>169</v>
      </c>
      <c r="AO807" s="1" t="s">
        <v>198</v>
      </c>
      <c r="AP807" s="1">
        <v>58.77</v>
      </c>
      <c r="AQ807" s="1"/>
      <c r="AR807" s="1"/>
      <c r="AS807" s="1"/>
      <c r="AT807" s="1"/>
      <c r="AU807" s="1"/>
      <c r="AV807" s="1"/>
      <c r="AW807" s="1"/>
      <c r="AX807" s="1" t="s">
        <v>1024</v>
      </c>
      <c r="AY807" s="1" t="s">
        <v>14692</v>
      </c>
      <c r="AZ807" s="1" t="s">
        <v>201</v>
      </c>
      <c r="BA807" s="1" t="s">
        <v>702</v>
      </c>
      <c r="BB807" s="1">
        <v>69.35</v>
      </c>
      <c r="BC807" s="1">
        <v>7.75</v>
      </c>
      <c r="BD807" s="1"/>
      <c r="BE807" s="1"/>
      <c r="BF807" s="1"/>
      <c r="BG807" s="1"/>
      <c r="BH807" s="1"/>
      <c r="BI807" s="1"/>
      <c r="BJ807" s="1" t="s">
        <v>14693</v>
      </c>
      <c r="BK807" s="1"/>
      <c r="BL807" s="1"/>
      <c r="BM807" s="1" t="s">
        <v>14694</v>
      </c>
      <c r="BN807" s="1">
        <v>44</v>
      </c>
      <c r="BO807" s="1"/>
      <c r="BP807" s="1" t="str">
        <f>HYPERLINK("https://nconnect.nicmar.ac.in/storage/profile/ProfilePhoto_P25702019_689217.jpg","Download")</f>
        <v>0</v>
      </c>
      <c r="BQ807" s="3"/>
      <c r="BR807" s="3"/>
    </row>
    <row r="808" spans="1:70">
      <c r="A808" s="1" t="s">
        <v>441</v>
      </c>
      <c r="B808" s="1" t="s">
        <v>1269</v>
      </c>
      <c r="C808" s="1" t="s">
        <v>14695</v>
      </c>
      <c r="D808" s="1" t="s">
        <v>1039</v>
      </c>
      <c r="E808" s="1" t="s">
        <v>9767</v>
      </c>
      <c r="F808" s="1" t="s">
        <v>14696</v>
      </c>
      <c r="G808" s="1" t="s">
        <v>14697</v>
      </c>
      <c r="H808" s="1" t="s">
        <v>14698</v>
      </c>
      <c r="I808" s="1" t="s">
        <v>14699</v>
      </c>
      <c r="J808" s="1">
        <v>7304181591</v>
      </c>
      <c r="K808" s="1" t="s">
        <v>79</v>
      </c>
      <c r="L808" s="1" t="s">
        <v>4945</v>
      </c>
      <c r="M808" s="1" t="s">
        <v>81</v>
      </c>
      <c r="N808" s="1" t="s">
        <v>8131</v>
      </c>
      <c r="O808" s="1"/>
      <c r="P808" s="1"/>
      <c r="Q808" s="1" t="s">
        <v>14700</v>
      </c>
      <c r="R808" s="1" t="s">
        <v>14701</v>
      </c>
      <c r="S808" s="1">
        <v>7020459683</v>
      </c>
      <c r="T808" s="1" t="s">
        <v>14702</v>
      </c>
      <c r="U808" s="1" t="s">
        <v>14703</v>
      </c>
      <c r="V808" s="1">
        <v>7559220280</v>
      </c>
      <c r="W808" s="1" t="s">
        <v>273</v>
      </c>
      <c r="X808" s="1" t="s">
        <v>14704</v>
      </c>
      <c r="Y808" s="1" t="s">
        <v>191</v>
      </c>
      <c r="Z808" s="1" t="s">
        <v>92</v>
      </c>
      <c r="AA808" s="1" t="s">
        <v>14705</v>
      </c>
      <c r="AB808" s="1" t="s">
        <v>405</v>
      </c>
      <c r="AC808" s="1" t="s">
        <v>92</v>
      </c>
      <c r="AD808" s="1">
        <v>6.21</v>
      </c>
      <c r="AE808" s="1" t="s">
        <v>93</v>
      </c>
      <c r="AF808" s="1" t="s">
        <v>14706</v>
      </c>
      <c r="AG808" s="1" t="s">
        <v>476</v>
      </c>
      <c r="AH808" s="1" t="s">
        <v>456</v>
      </c>
      <c r="AI808" s="1" t="s">
        <v>195</v>
      </c>
      <c r="AJ808" s="1">
        <v>71.8</v>
      </c>
      <c r="AK808" s="1"/>
      <c r="AL808" s="1"/>
      <c r="AM808" s="1"/>
      <c r="AN808" s="1"/>
      <c r="AO808" s="1"/>
      <c r="AP808" s="1"/>
      <c r="AQ808" s="1"/>
      <c r="AR808" s="1" t="s">
        <v>98</v>
      </c>
      <c r="AS808" s="1" t="s">
        <v>14707</v>
      </c>
      <c r="AT808" s="1" t="s">
        <v>6255</v>
      </c>
      <c r="AU808" s="1" t="s">
        <v>170</v>
      </c>
      <c r="AV808" s="1">
        <v>82</v>
      </c>
      <c r="AW808" s="1"/>
      <c r="AX808" s="1" t="s">
        <v>410</v>
      </c>
      <c r="AY808" s="1" t="s">
        <v>14708</v>
      </c>
      <c r="AZ808" s="1" t="s">
        <v>228</v>
      </c>
      <c r="BA808" s="1" t="s">
        <v>549</v>
      </c>
      <c r="BB808" s="1">
        <v>53.3</v>
      </c>
      <c r="BC808" s="1">
        <v>6.08</v>
      </c>
      <c r="BD808" s="1"/>
      <c r="BE808" s="1"/>
      <c r="BF808" s="1"/>
      <c r="BG808" s="1"/>
      <c r="BH808" s="1"/>
      <c r="BI808" s="1"/>
      <c r="BJ808" s="1" t="s">
        <v>14709</v>
      </c>
      <c r="BK808" s="1" t="s">
        <v>14710</v>
      </c>
      <c r="BL808" s="1" t="s">
        <v>3239</v>
      </c>
      <c r="BM808" s="1"/>
      <c r="BN808" s="1"/>
      <c r="BO808" s="1"/>
      <c r="BP808" s="1" t="str">
        <f>HYPERLINK("https://nconnect.nicmar.ac.in/storage/profile/ProfilePhoto_P25702020_435189.jpg","Download")</f>
        <v>0</v>
      </c>
      <c r="BQ808" s="3"/>
      <c r="BR808" s="3"/>
    </row>
    <row r="809" spans="1:70">
      <c r="A809" s="1" t="s">
        <v>441</v>
      </c>
      <c r="B809" s="1" t="s">
        <v>1269</v>
      </c>
      <c r="C809" s="1" t="s">
        <v>14711</v>
      </c>
      <c r="D809" s="1" t="s">
        <v>2250</v>
      </c>
      <c r="E809" s="1" t="s">
        <v>111</v>
      </c>
      <c r="F809" s="1" t="s">
        <v>14712</v>
      </c>
      <c r="G809" s="1" t="s">
        <v>14713</v>
      </c>
      <c r="H809" s="1" t="s">
        <v>14714</v>
      </c>
      <c r="I809" s="1" t="s">
        <v>14715</v>
      </c>
      <c r="J809" s="1">
        <v>6363755919</v>
      </c>
      <c r="K809" s="1" t="s">
        <v>79</v>
      </c>
      <c r="L809" s="1" t="s">
        <v>14716</v>
      </c>
      <c r="M809" s="1" t="s">
        <v>81</v>
      </c>
      <c r="N809" s="1" t="s">
        <v>8742</v>
      </c>
      <c r="O809" s="1"/>
      <c r="P809" s="1" t="s">
        <v>1323</v>
      </c>
      <c r="Q809" s="1" t="s">
        <v>14717</v>
      </c>
      <c r="R809" s="1" t="s">
        <v>14718</v>
      </c>
      <c r="S809" s="1">
        <v>9481137721</v>
      </c>
      <c r="T809" s="1" t="s">
        <v>14719</v>
      </c>
      <c r="U809" s="1" t="s">
        <v>14720</v>
      </c>
      <c r="V809" s="1">
        <v>9036906500</v>
      </c>
      <c r="W809" s="1" t="s">
        <v>273</v>
      </c>
      <c r="X809" s="1" t="s">
        <v>14721</v>
      </c>
      <c r="Y809" s="1" t="s">
        <v>4508</v>
      </c>
      <c r="Z809" s="1" t="s">
        <v>1084</v>
      </c>
      <c r="AA809" s="1" t="s">
        <v>14721</v>
      </c>
      <c r="AB809" s="1" t="s">
        <v>4508</v>
      </c>
      <c r="AC809" s="1" t="s">
        <v>1084</v>
      </c>
      <c r="AD809" s="1">
        <v>7.66</v>
      </c>
      <c r="AE809" s="1" t="s">
        <v>93</v>
      </c>
      <c r="AF809" s="1" t="s">
        <v>14722</v>
      </c>
      <c r="AG809" s="1" t="s">
        <v>2745</v>
      </c>
      <c r="AH809" s="1" t="s">
        <v>165</v>
      </c>
      <c r="AI809" s="1" t="s">
        <v>1307</v>
      </c>
      <c r="AJ809" s="1">
        <v>75.52</v>
      </c>
      <c r="AK809" s="1"/>
      <c r="AL809" s="1"/>
      <c r="AM809" s="1"/>
      <c r="AN809" s="1"/>
      <c r="AO809" s="1"/>
      <c r="AP809" s="1"/>
      <c r="AQ809" s="1"/>
      <c r="AR809" s="1" t="s">
        <v>98</v>
      </c>
      <c r="AS809" s="1" t="s">
        <v>14723</v>
      </c>
      <c r="AT809" s="1" t="s">
        <v>14177</v>
      </c>
      <c r="AU809" s="1" t="s">
        <v>1712</v>
      </c>
      <c r="AV809" s="1">
        <v>59.62</v>
      </c>
      <c r="AW809" s="1"/>
      <c r="AX809" s="1" t="s">
        <v>8258</v>
      </c>
      <c r="AY809" s="1" t="s">
        <v>8258</v>
      </c>
      <c r="AZ809" s="1" t="s">
        <v>5467</v>
      </c>
      <c r="BA809" s="1" t="s">
        <v>202</v>
      </c>
      <c r="BB809" s="1">
        <v>66.3</v>
      </c>
      <c r="BC809" s="1">
        <v>6.63</v>
      </c>
      <c r="BD809" s="1"/>
      <c r="BE809" s="1"/>
      <c r="BF809" s="1"/>
      <c r="BG809" s="1"/>
      <c r="BH809" s="1"/>
      <c r="BI809" s="1"/>
      <c r="BJ809" s="1" t="s">
        <v>14724</v>
      </c>
      <c r="BK809" s="1" t="s">
        <v>14725</v>
      </c>
      <c r="BL809" s="1" t="s">
        <v>1475</v>
      </c>
      <c r="BM809" s="1" t="s">
        <v>14726</v>
      </c>
      <c r="BN809" s="1">
        <v>14</v>
      </c>
      <c r="BO809" s="1" t="s">
        <v>14727</v>
      </c>
      <c r="BP809" s="1" t="str">
        <f>HYPERLINK("https://nconnect.nicmar.ac.in/storage/profile/ProfilePhoto_P25702021_253841.jpg","Download")</f>
        <v>0</v>
      </c>
      <c r="BQ809" s="3"/>
      <c r="BR809" s="3"/>
    </row>
    <row r="810" spans="1:70">
      <c r="A810" s="1" t="s">
        <v>441</v>
      </c>
      <c r="B810" s="1" t="s">
        <v>1269</v>
      </c>
      <c r="C810" s="1" t="s">
        <v>14728</v>
      </c>
      <c r="D810" s="1" t="s">
        <v>11942</v>
      </c>
      <c r="E810" s="1" t="s">
        <v>14729</v>
      </c>
      <c r="F810" s="1" t="s">
        <v>7321</v>
      </c>
      <c r="G810" s="1" t="s">
        <v>14730</v>
      </c>
      <c r="H810" s="1" t="s">
        <v>14731</v>
      </c>
      <c r="I810" s="1" t="s">
        <v>14732</v>
      </c>
      <c r="J810" s="1">
        <v>9825051825</v>
      </c>
      <c r="K810" s="1" t="s">
        <v>79</v>
      </c>
      <c r="L810" s="1" t="s">
        <v>10223</v>
      </c>
      <c r="M810" s="1" t="s">
        <v>81</v>
      </c>
      <c r="N810" s="1" t="s">
        <v>7852</v>
      </c>
      <c r="O810" s="1"/>
      <c r="P810" s="1" t="s">
        <v>1323</v>
      </c>
      <c r="Q810" s="1" t="s">
        <v>14733</v>
      </c>
      <c r="R810" s="1" t="s">
        <v>14729</v>
      </c>
      <c r="S810" s="1">
        <v>9825051425</v>
      </c>
      <c r="T810" s="1" t="s">
        <v>842</v>
      </c>
      <c r="U810" s="1" t="s">
        <v>14734</v>
      </c>
      <c r="V810" s="1">
        <v>9727113797</v>
      </c>
      <c r="W810" s="1" t="s">
        <v>156</v>
      </c>
      <c r="X810" s="1" t="s">
        <v>14735</v>
      </c>
      <c r="Y810" s="1" t="s">
        <v>191</v>
      </c>
      <c r="Z810" s="1" t="s">
        <v>92</v>
      </c>
      <c r="AA810" s="1" t="s">
        <v>14736</v>
      </c>
      <c r="AB810" s="1" t="s">
        <v>8817</v>
      </c>
      <c r="AC810" s="1" t="s">
        <v>1468</v>
      </c>
      <c r="AD810" s="1">
        <v>9.03</v>
      </c>
      <c r="AE810" s="1" t="s">
        <v>93</v>
      </c>
      <c r="AF810" s="1" t="s">
        <v>14737</v>
      </c>
      <c r="AG810" s="1" t="s">
        <v>14738</v>
      </c>
      <c r="AH810" s="1" t="s">
        <v>165</v>
      </c>
      <c r="AI810" s="1" t="s">
        <v>169</v>
      </c>
      <c r="AJ810" s="1">
        <v>86.16</v>
      </c>
      <c r="AK810" s="1"/>
      <c r="AL810" s="1" t="s">
        <v>14739</v>
      </c>
      <c r="AM810" s="1" t="s">
        <v>14738</v>
      </c>
      <c r="AN810" s="1" t="s">
        <v>433</v>
      </c>
      <c r="AO810" s="1" t="s">
        <v>412</v>
      </c>
      <c r="AP810" s="1">
        <v>68.76</v>
      </c>
      <c r="AQ810" s="1"/>
      <c r="AR810" s="1"/>
      <c r="AS810" s="1"/>
      <c r="AT810" s="1"/>
      <c r="AU810" s="1"/>
      <c r="AV810" s="1"/>
      <c r="AW810" s="1"/>
      <c r="AX810" s="1" t="s">
        <v>14740</v>
      </c>
      <c r="AY810" s="1" t="s">
        <v>14741</v>
      </c>
      <c r="AZ810" s="1" t="s">
        <v>173</v>
      </c>
      <c r="BA810" s="1" t="s">
        <v>413</v>
      </c>
      <c r="BB810" s="1">
        <v>82.5</v>
      </c>
      <c r="BC810" s="1">
        <v>8.75</v>
      </c>
      <c r="BD810" s="1"/>
      <c r="BE810" s="1"/>
      <c r="BF810" s="1"/>
      <c r="BG810" s="1"/>
      <c r="BH810" s="1"/>
      <c r="BI810" s="1"/>
      <c r="BJ810" s="1" t="s">
        <v>14742</v>
      </c>
      <c r="BK810" s="1"/>
      <c r="BL810" s="1"/>
      <c r="BM810" s="1" t="s">
        <v>14743</v>
      </c>
      <c r="BN810" s="1">
        <v>14</v>
      </c>
      <c r="BO810" s="1" t="s">
        <v>14744</v>
      </c>
      <c r="BP810" s="1" t="str">
        <f>HYPERLINK("https://nconnect.nicmar.ac.in/storage/profile/ProfilePhoto_P25702022_617352.jpg","Download")</f>
        <v>0</v>
      </c>
      <c r="BQ810" s="3"/>
      <c r="BR810" s="3"/>
    </row>
    <row r="811" spans="1:70">
      <c r="A811" s="1" t="s">
        <v>441</v>
      </c>
      <c r="B811" s="1" t="s">
        <v>1269</v>
      </c>
      <c r="C811" s="1" t="s">
        <v>14745</v>
      </c>
      <c r="D811" s="1" t="s">
        <v>14746</v>
      </c>
      <c r="E811" s="1" t="s">
        <v>208</v>
      </c>
      <c r="F811" s="1" t="s">
        <v>11827</v>
      </c>
      <c r="G811" s="1" t="s">
        <v>14747</v>
      </c>
      <c r="H811" s="1" t="s">
        <v>14748</v>
      </c>
      <c r="I811" s="1" t="s">
        <v>14748</v>
      </c>
      <c r="J811" s="1">
        <v>7350783095</v>
      </c>
      <c r="K811" s="1" t="s">
        <v>148</v>
      </c>
      <c r="L811" s="1" t="s">
        <v>14749</v>
      </c>
      <c r="M811" s="1" t="s">
        <v>81</v>
      </c>
      <c r="N811" s="1" t="s">
        <v>1418</v>
      </c>
      <c r="O811" s="1" t="s">
        <v>14750</v>
      </c>
      <c r="P811" s="1" t="s">
        <v>2817</v>
      </c>
      <c r="Q811" s="1" t="s">
        <v>14751</v>
      </c>
      <c r="R811" s="1" t="s">
        <v>14752</v>
      </c>
      <c r="S811" s="1">
        <v>9975485912</v>
      </c>
      <c r="T811" s="1" t="s">
        <v>763</v>
      </c>
      <c r="U811" s="1" t="s">
        <v>14753</v>
      </c>
      <c r="V811" s="1">
        <v>8975244575</v>
      </c>
      <c r="W811" s="1" t="s">
        <v>156</v>
      </c>
      <c r="X811" s="1" t="s">
        <v>14754</v>
      </c>
      <c r="Y811" s="1" t="s">
        <v>191</v>
      </c>
      <c r="Z811" s="1" t="s">
        <v>92</v>
      </c>
      <c r="AA811" s="1" t="s">
        <v>14755</v>
      </c>
      <c r="AB811" s="1" t="s">
        <v>158</v>
      </c>
      <c r="AC811" s="1" t="s">
        <v>92</v>
      </c>
      <c r="AD811" s="1">
        <v>8.56</v>
      </c>
      <c r="AE811" s="1" t="s">
        <v>93</v>
      </c>
      <c r="AF811" s="1" t="s">
        <v>14756</v>
      </c>
      <c r="AG811" s="1" t="s">
        <v>14757</v>
      </c>
      <c r="AH811" s="1" t="s">
        <v>998</v>
      </c>
      <c r="AI811" s="1" t="s">
        <v>999</v>
      </c>
      <c r="AJ811" s="1">
        <v>88.2</v>
      </c>
      <c r="AK811" s="1">
        <v>0</v>
      </c>
      <c r="AL811" s="1" t="s">
        <v>14758</v>
      </c>
      <c r="AM811" s="1" t="s">
        <v>14759</v>
      </c>
      <c r="AN811" s="1" t="s">
        <v>97</v>
      </c>
      <c r="AO811" s="1" t="s">
        <v>527</v>
      </c>
      <c r="AP811" s="1">
        <v>74.8</v>
      </c>
      <c r="AQ811" s="1"/>
      <c r="AR811" s="1"/>
      <c r="AS811" s="1"/>
      <c r="AT811" s="1"/>
      <c r="AU811" s="1"/>
      <c r="AV811" s="1"/>
      <c r="AW811" s="1"/>
      <c r="AX811" s="1" t="s">
        <v>1024</v>
      </c>
      <c r="AY811" s="1" t="s">
        <v>14760</v>
      </c>
      <c r="AZ811" s="1" t="s">
        <v>134</v>
      </c>
      <c r="BA811" s="1" t="s">
        <v>1131</v>
      </c>
      <c r="BB811" s="1">
        <v>58.9</v>
      </c>
      <c r="BC811" s="1">
        <v>5.89</v>
      </c>
      <c r="BD811" s="1"/>
      <c r="BE811" s="1"/>
      <c r="BF811" s="1"/>
      <c r="BG811" s="1"/>
      <c r="BH811" s="1"/>
      <c r="BI811" s="1"/>
      <c r="BJ811" s="1" t="s">
        <v>14761</v>
      </c>
      <c r="BK811" s="1" t="s">
        <v>14762</v>
      </c>
      <c r="BL811" s="1" t="s">
        <v>138</v>
      </c>
      <c r="BM811" s="1" t="s">
        <v>14763</v>
      </c>
      <c r="BN811" s="1">
        <v>25</v>
      </c>
      <c r="BO811" s="1"/>
      <c r="BP811" s="1" t="str">
        <f>HYPERLINK("https://nconnect.nicmar.ac.in/storage/profile/ProfilePhoto_P25702023_483726.jpg","Download")</f>
        <v>0</v>
      </c>
      <c r="BQ811" s="3"/>
      <c r="BR811" s="3"/>
    </row>
    <row r="812" spans="1:70">
      <c r="A812" s="1" t="s">
        <v>441</v>
      </c>
      <c r="B812" s="1" t="s">
        <v>1269</v>
      </c>
      <c r="C812" s="1" t="s">
        <v>14764</v>
      </c>
      <c r="D812" s="1" t="s">
        <v>5794</v>
      </c>
      <c r="E812" s="1" t="s">
        <v>756</v>
      </c>
      <c r="F812" s="1" t="s">
        <v>4016</v>
      </c>
      <c r="G812" s="1" t="s">
        <v>14765</v>
      </c>
      <c r="H812" s="1" t="s">
        <v>14766</v>
      </c>
      <c r="I812" s="1" t="s">
        <v>14767</v>
      </c>
      <c r="J812" s="1">
        <v>7264038682</v>
      </c>
      <c r="K812" s="1" t="s">
        <v>79</v>
      </c>
      <c r="L812" s="1" t="s">
        <v>7413</v>
      </c>
      <c r="M812" s="1" t="s">
        <v>81</v>
      </c>
      <c r="N812" s="1" t="s">
        <v>1986</v>
      </c>
      <c r="O812" s="1"/>
      <c r="P812" s="1" t="s">
        <v>1298</v>
      </c>
      <c r="Q812" s="1" t="s">
        <v>14768</v>
      </c>
      <c r="R812" s="1" t="s">
        <v>14769</v>
      </c>
      <c r="S812" s="1">
        <v>9552899175</v>
      </c>
      <c r="T812" s="1" t="s">
        <v>14770</v>
      </c>
      <c r="U812" s="1" t="s">
        <v>14771</v>
      </c>
      <c r="V812" s="1">
        <v>7775908847</v>
      </c>
      <c r="W812" s="1" t="s">
        <v>156</v>
      </c>
      <c r="X812" s="1" t="s">
        <v>14772</v>
      </c>
      <c r="Y812" s="1" t="s">
        <v>379</v>
      </c>
      <c r="Z812" s="1" t="s">
        <v>92</v>
      </c>
      <c r="AA812" s="1" t="s">
        <v>14772</v>
      </c>
      <c r="AB812" s="1" t="s">
        <v>379</v>
      </c>
      <c r="AC812" s="1" t="s">
        <v>92</v>
      </c>
      <c r="AD812" s="1">
        <v>8.0</v>
      </c>
      <c r="AE812" s="1" t="s">
        <v>93</v>
      </c>
      <c r="AF812" s="1" t="s">
        <v>14773</v>
      </c>
      <c r="AG812" s="1" t="s">
        <v>307</v>
      </c>
      <c r="AH812" s="1" t="s">
        <v>678</v>
      </c>
      <c r="AI812" s="1" t="s">
        <v>166</v>
      </c>
      <c r="AJ812" s="1">
        <v>71.4</v>
      </c>
      <c r="AK812" s="1"/>
      <c r="AL812" s="1" t="s">
        <v>14774</v>
      </c>
      <c r="AM812" s="1" t="s">
        <v>14775</v>
      </c>
      <c r="AN812" s="1" t="s">
        <v>310</v>
      </c>
      <c r="AO812" s="1" t="s">
        <v>360</v>
      </c>
      <c r="AP812" s="1">
        <v>58.92</v>
      </c>
      <c r="AQ812" s="1"/>
      <c r="AR812" s="1"/>
      <c r="AS812" s="1"/>
      <c r="AT812" s="1"/>
      <c r="AU812" s="1"/>
      <c r="AV812" s="1"/>
      <c r="AW812" s="1"/>
      <c r="AX812" s="1" t="s">
        <v>14776</v>
      </c>
      <c r="AY812" s="1" t="s">
        <v>14777</v>
      </c>
      <c r="AZ812" s="1" t="s">
        <v>897</v>
      </c>
      <c r="BA812" s="1" t="s">
        <v>1714</v>
      </c>
      <c r="BB812" s="1">
        <v>55.6</v>
      </c>
      <c r="BC812" s="1">
        <v>6.31</v>
      </c>
      <c r="BD812" s="1"/>
      <c r="BE812" s="1"/>
      <c r="BF812" s="1"/>
      <c r="BG812" s="1"/>
      <c r="BH812" s="1"/>
      <c r="BI812" s="1"/>
      <c r="BJ812" s="1" t="s">
        <v>14778</v>
      </c>
      <c r="BK812" s="1"/>
      <c r="BL812" s="1"/>
      <c r="BM812" s="1" t="s">
        <v>14779</v>
      </c>
      <c r="BN812" s="1">
        <v>29</v>
      </c>
      <c r="BO812" s="1" t="s">
        <v>14780</v>
      </c>
      <c r="BP812" s="1" t="str">
        <f>HYPERLINK("https://nconnect.nicmar.ac.in/storage/profile/ProfilePhoto_P25702024_291845.jpg","Download")</f>
        <v>0</v>
      </c>
      <c r="BQ812" s="3"/>
      <c r="BR812" s="3"/>
    </row>
    <row r="813" spans="1:70">
      <c r="A813" s="1" t="s">
        <v>441</v>
      </c>
      <c r="B813" s="1" t="s">
        <v>1269</v>
      </c>
      <c r="C813" s="1" t="s">
        <v>14781</v>
      </c>
      <c r="D813" s="1" t="s">
        <v>707</v>
      </c>
      <c r="E813" s="1" t="s">
        <v>3538</v>
      </c>
      <c r="F813" s="1" t="s">
        <v>14782</v>
      </c>
      <c r="G813" s="1" t="s">
        <v>14783</v>
      </c>
      <c r="H813" s="1" t="s">
        <v>14784</v>
      </c>
      <c r="I813" s="1" t="s">
        <v>14785</v>
      </c>
      <c r="J813" s="1">
        <v>9403851279</v>
      </c>
      <c r="K813" s="1" t="s">
        <v>79</v>
      </c>
      <c r="L813" s="1" t="s">
        <v>14786</v>
      </c>
      <c r="M813" s="1" t="s">
        <v>81</v>
      </c>
      <c r="N813" s="1" t="s">
        <v>7292</v>
      </c>
      <c r="O813" s="1"/>
      <c r="P813" s="1" t="s">
        <v>1298</v>
      </c>
      <c r="Q813" s="1" t="s">
        <v>14787</v>
      </c>
      <c r="R813" s="1" t="s">
        <v>3538</v>
      </c>
      <c r="S813" s="1">
        <v>9422691741</v>
      </c>
      <c r="T813" s="1" t="s">
        <v>6726</v>
      </c>
      <c r="U813" s="1" t="s">
        <v>4132</v>
      </c>
      <c r="V813" s="1">
        <v>9422196757</v>
      </c>
      <c r="W813" s="1" t="s">
        <v>156</v>
      </c>
      <c r="X813" s="1" t="s">
        <v>14788</v>
      </c>
      <c r="Y813" s="1" t="s">
        <v>766</v>
      </c>
      <c r="Z813" s="1" t="s">
        <v>92</v>
      </c>
      <c r="AA813" s="1" t="s">
        <v>14788</v>
      </c>
      <c r="AB813" s="1" t="s">
        <v>766</v>
      </c>
      <c r="AC813" s="1" t="s">
        <v>92</v>
      </c>
      <c r="AD813" s="1">
        <v>7.08</v>
      </c>
      <c r="AE813" s="1" t="s">
        <v>93</v>
      </c>
      <c r="AF813" s="1" t="s">
        <v>14789</v>
      </c>
      <c r="AG813" s="1" t="s">
        <v>476</v>
      </c>
      <c r="AH813" s="1" t="s">
        <v>162</v>
      </c>
      <c r="AI813" s="1" t="s">
        <v>479</v>
      </c>
      <c r="AJ813" s="1">
        <v>75.2</v>
      </c>
      <c r="AK813" s="1"/>
      <c r="AL813" s="1" t="s">
        <v>14790</v>
      </c>
      <c r="AM813" s="1" t="s">
        <v>476</v>
      </c>
      <c r="AN813" s="1" t="s">
        <v>169</v>
      </c>
      <c r="AO813" s="1" t="s">
        <v>1065</v>
      </c>
      <c r="AP813" s="1">
        <v>52.15</v>
      </c>
      <c r="AQ813" s="1"/>
      <c r="AR813" s="1"/>
      <c r="AS813" s="1"/>
      <c r="AT813" s="1"/>
      <c r="AU813" s="1"/>
      <c r="AV813" s="1"/>
      <c r="AW813" s="1"/>
      <c r="AX813" s="1" t="s">
        <v>14791</v>
      </c>
      <c r="AY813" s="1" t="s">
        <v>14792</v>
      </c>
      <c r="AZ813" s="1" t="s">
        <v>310</v>
      </c>
      <c r="BA813" s="1" t="s">
        <v>229</v>
      </c>
      <c r="BB813" s="1">
        <v>67.1</v>
      </c>
      <c r="BC813" s="1">
        <v>7.46</v>
      </c>
      <c r="BD813" s="1"/>
      <c r="BE813" s="1"/>
      <c r="BF813" s="1"/>
      <c r="BG813" s="1"/>
      <c r="BH813" s="1"/>
      <c r="BI813" s="1"/>
      <c r="BJ813" s="1" t="s">
        <v>14793</v>
      </c>
      <c r="BK813" s="1"/>
      <c r="BL813" s="1"/>
      <c r="BM813" s="1" t="s">
        <v>14794</v>
      </c>
      <c r="BN813" s="1">
        <v>21</v>
      </c>
      <c r="BO813" s="1"/>
      <c r="BP813" s="1" t="str">
        <f>HYPERLINK("https://nconnect.nicmar.ac.in/storage/profile/ProfilePhoto_P25702025_648375.jpg","Download")</f>
        <v>0</v>
      </c>
      <c r="BQ813" s="3"/>
      <c r="BR813" s="3"/>
    </row>
    <row r="814" spans="1:70">
      <c r="A814" s="1" t="s">
        <v>441</v>
      </c>
      <c r="B814" s="1" t="s">
        <v>1269</v>
      </c>
      <c r="C814" s="1" t="s">
        <v>14795</v>
      </c>
      <c r="D814" s="1" t="s">
        <v>10035</v>
      </c>
      <c r="E814" s="1" t="s">
        <v>14796</v>
      </c>
      <c r="F814" s="1" t="s">
        <v>950</v>
      </c>
      <c r="G814" s="1" t="s">
        <v>14797</v>
      </c>
      <c r="H814" s="1" t="s">
        <v>14798</v>
      </c>
      <c r="I814" s="1" t="s">
        <v>14799</v>
      </c>
      <c r="J814" s="1">
        <v>7083246505</v>
      </c>
      <c r="K814" s="1" t="s">
        <v>79</v>
      </c>
      <c r="L814" s="1" t="s">
        <v>14800</v>
      </c>
      <c r="M814" s="1" t="s">
        <v>81</v>
      </c>
      <c r="N814" s="1" t="s">
        <v>350</v>
      </c>
      <c r="O814" s="1"/>
      <c r="P814" s="1" t="s">
        <v>1278</v>
      </c>
      <c r="Q814" s="1" t="s">
        <v>14801</v>
      </c>
      <c r="R814" s="1" t="s">
        <v>14802</v>
      </c>
      <c r="S814" s="1">
        <v>9168924773</v>
      </c>
      <c r="T814" s="1" t="s">
        <v>496</v>
      </c>
      <c r="U814" s="1" t="s">
        <v>14803</v>
      </c>
      <c r="V814" s="1">
        <v>9420476388</v>
      </c>
      <c r="W814" s="1" t="s">
        <v>156</v>
      </c>
      <c r="X814" s="1" t="s">
        <v>14804</v>
      </c>
      <c r="Y814" s="1" t="s">
        <v>219</v>
      </c>
      <c r="Z814" s="1" t="s">
        <v>92</v>
      </c>
      <c r="AA814" s="1" t="s">
        <v>14804</v>
      </c>
      <c r="AB814" s="1" t="s">
        <v>219</v>
      </c>
      <c r="AC814" s="1" t="s">
        <v>92</v>
      </c>
      <c r="AD814" s="1">
        <v>7.79</v>
      </c>
      <c r="AE814" s="1" t="s">
        <v>93</v>
      </c>
      <c r="AF814" s="1" t="s">
        <v>14805</v>
      </c>
      <c r="AG814" s="1" t="s">
        <v>14806</v>
      </c>
      <c r="AH814" s="1" t="s">
        <v>101</v>
      </c>
      <c r="AI814" s="1" t="s">
        <v>1065</v>
      </c>
      <c r="AJ814" s="1">
        <v>83.2</v>
      </c>
      <c r="AK814" s="1"/>
      <c r="AL814" s="1" t="s">
        <v>14807</v>
      </c>
      <c r="AM814" s="1" t="s">
        <v>14808</v>
      </c>
      <c r="AN814" s="1" t="s">
        <v>173</v>
      </c>
      <c r="AO814" s="1" t="s">
        <v>436</v>
      </c>
      <c r="AP814" s="1">
        <v>90.67</v>
      </c>
      <c r="AQ814" s="1"/>
      <c r="AR814" s="1"/>
      <c r="AS814" s="1"/>
      <c r="AT814" s="1"/>
      <c r="AU814" s="1"/>
      <c r="AV814" s="1"/>
      <c r="AW814" s="1"/>
      <c r="AX814" s="1" t="s">
        <v>1024</v>
      </c>
      <c r="AY814" s="1" t="s">
        <v>14809</v>
      </c>
      <c r="AZ814" s="1" t="s">
        <v>897</v>
      </c>
      <c r="BA814" s="1" t="s">
        <v>1714</v>
      </c>
      <c r="BB814" s="1">
        <v>55.3</v>
      </c>
      <c r="BC814" s="1">
        <v>6.28</v>
      </c>
      <c r="BD814" s="1"/>
      <c r="BE814" s="1"/>
      <c r="BF814" s="1"/>
      <c r="BG814" s="1"/>
      <c r="BH814" s="1"/>
      <c r="BI814" s="1"/>
      <c r="BJ814" s="1" t="s">
        <v>364</v>
      </c>
      <c r="BK814" s="1"/>
      <c r="BL814" s="1"/>
      <c r="BM814" s="1" t="s">
        <v>14810</v>
      </c>
      <c r="BN814" s="1">
        <v>8</v>
      </c>
      <c r="BO814" s="1"/>
      <c r="BP814" s="1" t="str">
        <f>HYPERLINK("https://nconnect.nicmar.ac.in/storage/profile/ProfilePhoto_P25702026_459627.jpg","Download")</f>
        <v>0</v>
      </c>
      <c r="BQ814" s="3"/>
      <c r="BR814" s="3"/>
    </row>
    <row r="815" spans="1:70">
      <c r="A815" s="1" t="s">
        <v>441</v>
      </c>
      <c r="B815" s="1" t="s">
        <v>1269</v>
      </c>
      <c r="C815" s="1" t="s">
        <v>14811</v>
      </c>
      <c r="D815" s="1" t="s">
        <v>14812</v>
      </c>
      <c r="E815" s="1" t="s">
        <v>513</v>
      </c>
      <c r="F815" s="1" t="s">
        <v>14813</v>
      </c>
      <c r="G815" s="1" t="s">
        <v>14814</v>
      </c>
      <c r="H815" s="1" t="s">
        <v>14815</v>
      </c>
      <c r="I815" s="1" t="s">
        <v>14816</v>
      </c>
      <c r="J815" s="1">
        <v>6353203996</v>
      </c>
      <c r="K815" s="1" t="s">
        <v>79</v>
      </c>
      <c r="L815" s="1" t="s">
        <v>14817</v>
      </c>
      <c r="M815" s="1" t="s">
        <v>81</v>
      </c>
      <c r="N815" s="1" t="s">
        <v>14818</v>
      </c>
      <c r="O815" s="1"/>
      <c r="P815" s="1" t="s">
        <v>1323</v>
      </c>
      <c r="Q815" s="1" t="s">
        <v>14819</v>
      </c>
      <c r="R815" s="1" t="s">
        <v>14820</v>
      </c>
      <c r="S815" s="1">
        <v>9227222882</v>
      </c>
      <c r="T815" s="1" t="s">
        <v>7641</v>
      </c>
      <c r="U815" s="1" t="s">
        <v>14821</v>
      </c>
      <c r="V815" s="1">
        <v>9104412231</v>
      </c>
      <c r="W815" s="1" t="s">
        <v>651</v>
      </c>
      <c r="X815" s="1" t="s">
        <v>14822</v>
      </c>
      <c r="Y815" s="1" t="s">
        <v>8817</v>
      </c>
      <c r="Z815" s="1" t="s">
        <v>1468</v>
      </c>
      <c r="AA815" s="1" t="s">
        <v>14822</v>
      </c>
      <c r="AB815" s="1" t="s">
        <v>8817</v>
      </c>
      <c r="AC815" s="1" t="s">
        <v>1468</v>
      </c>
      <c r="AD815" s="1">
        <v>7.58</v>
      </c>
      <c r="AE815" s="1" t="s">
        <v>93</v>
      </c>
      <c r="AF815" s="1" t="s">
        <v>14823</v>
      </c>
      <c r="AG815" s="1" t="s">
        <v>14824</v>
      </c>
      <c r="AH815" s="1" t="s">
        <v>1307</v>
      </c>
      <c r="AI815" s="1" t="s">
        <v>409</v>
      </c>
      <c r="AJ815" s="1">
        <v>53.16</v>
      </c>
      <c r="AK815" s="1"/>
      <c r="AL815" s="1" t="s">
        <v>14825</v>
      </c>
      <c r="AM815" s="1" t="s">
        <v>14824</v>
      </c>
      <c r="AN815" s="1" t="s">
        <v>173</v>
      </c>
      <c r="AO815" s="1" t="s">
        <v>1712</v>
      </c>
      <c r="AP815" s="1">
        <v>57.85</v>
      </c>
      <c r="AQ815" s="1"/>
      <c r="AR815" s="1"/>
      <c r="AS815" s="1"/>
      <c r="AT815" s="1"/>
      <c r="AU815" s="1"/>
      <c r="AV815" s="1"/>
      <c r="AW815" s="1"/>
      <c r="AX815" s="1" t="s">
        <v>8820</v>
      </c>
      <c r="AY815" s="1" t="s">
        <v>14826</v>
      </c>
      <c r="AZ815" s="1" t="s">
        <v>1407</v>
      </c>
      <c r="BA815" s="1" t="s">
        <v>1361</v>
      </c>
      <c r="BB815" s="1">
        <v>59.5</v>
      </c>
      <c r="BC815" s="1"/>
      <c r="BD815" s="1"/>
      <c r="BE815" s="1"/>
      <c r="BF815" s="1"/>
      <c r="BG815" s="1"/>
      <c r="BH815" s="1"/>
      <c r="BI815" s="1"/>
      <c r="BJ815" s="1" t="s">
        <v>1383</v>
      </c>
      <c r="BK815" s="1"/>
      <c r="BL815" s="1"/>
      <c r="BM815" s="1" t="s">
        <v>14827</v>
      </c>
      <c r="BN815" s="1">
        <v>22</v>
      </c>
      <c r="BO815" s="1" t="s">
        <v>14828</v>
      </c>
      <c r="BP815" s="1" t="str">
        <f>HYPERLINK("https://nconnect.nicmar.ac.in/storage/profile/ProfilePhoto_P25702027_156924.jpg","Download")</f>
        <v>0</v>
      </c>
      <c r="BQ815" s="3"/>
      <c r="BR815" s="3"/>
    </row>
    <row r="816" spans="1:70">
      <c r="A816" s="1" t="s">
        <v>441</v>
      </c>
      <c r="B816" s="1" t="s">
        <v>1269</v>
      </c>
      <c r="C816" s="1" t="s">
        <v>14829</v>
      </c>
      <c r="D816" s="1" t="s">
        <v>5742</v>
      </c>
      <c r="E816" s="1" t="s">
        <v>14830</v>
      </c>
      <c r="F816" s="1" t="s">
        <v>14831</v>
      </c>
      <c r="G816" s="1" t="s">
        <v>14832</v>
      </c>
      <c r="H816" s="1" t="s">
        <v>14833</v>
      </c>
      <c r="I816" s="1" t="s">
        <v>14834</v>
      </c>
      <c r="J816" s="1">
        <v>7558269151</v>
      </c>
      <c r="K816" s="1" t="s">
        <v>79</v>
      </c>
      <c r="L816" s="1" t="s">
        <v>14835</v>
      </c>
      <c r="M816" s="1" t="s">
        <v>81</v>
      </c>
      <c r="N816" s="1" t="s">
        <v>1418</v>
      </c>
      <c r="O816" s="1"/>
      <c r="P816" s="1" t="s">
        <v>1323</v>
      </c>
      <c r="Q816" s="1" t="s">
        <v>14836</v>
      </c>
      <c r="R816" s="1" t="s">
        <v>14830</v>
      </c>
      <c r="S816" s="1">
        <v>9812887049</v>
      </c>
      <c r="T816" s="1" t="s">
        <v>14837</v>
      </c>
      <c r="U816" s="1" t="s">
        <v>14838</v>
      </c>
      <c r="V816" s="1">
        <v>9112724882</v>
      </c>
      <c r="W816" s="1" t="s">
        <v>156</v>
      </c>
      <c r="X816" s="1" t="s">
        <v>14839</v>
      </c>
      <c r="Y816" s="1" t="s">
        <v>523</v>
      </c>
      <c r="Z816" s="1" t="s">
        <v>92</v>
      </c>
      <c r="AA816" s="1" t="s">
        <v>14839</v>
      </c>
      <c r="AB816" s="1" t="s">
        <v>523</v>
      </c>
      <c r="AC816" s="1" t="s">
        <v>92</v>
      </c>
      <c r="AD816" s="1">
        <v>8.56</v>
      </c>
      <c r="AE816" s="1" t="s">
        <v>93</v>
      </c>
      <c r="AF816" s="1" t="s">
        <v>14840</v>
      </c>
      <c r="AG816" s="1" t="s">
        <v>307</v>
      </c>
      <c r="AH816" s="1" t="s">
        <v>337</v>
      </c>
      <c r="AI816" s="1" t="s">
        <v>279</v>
      </c>
      <c r="AJ816" s="1">
        <v>76</v>
      </c>
      <c r="AK816" s="1">
        <v>8</v>
      </c>
      <c r="AL816" s="1" t="s">
        <v>14841</v>
      </c>
      <c r="AM816" s="1" t="s">
        <v>160</v>
      </c>
      <c r="AN816" s="1" t="s">
        <v>383</v>
      </c>
      <c r="AO816" s="1" t="s">
        <v>1307</v>
      </c>
      <c r="AP816" s="1">
        <v>54.62</v>
      </c>
      <c r="AQ816" s="1"/>
      <c r="AR816" s="1"/>
      <c r="AS816" s="1"/>
      <c r="AT816" s="1"/>
      <c r="AU816" s="1"/>
      <c r="AV816" s="1"/>
      <c r="AW816" s="1"/>
      <c r="AX816" s="1" t="s">
        <v>361</v>
      </c>
      <c r="AY816" s="1" t="s">
        <v>14842</v>
      </c>
      <c r="AZ816" s="1" t="s">
        <v>169</v>
      </c>
      <c r="BA816" s="1" t="s">
        <v>386</v>
      </c>
      <c r="BB816" s="1">
        <v>59.7</v>
      </c>
      <c r="BC816" s="1">
        <v>6.72</v>
      </c>
      <c r="BD816" s="1"/>
      <c r="BE816" s="1"/>
      <c r="BF816" s="1"/>
      <c r="BG816" s="1"/>
      <c r="BH816" s="1"/>
      <c r="BI816" s="1"/>
      <c r="BJ816" s="1" t="s">
        <v>14843</v>
      </c>
      <c r="BK816" s="1" t="s">
        <v>14844</v>
      </c>
      <c r="BL816" s="1" t="s">
        <v>484</v>
      </c>
      <c r="BM816" s="1" t="s">
        <v>14845</v>
      </c>
      <c r="BN816" s="1">
        <v>4</v>
      </c>
      <c r="BO816" s="1" t="s">
        <v>14846</v>
      </c>
      <c r="BP816" s="1" t="str">
        <f>HYPERLINK("https://nconnect.nicmar.ac.in/storage/profile/ProfilePhoto_P25702028_937845.jpg","Download")</f>
        <v>0</v>
      </c>
      <c r="BQ816" s="3"/>
      <c r="BR816" s="3"/>
    </row>
    <row r="817" spans="1:70">
      <c r="A817" s="1" t="s">
        <v>441</v>
      </c>
      <c r="B817" s="1" t="s">
        <v>1269</v>
      </c>
      <c r="C817" s="1" t="s">
        <v>14847</v>
      </c>
      <c r="D817" s="1" t="s">
        <v>14848</v>
      </c>
      <c r="E817" s="1" t="s">
        <v>144</v>
      </c>
      <c r="F817" s="1" t="s">
        <v>14849</v>
      </c>
      <c r="G817" s="1" t="s">
        <v>14850</v>
      </c>
      <c r="H817" s="1" t="s">
        <v>14851</v>
      </c>
      <c r="I817" s="1" t="s">
        <v>14852</v>
      </c>
      <c r="J817" s="1">
        <v>7276167578</v>
      </c>
      <c r="K817" s="1" t="s">
        <v>79</v>
      </c>
      <c r="L817" s="1" t="s">
        <v>3504</v>
      </c>
      <c r="M817" s="1" t="s">
        <v>81</v>
      </c>
      <c r="N817" s="1" t="s">
        <v>2008</v>
      </c>
      <c r="O817" s="1"/>
      <c r="P817" s="1" t="s">
        <v>1323</v>
      </c>
      <c r="Q817" s="1" t="s">
        <v>14853</v>
      </c>
      <c r="R817" s="1" t="s">
        <v>14854</v>
      </c>
      <c r="S817" s="1">
        <v>9423977883</v>
      </c>
      <c r="T817" s="1" t="s">
        <v>763</v>
      </c>
      <c r="U817" s="1" t="s">
        <v>14855</v>
      </c>
      <c r="V817" s="1">
        <v>9511212856</v>
      </c>
      <c r="W817" s="1" t="s">
        <v>156</v>
      </c>
      <c r="X817" s="1" t="s">
        <v>14856</v>
      </c>
      <c r="Y817" s="1" t="s">
        <v>191</v>
      </c>
      <c r="Z817" s="1" t="s">
        <v>92</v>
      </c>
      <c r="AA817" s="1" t="s">
        <v>14856</v>
      </c>
      <c r="AB817" s="1" t="s">
        <v>191</v>
      </c>
      <c r="AC817" s="1" t="s">
        <v>92</v>
      </c>
      <c r="AD817" s="1">
        <v>7.61</v>
      </c>
      <c r="AE817" s="1" t="s">
        <v>93</v>
      </c>
      <c r="AF817" s="1" t="s">
        <v>14857</v>
      </c>
      <c r="AG817" s="1" t="s">
        <v>160</v>
      </c>
      <c r="AH817" s="1" t="s">
        <v>165</v>
      </c>
      <c r="AI817" s="1" t="s">
        <v>281</v>
      </c>
      <c r="AJ817" s="1">
        <v>79</v>
      </c>
      <c r="AK817" s="1"/>
      <c r="AL817" s="1"/>
      <c r="AM817" s="1"/>
      <c r="AN817" s="1"/>
      <c r="AO817" s="1"/>
      <c r="AP817" s="1"/>
      <c r="AQ817" s="1"/>
      <c r="AR817" s="1" t="s">
        <v>98</v>
      </c>
      <c r="AS817" s="1" t="s">
        <v>14858</v>
      </c>
      <c r="AT817" s="1" t="s">
        <v>636</v>
      </c>
      <c r="AU817" s="1" t="s">
        <v>2630</v>
      </c>
      <c r="AV817" s="1">
        <v>69</v>
      </c>
      <c r="AW817" s="1"/>
      <c r="AX817" s="1" t="s">
        <v>361</v>
      </c>
      <c r="AY817" s="1" t="s">
        <v>14859</v>
      </c>
      <c r="AZ817" s="1" t="s">
        <v>2690</v>
      </c>
      <c r="BA817" s="1" t="s">
        <v>6069</v>
      </c>
      <c r="BB817" s="1">
        <v>56.2</v>
      </c>
      <c r="BC817" s="1">
        <v>5.99</v>
      </c>
      <c r="BD817" s="1"/>
      <c r="BE817" s="1"/>
      <c r="BF817" s="1"/>
      <c r="BG817" s="1"/>
      <c r="BH817" s="1"/>
      <c r="BI817" s="1"/>
      <c r="BJ817" s="1" t="s">
        <v>364</v>
      </c>
      <c r="BK817" s="1"/>
      <c r="BL817" s="1"/>
      <c r="BM817" s="1" t="s">
        <v>14860</v>
      </c>
      <c r="BN817" s="1">
        <v>17</v>
      </c>
      <c r="BO817" s="1" t="s">
        <v>14861</v>
      </c>
      <c r="BP817" s="1" t="str">
        <f>HYPERLINK("https://nconnect.nicmar.ac.in/storage/profile/ProfilePhoto_P25702029_478612.jpg","Download")</f>
        <v>0</v>
      </c>
      <c r="BQ817" s="3"/>
      <c r="BR817" s="3"/>
    </row>
    <row r="818" spans="1:70">
      <c r="A818" s="1" t="s">
        <v>441</v>
      </c>
      <c r="B818" s="1" t="s">
        <v>1269</v>
      </c>
      <c r="C818" s="1" t="s">
        <v>14862</v>
      </c>
      <c r="D818" s="1" t="s">
        <v>1808</v>
      </c>
      <c r="E818" s="1" t="s">
        <v>13620</v>
      </c>
      <c r="F818" s="1" t="s">
        <v>14863</v>
      </c>
      <c r="G818" s="1" t="s">
        <v>14864</v>
      </c>
      <c r="H818" s="1" t="s">
        <v>14865</v>
      </c>
      <c r="I818" s="1" t="s">
        <v>14866</v>
      </c>
      <c r="J818" s="1">
        <v>7517419935</v>
      </c>
      <c r="K818" s="1" t="s">
        <v>148</v>
      </c>
      <c r="L818" s="1" t="s">
        <v>14867</v>
      </c>
      <c r="M818" s="1" t="s">
        <v>81</v>
      </c>
      <c r="N818" s="1" t="s">
        <v>2008</v>
      </c>
      <c r="O818" s="1"/>
      <c r="P818" s="1" t="s">
        <v>1298</v>
      </c>
      <c r="Q818" s="1" t="s">
        <v>14868</v>
      </c>
      <c r="R818" s="1" t="s">
        <v>14869</v>
      </c>
      <c r="S818" s="1">
        <v>9765368537</v>
      </c>
      <c r="T818" s="1" t="s">
        <v>14870</v>
      </c>
      <c r="U818" s="1" t="s">
        <v>14871</v>
      </c>
      <c r="V818" s="1">
        <v>9158047991</v>
      </c>
      <c r="W818" s="1" t="s">
        <v>156</v>
      </c>
      <c r="X818" s="1" t="s">
        <v>14872</v>
      </c>
      <c r="Y818" s="1" t="s">
        <v>219</v>
      </c>
      <c r="Z818" s="1" t="s">
        <v>92</v>
      </c>
      <c r="AA818" s="1" t="s">
        <v>14872</v>
      </c>
      <c r="AB818" s="1" t="s">
        <v>219</v>
      </c>
      <c r="AC818" s="1" t="s">
        <v>92</v>
      </c>
      <c r="AD818" s="1">
        <v>7.42</v>
      </c>
      <c r="AE818" s="1" t="s">
        <v>93</v>
      </c>
      <c r="AF818" s="1" t="s">
        <v>14873</v>
      </c>
      <c r="AG818" s="1" t="s">
        <v>14874</v>
      </c>
      <c r="AH818" s="1" t="s">
        <v>131</v>
      </c>
      <c r="AI818" s="1" t="s">
        <v>456</v>
      </c>
      <c r="AJ818" s="1">
        <v>85</v>
      </c>
      <c r="AK818" s="1"/>
      <c r="AL818" s="1" t="s">
        <v>14875</v>
      </c>
      <c r="AM818" s="1" t="s">
        <v>14874</v>
      </c>
      <c r="AN818" s="1" t="s">
        <v>195</v>
      </c>
      <c r="AO818" s="1" t="s">
        <v>457</v>
      </c>
      <c r="AP818" s="1">
        <v>53.08</v>
      </c>
      <c r="AQ818" s="1"/>
      <c r="AR818" s="1"/>
      <c r="AS818" s="1"/>
      <c r="AT818" s="1"/>
      <c r="AU818" s="1"/>
      <c r="AV818" s="1"/>
      <c r="AW818" s="1"/>
      <c r="AX818" s="1" t="s">
        <v>14876</v>
      </c>
      <c r="AY818" s="1" t="s">
        <v>14877</v>
      </c>
      <c r="AZ818" s="1" t="s">
        <v>169</v>
      </c>
      <c r="BA818" s="1" t="s">
        <v>386</v>
      </c>
      <c r="BB818" s="1">
        <v>69.82</v>
      </c>
      <c r="BC818" s="1">
        <v>7.35</v>
      </c>
      <c r="BD818" s="1"/>
      <c r="BE818" s="1"/>
      <c r="BF818" s="1"/>
      <c r="BG818" s="1"/>
      <c r="BH818" s="1"/>
      <c r="BI818" s="1"/>
      <c r="BJ818" s="1" t="s">
        <v>14878</v>
      </c>
      <c r="BK818" s="1"/>
      <c r="BL818" s="1"/>
      <c r="BM818" s="1" t="s">
        <v>14879</v>
      </c>
      <c r="BN818" s="1">
        <v>33</v>
      </c>
      <c r="BO818" s="1"/>
      <c r="BP818" s="1" t="str">
        <f>HYPERLINK("https://nconnect.nicmar.ac.in/storage/profile/ProfilePhoto_P25702030_594783.jpg","Download")</f>
        <v>0</v>
      </c>
      <c r="BQ818" s="3"/>
      <c r="BR818" s="3"/>
    </row>
    <row r="819" spans="1:70">
      <c r="A819" s="1" t="s">
        <v>441</v>
      </c>
      <c r="B819" s="1" t="s">
        <v>1269</v>
      </c>
      <c r="C819" s="1" t="s">
        <v>14880</v>
      </c>
      <c r="D819" s="1" t="s">
        <v>11122</v>
      </c>
      <c r="E819" s="1" t="s">
        <v>144</v>
      </c>
      <c r="F819" s="1" t="s">
        <v>393</v>
      </c>
      <c r="G819" s="1" t="s">
        <v>14881</v>
      </c>
      <c r="H819" s="1" t="s">
        <v>14882</v>
      </c>
      <c r="I819" s="1" t="s">
        <v>14883</v>
      </c>
      <c r="J819" s="1">
        <v>9529272388</v>
      </c>
      <c r="K819" s="1" t="s">
        <v>79</v>
      </c>
      <c r="L819" s="1" t="s">
        <v>14884</v>
      </c>
      <c r="M819" s="1" t="s">
        <v>81</v>
      </c>
      <c r="N819" s="1" t="s">
        <v>14885</v>
      </c>
      <c r="O819" s="1" t="s">
        <v>14886</v>
      </c>
      <c r="P819" s="1" t="s">
        <v>1278</v>
      </c>
      <c r="Q819" s="1" t="s">
        <v>14887</v>
      </c>
      <c r="R819" s="1" t="s">
        <v>144</v>
      </c>
      <c r="S819" s="1">
        <v>9529272388</v>
      </c>
      <c r="T819" s="1" t="s">
        <v>120</v>
      </c>
      <c r="U819" s="1" t="s">
        <v>14888</v>
      </c>
      <c r="V819" s="1">
        <v>9552555331</v>
      </c>
      <c r="W819" s="1" t="s">
        <v>651</v>
      </c>
      <c r="X819" s="1" t="s">
        <v>14889</v>
      </c>
      <c r="Y819" s="1" t="s">
        <v>405</v>
      </c>
      <c r="Z819" s="1" t="s">
        <v>92</v>
      </c>
      <c r="AA819" s="1" t="s">
        <v>14889</v>
      </c>
      <c r="AB819" s="1" t="s">
        <v>405</v>
      </c>
      <c r="AC819" s="1" t="s">
        <v>92</v>
      </c>
      <c r="AD819" s="1" t="s">
        <v>93</v>
      </c>
      <c r="AE819" s="1" t="s">
        <v>93</v>
      </c>
      <c r="AF819" s="1" t="s">
        <v>3660</v>
      </c>
      <c r="AG819" s="1" t="s">
        <v>476</v>
      </c>
      <c r="AH819" s="1" t="s">
        <v>97</v>
      </c>
      <c r="AI819" s="1" t="s">
        <v>456</v>
      </c>
      <c r="AJ819" s="1">
        <v>80.4</v>
      </c>
      <c r="AK819" s="1"/>
      <c r="AL819" s="1" t="s">
        <v>14890</v>
      </c>
      <c r="AM819" s="1" t="s">
        <v>476</v>
      </c>
      <c r="AN819" s="1" t="s">
        <v>195</v>
      </c>
      <c r="AO819" s="1" t="s">
        <v>281</v>
      </c>
      <c r="AP819" s="1">
        <v>53</v>
      </c>
      <c r="AQ819" s="1"/>
      <c r="AR819" s="1"/>
      <c r="AS819" s="1"/>
      <c r="AT819" s="1"/>
      <c r="AU819" s="1"/>
      <c r="AV819" s="1"/>
      <c r="AW819" s="1"/>
      <c r="AX819" s="1" t="s">
        <v>410</v>
      </c>
      <c r="AY819" s="1" t="s">
        <v>14891</v>
      </c>
      <c r="AZ819" s="1" t="s">
        <v>636</v>
      </c>
      <c r="BA819" s="1" t="s">
        <v>1134</v>
      </c>
      <c r="BB819" s="1">
        <v>56.6</v>
      </c>
      <c r="BC819" s="1">
        <v>6.41</v>
      </c>
      <c r="BD819" s="1"/>
      <c r="BE819" s="1"/>
      <c r="BF819" s="1"/>
      <c r="BG819" s="1"/>
      <c r="BH819" s="1"/>
      <c r="BI819" s="1"/>
      <c r="BJ819" s="1" t="s">
        <v>14892</v>
      </c>
      <c r="BK819" s="1"/>
      <c r="BL819" s="1"/>
      <c r="BM819" s="1" t="s">
        <v>14893</v>
      </c>
      <c r="BN819" s="1">
        <v>2</v>
      </c>
      <c r="BO819" s="1"/>
      <c r="BP819" s="1" t="str">
        <f>HYPERLINK("https://nconnect.nicmar.ac.in/storage/profile/ProfilePhoto_P25702031_539764.jpg","Download")</f>
        <v>0</v>
      </c>
      <c r="BQ819" s="3"/>
      <c r="BR819" s="3"/>
    </row>
    <row r="820" spans="1:70">
      <c r="A820" s="1" t="s">
        <v>441</v>
      </c>
      <c r="B820" s="1" t="s">
        <v>1269</v>
      </c>
      <c r="C820" s="1" t="s">
        <v>14894</v>
      </c>
      <c r="D820" s="1" t="s">
        <v>2166</v>
      </c>
      <c r="E820" s="1"/>
      <c r="F820" s="1" t="s">
        <v>5055</v>
      </c>
      <c r="G820" s="1" t="s">
        <v>14895</v>
      </c>
      <c r="H820" s="1" t="s">
        <v>14896</v>
      </c>
      <c r="I820" s="1" t="s">
        <v>14897</v>
      </c>
      <c r="J820" s="1">
        <v>8138844161</v>
      </c>
      <c r="K820" s="1" t="s">
        <v>79</v>
      </c>
      <c r="L820" s="1" t="s">
        <v>14898</v>
      </c>
      <c r="M820" s="1" t="s">
        <v>81</v>
      </c>
      <c r="N820" s="1" t="s">
        <v>4057</v>
      </c>
      <c r="O820" s="1" t="s">
        <v>14899</v>
      </c>
      <c r="P820" s="1" t="s">
        <v>1278</v>
      </c>
      <c r="Q820" s="1" t="s">
        <v>14900</v>
      </c>
      <c r="R820" s="1" t="s">
        <v>14901</v>
      </c>
      <c r="S820" s="1">
        <v>8086487698</v>
      </c>
      <c r="T820" s="1" t="s">
        <v>842</v>
      </c>
      <c r="U820" s="1" t="s">
        <v>14902</v>
      </c>
      <c r="V820" s="1">
        <v>9037368968</v>
      </c>
      <c r="W820" s="1" t="s">
        <v>89</v>
      </c>
      <c r="X820" s="1" t="s">
        <v>14903</v>
      </c>
      <c r="Y820" s="1" t="s">
        <v>3323</v>
      </c>
      <c r="Z820" s="1" t="s">
        <v>125</v>
      </c>
      <c r="AA820" s="1" t="s">
        <v>14903</v>
      </c>
      <c r="AB820" s="1" t="s">
        <v>3323</v>
      </c>
      <c r="AC820" s="1" t="s">
        <v>125</v>
      </c>
      <c r="AD820" s="1">
        <v>9.32</v>
      </c>
      <c r="AE820" s="1" t="s">
        <v>93</v>
      </c>
      <c r="AF820" s="1" t="s">
        <v>14904</v>
      </c>
      <c r="AG820" s="1" t="s">
        <v>307</v>
      </c>
      <c r="AH820" s="1" t="s">
        <v>162</v>
      </c>
      <c r="AI820" s="1" t="s">
        <v>165</v>
      </c>
      <c r="AJ820" s="1">
        <v>95</v>
      </c>
      <c r="AK820" s="1">
        <v>10</v>
      </c>
      <c r="AL820" s="1" t="s">
        <v>14904</v>
      </c>
      <c r="AM820" s="1" t="s">
        <v>307</v>
      </c>
      <c r="AN820" s="1" t="s">
        <v>166</v>
      </c>
      <c r="AO820" s="1" t="s">
        <v>308</v>
      </c>
      <c r="AP820" s="1">
        <v>91</v>
      </c>
      <c r="AQ820" s="1"/>
      <c r="AR820" s="1"/>
      <c r="AS820" s="1"/>
      <c r="AT820" s="1"/>
      <c r="AU820" s="1"/>
      <c r="AV820" s="1"/>
      <c r="AW820" s="1"/>
      <c r="AX820" s="1" t="s">
        <v>14905</v>
      </c>
      <c r="AY820" s="1" t="s">
        <v>14906</v>
      </c>
      <c r="AZ820" s="1" t="s">
        <v>310</v>
      </c>
      <c r="BA820" s="1" t="s">
        <v>413</v>
      </c>
      <c r="BB820" s="1">
        <v>82.8</v>
      </c>
      <c r="BC820" s="1">
        <v>8.28</v>
      </c>
      <c r="BD820" s="1"/>
      <c r="BE820" s="1"/>
      <c r="BF820" s="1"/>
      <c r="BG820" s="1"/>
      <c r="BH820" s="1"/>
      <c r="BI820" s="1"/>
      <c r="BJ820" s="1" t="s">
        <v>14907</v>
      </c>
      <c r="BK820" s="1" t="s">
        <v>14908</v>
      </c>
      <c r="BL820" s="1" t="s">
        <v>287</v>
      </c>
      <c r="BM820" s="1" t="s">
        <v>14909</v>
      </c>
      <c r="BN820" s="1">
        <v>25</v>
      </c>
      <c r="BO820" s="1" t="s">
        <v>14910</v>
      </c>
      <c r="BP820" s="1" t="str">
        <f>HYPERLINK("https://nconnect.nicmar.ac.in/storage/profile/ProfilePhoto_P25702032_856149.jpg","Download")</f>
        <v>0</v>
      </c>
      <c r="BQ820" s="3"/>
      <c r="BR820" s="3"/>
    </row>
    <row r="821" spans="1:70">
      <c r="A821" s="1" t="s">
        <v>441</v>
      </c>
      <c r="B821" s="1" t="s">
        <v>1269</v>
      </c>
      <c r="C821" s="1" t="s">
        <v>14911</v>
      </c>
      <c r="D821" s="1" t="s">
        <v>14912</v>
      </c>
      <c r="E821" s="1" t="s">
        <v>14913</v>
      </c>
      <c r="F821" s="1" t="s">
        <v>9701</v>
      </c>
      <c r="G821" s="1" t="s">
        <v>14914</v>
      </c>
      <c r="H821" s="1" t="s">
        <v>14915</v>
      </c>
      <c r="I821" s="1" t="s">
        <v>14916</v>
      </c>
      <c r="J821" s="1">
        <v>9370854324</v>
      </c>
      <c r="K821" s="1" t="s">
        <v>79</v>
      </c>
      <c r="L821" s="1" t="s">
        <v>14917</v>
      </c>
      <c r="M821" s="1" t="s">
        <v>81</v>
      </c>
      <c r="N821" s="1" t="s">
        <v>13951</v>
      </c>
      <c r="O821" s="1"/>
      <c r="P821" s="1" t="s">
        <v>1298</v>
      </c>
      <c r="Q821" s="1" t="s">
        <v>14918</v>
      </c>
      <c r="R821" s="1" t="s">
        <v>14913</v>
      </c>
      <c r="S821" s="1">
        <v>9890903862</v>
      </c>
      <c r="T821" s="1" t="s">
        <v>1554</v>
      </c>
      <c r="U821" s="1" t="s">
        <v>14919</v>
      </c>
      <c r="V821" s="1">
        <v>9890903818</v>
      </c>
      <c r="W821" s="1" t="s">
        <v>156</v>
      </c>
      <c r="X821" s="1" t="s">
        <v>14920</v>
      </c>
      <c r="Y821" s="1" t="s">
        <v>5915</v>
      </c>
      <c r="Z821" s="1" t="s">
        <v>92</v>
      </c>
      <c r="AA821" s="1" t="s">
        <v>14921</v>
      </c>
      <c r="AB821" s="1" t="s">
        <v>5915</v>
      </c>
      <c r="AC821" s="1" t="s">
        <v>92</v>
      </c>
      <c r="AD821" s="1">
        <v>7.5</v>
      </c>
      <c r="AE821" s="1" t="s">
        <v>93</v>
      </c>
      <c r="AF821" s="1" t="s">
        <v>14922</v>
      </c>
      <c r="AG821" s="1" t="s">
        <v>14923</v>
      </c>
      <c r="AH821" s="1" t="s">
        <v>101</v>
      </c>
      <c r="AI821" s="1" t="s">
        <v>308</v>
      </c>
      <c r="AJ821" s="1">
        <v>92</v>
      </c>
      <c r="AK821" s="1">
        <v>0</v>
      </c>
      <c r="AL821" s="1" t="s">
        <v>14924</v>
      </c>
      <c r="AM821" s="1" t="s">
        <v>14925</v>
      </c>
      <c r="AN821" s="1" t="s">
        <v>699</v>
      </c>
      <c r="AO821" s="1" t="s">
        <v>2016</v>
      </c>
      <c r="AP821" s="1">
        <v>89.17</v>
      </c>
      <c r="AQ821" s="1">
        <v>0</v>
      </c>
      <c r="AR821" s="1"/>
      <c r="AS821" s="1"/>
      <c r="AT821" s="1"/>
      <c r="AU821" s="1"/>
      <c r="AV821" s="1"/>
      <c r="AW821" s="1"/>
      <c r="AX821" s="1" t="s">
        <v>361</v>
      </c>
      <c r="AY821" s="1" t="s">
        <v>6395</v>
      </c>
      <c r="AZ821" s="1" t="s">
        <v>201</v>
      </c>
      <c r="BA821" s="1" t="s">
        <v>1361</v>
      </c>
      <c r="BB821" s="1">
        <v>71.82</v>
      </c>
      <c r="BC821" s="1">
        <v>7.98</v>
      </c>
      <c r="BD821" s="1"/>
      <c r="BE821" s="1"/>
      <c r="BF821" s="1"/>
      <c r="BG821" s="1"/>
      <c r="BH821" s="1"/>
      <c r="BI821" s="1"/>
      <c r="BJ821" s="1" t="s">
        <v>364</v>
      </c>
      <c r="BK821" s="1"/>
      <c r="BL821" s="1"/>
      <c r="BM821" s="1"/>
      <c r="BN821" s="1"/>
      <c r="BO821" s="1"/>
      <c r="BP821" s="1" t="str">
        <f>HYPERLINK("https://nconnect.nicmar.ac.in/storage/profile/ProfilePhoto_P25702033_792583.jpg","Download")</f>
        <v>0</v>
      </c>
      <c r="BQ821" s="3"/>
      <c r="BR821" s="3"/>
    </row>
    <row r="822" spans="1:70">
      <c r="A822" s="1" t="s">
        <v>441</v>
      </c>
      <c r="B822" s="1" t="s">
        <v>1269</v>
      </c>
      <c r="C822" s="1" t="s">
        <v>14926</v>
      </c>
      <c r="D822" s="1" t="s">
        <v>9781</v>
      </c>
      <c r="E822" s="1"/>
      <c r="F822" s="1" t="s">
        <v>14927</v>
      </c>
      <c r="G822" s="1" t="s">
        <v>14928</v>
      </c>
      <c r="H822" s="1" t="s">
        <v>14929</v>
      </c>
      <c r="I822" s="1" t="s">
        <v>14930</v>
      </c>
      <c r="J822" s="1">
        <v>8639120440</v>
      </c>
      <c r="K822" s="1" t="s">
        <v>79</v>
      </c>
      <c r="L822" s="1" t="s">
        <v>6927</v>
      </c>
      <c r="M822" s="1" t="s">
        <v>81</v>
      </c>
      <c r="N822" s="1" t="s">
        <v>5583</v>
      </c>
      <c r="O822" s="1"/>
      <c r="P822" s="1" t="s">
        <v>1323</v>
      </c>
      <c r="Q822" s="1" t="s">
        <v>14931</v>
      </c>
      <c r="R822" s="1" t="s">
        <v>14932</v>
      </c>
      <c r="S822" s="1">
        <v>9393939971</v>
      </c>
      <c r="T822" s="1" t="s">
        <v>14933</v>
      </c>
      <c r="U822" s="1" t="s">
        <v>14934</v>
      </c>
      <c r="V822" s="1">
        <v>9652398801</v>
      </c>
      <c r="W822" s="1" t="s">
        <v>273</v>
      </c>
      <c r="X822" s="1" t="s">
        <v>14935</v>
      </c>
      <c r="Y822" s="1" t="s">
        <v>2723</v>
      </c>
      <c r="Z822" s="1" t="s">
        <v>276</v>
      </c>
      <c r="AA822" s="1" t="s">
        <v>14936</v>
      </c>
      <c r="AB822" s="1" t="s">
        <v>2723</v>
      </c>
      <c r="AC822" s="1" t="s">
        <v>276</v>
      </c>
      <c r="AD822" s="1" t="s">
        <v>93</v>
      </c>
      <c r="AE822" s="1" t="s">
        <v>93</v>
      </c>
      <c r="AF822" s="1" t="s">
        <v>2262</v>
      </c>
      <c r="AG822" s="1" t="s">
        <v>14937</v>
      </c>
      <c r="AH822" s="1" t="s">
        <v>678</v>
      </c>
      <c r="AI822" s="1" t="s">
        <v>1307</v>
      </c>
      <c r="AJ822" s="1">
        <v>93</v>
      </c>
      <c r="AK822" s="1"/>
      <c r="AL822" s="1" t="s">
        <v>1153</v>
      </c>
      <c r="AM822" s="1" t="s">
        <v>14938</v>
      </c>
      <c r="AN822" s="1" t="s">
        <v>101</v>
      </c>
      <c r="AO822" s="1" t="s">
        <v>699</v>
      </c>
      <c r="AP822" s="1">
        <v>62.5</v>
      </c>
      <c r="AQ822" s="1">
        <v>6.25</v>
      </c>
      <c r="AR822" s="1"/>
      <c r="AS822" s="1"/>
      <c r="AT822" s="1"/>
      <c r="AU822" s="1"/>
      <c r="AV822" s="1"/>
      <c r="AW822" s="1"/>
      <c r="AX822" s="1" t="s">
        <v>14939</v>
      </c>
      <c r="AY822" s="1" t="s">
        <v>14940</v>
      </c>
      <c r="AZ822" s="1" t="s">
        <v>699</v>
      </c>
      <c r="BA822" s="1" t="s">
        <v>202</v>
      </c>
      <c r="BB822" s="1">
        <v>63.93</v>
      </c>
      <c r="BC822" s="1">
        <v>7.75</v>
      </c>
      <c r="BD822" s="1"/>
      <c r="BE822" s="1"/>
      <c r="BF822" s="1"/>
      <c r="BG822" s="1"/>
      <c r="BH822" s="1"/>
      <c r="BI822" s="1"/>
      <c r="BJ822" s="1" t="s">
        <v>14941</v>
      </c>
      <c r="BK822" s="1"/>
      <c r="BL822" s="1"/>
      <c r="BM822" s="1" t="s">
        <v>14942</v>
      </c>
      <c r="BN822" s="1">
        <v>9</v>
      </c>
      <c r="BO822" s="1"/>
      <c r="BP822" s="1" t="str">
        <f>HYPERLINK("https://nconnect.nicmar.ac.in/storage/profile/ProfilePhoto_P25702034_732194.jpg","Download")</f>
        <v>0</v>
      </c>
      <c r="BQ822" s="3"/>
      <c r="BR822" s="3"/>
    </row>
    <row r="823" spans="1:70">
      <c r="A823" s="1" t="s">
        <v>441</v>
      </c>
      <c r="B823" s="1" t="s">
        <v>1269</v>
      </c>
      <c r="C823" s="1" t="s">
        <v>14943</v>
      </c>
      <c r="D823" s="1" t="s">
        <v>14683</v>
      </c>
      <c r="E823" s="1" t="s">
        <v>5072</v>
      </c>
      <c r="F823" s="1" t="s">
        <v>7759</v>
      </c>
      <c r="G823" s="1" t="s">
        <v>14944</v>
      </c>
      <c r="H823" s="1" t="s">
        <v>14945</v>
      </c>
      <c r="I823" s="1" t="s">
        <v>14946</v>
      </c>
      <c r="J823" s="1">
        <v>8856058919</v>
      </c>
      <c r="K823" s="1" t="s">
        <v>148</v>
      </c>
      <c r="L823" s="1" t="s">
        <v>14947</v>
      </c>
      <c r="M823" s="1" t="s">
        <v>81</v>
      </c>
      <c r="N823" s="1" t="s">
        <v>860</v>
      </c>
      <c r="O823" s="1" t="s">
        <v>14948</v>
      </c>
      <c r="P823" s="1" t="s">
        <v>1323</v>
      </c>
      <c r="Q823" s="1" t="s">
        <v>14949</v>
      </c>
      <c r="R823" s="1" t="s">
        <v>5072</v>
      </c>
      <c r="S823" s="1">
        <v>8551899461</v>
      </c>
      <c r="T823" s="1" t="s">
        <v>976</v>
      </c>
      <c r="U823" s="1" t="s">
        <v>10009</v>
      </c>
      <c r="V823" s="1">
        <v>9112199461</v>
      </c>
      <c r="W823" s="1" t="s">
        <v>156</v>
      </c>
      <c r="X823" s="1" t="s">
        <v>14950</v>
      </c>
      <c r="Y823" s="1" t="s">
        <v>6375</v>
      </c>
      <c r="Z823" s="1" t="s">
        <v>92</v>
      </c>
      <c r="AA823" s="1" t="s">
        <v>14950</v>
      </c>
      <c r="AB823" s="1" t="s">
        <v>6375</v>
      </c>
      <c r="AC823" s="1" t="s">
        <v>92</v>
      </c>
      <c r="AD823" s="1" t="s">
        <v>93</v>
      </c>
      <c r="AE823" s="1" t="s">
        <v>93</v>
      </c>
      <c r="AF823" s="1" t="s">
        <v>14951</v>
      </c>
      <c r="AG823" s="1" t="s">
        <v>14952</v>
      </c>
      <c r="AH823" s="1" t="s">
        <v>162</v>
      </c>
      <c r="AI823" s="1" t="s">
        <v>195</v>
      </c>
      <c r="AJ823" s="1">
        <v>57.4</v>
      </c>
      <c r="AK823" s="1"/>
      <c r="AL823" s="1" t="s">
        <v>14953</v>
      </c>
      <c r="AM823" s="1" t="s">
        <v>14954</v>
      </c>
      <c r="AN823" s="1" t="s">
        <v>101</v>
      </c>
      <c r="AO823" s="1" t="s">
        <v>198</v>
      </c>
      <c r="AP823" s="1">
        <v>66.46</v>
      </c>
      <c r="AQ823" s="1"/>
      <c r="AR823" s="1"/>
      <c r="AS823" s="1"/>
      <c r="AT823" s="1"/>
      <c r="AU823" s="1"/>
      <c r="AV823" s="1"/>
      <c r="AW823" s="1"/>
      <c r="AX823" s="1" t="s">
        <v>361</v>
      </c>
      <c r="AY823" s="1" t="s">
        <v>14955</v>
      </c>
      <c r="AZ823" s="1" t="s">
        <v>201</v>
      </c>
      <c r="BA823" s="1" t="s">
        <v>174</v>
      </c>
      <c r="BB823" s="1">
        <v>65.4</v>
      </c>
      <c r="BC823" s="1">
        <v>7.35</v>
      </c>
      <c r="BD823" s="1"/>
      <c r="BE823" s="1"/>
      <c r="BF823" s="1"/>
      <c r="BG823" s="1"/>
      <c r="BH823" s="1"/>
      <c r="BI823" s="1"/>
      <c r="BJ823" s="1" t="s">
        <v>1939</v>
      </c>
      <c r="BK823" s="1"/>
      <c r="BL823" s="1"/>
      <c r="BM823" s="1" t="s">
        <v>14956</v>
      </c>
      <c r="BN823" s="1">
        <v>26</v>
      </c>
      <c r="BO823" s="1" t="s">
        <v>14957</v>
      </c>
      <c r="BP823" s="1" t="str">
        <f>HYPERLINK("https://nconnect.nicmar.ac.in/storage/profile/ProfilePhoto_P25702035_359426.jpg","Download")</f>
        <v>0</v>
      </c>
      <c r="BQ823" s="3"/>
      <c r="BR823" s="3"/>
    </row>
    <row r="824" spans="1:70">
      <c r="A824" s="1" t="s">
        <v>441</v>
      </c>
      <c r="B824" s="1" t="s">
        <v>1269</v>
      </c>
      <c r="C824" s="1" t="s">
        <v>14958</v>
      </c>
      <c r="D824" s="1" t="s">
        <v>14959</v>
      </c>
      <c r="E824" s="1" t="s">
        <v>14960</v>
      </c>
      <c r="F824" s="1" t="s">
        <v>14961</v>
      </c>
      <c r="G824" s="1" t="s">
        <v>14962</v>
      </c>
      <c r="H824" s="1" t="s">
        <v>14963</v>
      </c>
      <c r="I824" s="1" t="s">
        <v>14964</v>
      </c>
      <c r="J824" s="1">
        <v>8855949360</v>
      </c>
      <c r="K824" s="1" t="s">
        <v>79</v>
      </c>
      <c r="L824" s="1" t="s">
        <v>14965</v>
      </c>
      <c r="M824" s="1" t="s">
        <v>81</v>
      </c>
      <c r="N824" s="1" t="s">
        <v>1418</v>
      </c>
      <c r="O824" s="1"/>
      <c r="P824" s="1" t="s">
        <v>1323</v>
      </c>
      <c r="Q824" s="1" t="s">
        <v>14966</v>
      </c>
      <c r="R824" s="1" t="s">
        <v>14967</v>
      </c>
      <c r="S824" s="1">
        <v>9403353266</v>
      </c>
      <c r="T824" s="1" t="s">
        <v>14968</v>
      </c>
      <c r="U824" s="1" t="s">
        <v>1621</v>
      </c>
      <c r="V824" s="1">
        <v>9403353266</v>
      </c>
      <c r="W824" s="1" t="s">
        <v>93</v>
      </c>
      <c r="X824" s="1" t="s">
        <v>14969</v>
      </c>
      <c r="Y824" s="1" t="s">
        <v>6832</v>
      </c>
      <c r="Z824" s="1" t="s">
        <v>92</v>
      </c>
      <c r="AA824" s="1" t="s">
        <v>14969</v>
      </c>
      <c r="AB824" s="1" t="s">
        <v>6832</v>
      </c>
      <c r="AC824" s="1" t="s">
        <v>92</v>
      </c>
      <c r="AD824" s="1">
        <v>7.43</v>
      </c>
      <c r="AE824" s="1" t="s">
        <v>93</v>
      </c>
      <c r="AF824" s="1" t="s">
        <v>14970</v>
      </c>
      <c r="AG824" s="1" t="s">
        <v>544</v>
      </c>
      <c r="AH824" s="1" t="s">
        <v>162</v>
      </c>
      <c r="AI824" s="1" t="s">
        <v>195</v>
      </c>
      <c r="AJ824" s="1">
        <v>89.6</v>
      </c>
      <c r="AK824" s="1"/>
      <c r="AL824" s="1" t="s">
        <v>14971</v>
      </c>
      <c r="AM824" s="1" t="s">
        <v>544</v>
      </c>
      <c r="AN824" s="1" t="s">
        <v>101</v>
      </c>
      <c r="AO824" s="1" t="s">
        <v>198</v>
      </c>
      <c r="AP824" s="1">
        <v>57.69</v>
      </c>
      <c r="AQ824" s="1"/>
      <c r="AR824" s="1"/>
      <c r="AS824" s="1"/>
      <c r="AT824" s="1"/>
      <c r="AU824" s="1"/>
      <c r="AV824" s="1"/>
      <c r="AW824" s="1"/>
      <c r="AX824" s="1" t="s">
        <v>3065</v>
      </c>
      <c r="AY824" s="1" t="s">
        <v>14972</v>
      </c>
      <c r="AZ824" s="1" t="s">
        <v>201</v>
      </c>
      <c r="BA824" s="1" t="s">
        <v>174</v>
      </c>
      <c r="BB824" s="1">
        <v>67.81</v>
      </c>
      <c r="BC824" s="1">
        <v>7.62</v>
      </c>
      <c r="BD824" s="1"/>
      <c r="BE824" s="1"/>
      <c r="BF824" s="1"/>
      <c r="BG824" s="1"/>
      <c r="BH824" s="1"/>
      <c r="BI824" s="1"/>
      <c r="BJ824" s="1" t="s">
        <v>14973</v>
      </c>
      <c r="BK824" s="1"/>
      <c r="BL824" s="1"/>
      <c r="BM824" s="1" t="s">
        <v>14974</v>
      </c>
      <c r="BN824" s="1">
        <v>7</v>
      </c>
      <c r="BO824" s="1"/>
      <c r="BP824" s="1" t="str">
        <f>HYPERLINK("https://nconnect.nicmar.ac.in/storage/profile/ProfilePhoto_P25702036_658941.jpg","Download")</f>
        <v>0</v>
      </c>
      <c r="BQ824" s="3"/>
      <c r="BR824" s="3"/>
    </row>
    <row r="825" spans="1:70">
      <c r="A825" s="1" t="s">
        <v>441</v>
      </c>
      <c r="B825" s="1" t="s">
        <v>1269</v>
      </c>
      <c r="C825" s="1" t="s">
        <v>14975</v>
      </c>
      <c r="D825" s="1" t="s">
        <v>14976</v>
      </c>
      <c r="E825" s="1" t="s">
        <v>14977</v>
      </c>
      <c r="F825" s="1" t="s">
        <v>924</v>
      </c>
      <c r="G825" s="1" t="s">
        <v>14978</v>
      </c>
      <c r="H825" s="1" t="s">
        <v>14979</v>
      </c>
      <c r="I825" s="1" t="s">
        <v>14980</v>
      </c>
      <c r="J825" s="1">
        <v>7021314511</v>
      </c>
      <c r="K825" s="1" t="s">
        <v>79</v>
      </c>
      <c r="L825" s="1" t="s">
        <v>14981</v>
      </c>
      <c r="M825" s="1" t="s">
        <v>81</v>
      </c>
      <c r="N825" s="1" t="s">
        <v>860</v>
      </c>
      <c r="O825" s="1"/>
      <c r="P825" s="1" t="s">
        <v>1278</v>
      </c>
      <c r="Q825" s="1" t="s">
        <v>14982</v>
      </c>
      <c r="R825" s="1" t="s">
        <v>14983</v>
      </c>
      <c r="S825" s="1">
        <v>9892544733</v>
      </c>
      <c r="T825" s="1" t="s">
        <v>5439</v>
      </c>
      <c r="U825" s="1" t="s">
        <v>14984</v>
      </c>
      <c r="V825" s="1">
        <v>7021898208</v>
      </c>
      <c r="W825" s="1" t="s">
        <v>89</v>
      </c>
      <c r="X825" s="1" t="s">
        <v>14985</v>
      </c>
      <c r="Y825" s="1" t="s">
        <v>1623</v>
      </c>
      <c r="Z825" s="1" t="s">
        <v>92</v>
      </c>
      <c r="AA825" s="1" t="s">
        <v>14985</v>
      </c>
      <c r="AB825" s="1" t="s">
        <v>1623</v>
      </c>
      <c r="AC825" s="1" t="s">
        <v>92</v>
      </c>
      <c r="AD825" s="1">
        <v>8.29</v>
      </c>
      <c r="AE825" s="1" t="s">
        <v>93</v>
      </c>
      <c r="AF825" s="1" t="s">
        <v>14986</v>
      </c>
      <c r="AG825" s="1" t="s">
        <v>14987</v>
      </c>
      <c r="AH825" s="1" t="s">
        <v>527</v>
      </c>
      <c r="AI825" s="1" t="s">
        <v>195</v>
      </c>
      <c r="AJ825" s="1">
        <v>83.8</v>
      </c>
      <c r="AK825" s="1"/>
      <c r="AL825" s="1" t="s">
        <v>3043</v>
      </c>
      <c r="AM825" s="1" t="s">
        <v>14987</v>
      </c>
      <c r="AN825" s="1" t="s">
        <v>165</v>
      </c>
      <c r="AO825" s="1" t="s">
        <v>198</v>
      </c>
      <c r="AP825" s="1">
        <v>58</v>
      </c>
      <c r="AQ825" s="1"/>
      <c r="AR825" s="1"/>
      <c r="AS825" s="1"/>
      <c r="AT825" s="1"/>
      <c r="AU825" s="1"/>
      <c r="AV825" s="1"/>
      <c r="AW825" s="1"/>
      <c r="AX825" s="1" t="s">
        <v>1024</v>
      </c>
      <c r="AY825" s="1" t="s">
        <v>14988</v>
      </c>
      <c r="AZ825" s="1" t="s">
        <v>310</v>
      </c>
      <c r="BA825" s="1" t="s">
        <v>174</v>
      </c>
      <c r="BB825" s="1">
        <v>74.21</v>
      </c>
      <c r="BC825" s="1">
        <v>8.34</v>
      </c>
      <c r="BD825" s="1"/>
      <c r="BE825" s="1"/>
      <c r="BF825" s="1"/>
      <c r="BG825" s="1"/>
      <c r="BH825" s="1"/>
      <c r="BI825" s="1"/>
      <c r="BJ825" s="1" t="s">
        <v>14989</v>
      </c>
      <c r="BK825" s="1"/>
      <c r="BL825" s="1"/>
      <c r="BM825" s="1" t="s">
        <v>14990</v>
      </c>
      <c r="BN825" s="1">
        <v>30</v>
      </c>
      <c r="BO825" s="1"/>
      <c r="BP825" s="1" t="str">
        <f>HYPERLINK("https://nconnect.nicmar.ac.in/storage/profile/ProfilePhoto_P25702037_783451.jpg","Download")</f>
        <v>0</v>
      </c>
      <c r="BQ825" s="3"/>
      <c r="BR825" s="3"/>
    </row>
    <row r="826" spans="1:70">
      <c r="A826" s="1" t="s">
        <v>441</v>
      </c>
      <c r="B826" s="1" t="s">
        <v>1269</v>
      </c>
      <c r="C826" s="1" t="s">
        <v>14991</v>
      </c>
      <c r="D826" s="1" t="s">
        <v>901</v>
      </c>
      <c r="E826" s="1" t="s">
        <v>14992</v>
      </c>
      <c r="F826" s="1" t="s">
        <v>14993</v>
      </c>
      <c r="G826" s="1" t="s">
        <v>14994</v>
      </c>
      <c r="H826" s="1" t="s">
        <v>14995</v>
      </c>
      <c r="I826" s="1" t="s">
        <v>14996</v>
      </c>
      <c r="J826" s="1">
        <v>7620345159</v>
      </c>
      <c r="K826" s="1" t="s">
        <v>79</v>
      </c>
      <c r="L826" s="1" t="s">
        <v>690</v>
      </c>
      <c r="M826" s="1" t="s">
        <v>81</v>
      </c>
      <c r="N826" s="1" t="s">
        <v>13951</v>
      </c>
      <c r="O826" s="1"/>
      <c r="P826" s="1" t="s">
        <v>1298</v>
      </c>
      <c r="Q826" s="1" t="s">
        <v>14997</v>
      </c>
      <c r="R826" s="1" t="s">
        <v>14998</v>
      </c>
      <c r="S826" s="1">
        <v>9359439569</v>
      </c>
      <c r="T826" s="1" t="s">
        <v>14999</v>
      </c>
      <c r="U826" s="1" t="s">
        <v>15000</v>
      </c>
      <c r="V826" s="1">
        <v>9673071898</v>
      </c>
      <c r="W826" s="1" t="s">
        <v>156</v>
      </c>
      <c r="X826" s="1" t="s">
        <v>15001</v>
      </c>
      <c r="Y826" s="1" t="s">
        <v>405</v>
      </c>
      <c r="Z826" s="1" t="s">
        <v>92</v>
      </c>
      <c r="AA826" s="1" t="s">
        <v>15001</v>
      </c>
      <c r="AB826" s="1" t="s">
        <v>405</v>
      </c>
      <c r="AC826" s="1" t="s">
        <v>92</v>
      </c>
      <c r="AD826" s="1">
        <v>7.21</v>
      </c>
      <c r="AE826" s="1" t="s">
        <v>93</v>
      </c>
      <c r="AF826" s="1" t="s">
        <v>15002</v>
      </c>
      <c r="AG826" s="1" t="s">
        <v>15003</v>
      </c>
      <c r="AH826" s="1" t="s">
        <v>97</v>
      </c>
      <c r="AI826" s="1" t="s">
        <v>279</v>
      </c>
      <c r="AJ826" s="1">
        <v>80</v>
      </c>
      <c r="AK826" s="1">
        <v>0</v>
      </c>
      <c r="AL826" s="1" t="s">
        <v>15004</v>
      </c>
      <c r="AM826" s="1" t="s">
        <v>15005</v>
      </c>
      <c r="AN826" s="1" t="s">
        <v>733</v>
      </c>
      <c r="AO826" s="1" t="s">
        <v>101</v>
      </c>
      <c r="AP826" s="1">
        <v>64.77</v>
      </c>
      <c r="AQ826" s="1">
        <v>0</v>
      </c>
      <c r="AR826" s="1"/>
      <c r="AS826" s="1"/>
      <c r="AT826" s="1"/>
      <c r="AU826" s="1"/>
      <c r="AV826" s="1"/>
      <c r="AW826" s="1"/>
      <c r="AX826" s="1" t="s">
        <v>410</v>
      </c>
      <c r="AY826" s="1" t="s">
        <v>15006</v>
      </c>
      <c r="AZ826" s="1" t="s">
        <v>169</v>
      </c>
      <c r="BA826" s="1" t="s">
        <v>481</v>
      </c>
      <c r="BB826" s="1">
        <v>85.8</v>
      </c>
      <c r="BC826" s="1">
        <v>9.33</v>
      </c>
      <c r="BD826" s="1"/>
      <c r="BE826" s="1"/>
      <c r="BF826" s="1"/>
      <c r="BG826" s="1"/>
      <c r="BH826" s="1"/>
      <c r="BI826" s="1"/>
      <c r="BJ826" s="1" t="s">
        <v>2080</v>
      </c>
      <c r="BK826" s="1" t="s">
        <v>15007</v>
      </c>
      <c r="BL826" s="1" t="s">
        <v>5625</v>
      </c>
      <c r="BM826" s="1" t="s">
        <v>15008</v>
      </c>
      <c r="BN826" s="1">
        <v>8</v>
      </c>
      <c r="BO826" s="1" t="s">
        <v>4724</v>
      </c>
      <c r="BP826" s="1" t="str">
        <f>HYPERLINK("https://nconnect.nicmar.ac.in/storage/profile/ProfilePhoto_P25702038_746298.jpg","Download")</f>
        <v>0</v>
      </c>
      <c r="BQ826" s="3"/>
      <c r="BR826" s="3"/>
    </row>
    <row r="827" spans="1:70">
      <c r="A827" s="1" t="s">
        <v>441</v>
      </c>
      <c r="B827" s="1" t="s">
        <v>1269</v>
      </c>
      <c r="C827" s="1" t="s">
        <v>15009</v>
      </c>
      <c r="D827" s="1" t="s">
        <v>15010</v>
      </c>
      <c r="E827" s="1"/>
      <c r="F827" s="1" t="s">
        <v>4684</v>
      </c>
      <c r="G827" s="1" t="s">
        <v>15011</v>
      </c>
      <c r="H827" s="1" t="s">
        <v>15012</v>
      </c>
      <c r="I827" s="1" t="s">
        <v>15013</v>
      </c>
      <c r="J827" s="1">
        <v>8866454994</v>
      </c>
      <c r="K827" s="1" t="s">
        <v>148</v>
      </c>
      <c r="L827" s="1" t="s">
        <v>6244</v>
      </c>
      <c r="M827" s="1" t="s">
        <v>81</v>
      </c>
      <c r="N827" s="1" t="s">
        <v>5497</v>
      </c>
      <c r="O827" s="1"/>
      <c r="P827" s="1" t="s">
        <v>1323</v>
      </c>
      <c r="Q827" s="1" t="s">
        <v>15014</v>
      </c>
      <c r="R827" s="1" t="s">
        <v>15015</v>
      </c>
      <c r="S827" s="1">
        <v>9511724606</v>
      </c>
      <c r="T827" s="1" t="s">
        <v>15016</v>
      </c>
      <c r="U827" s="1" t="s">
        <v>15017</v>
      </c>
      <c r="V827" s="1">
        <v>7046356347</v>
      </c>
      <c r="W827" s="1" t="s">
        <v>15018</v>
      </c>
      <c r="X827" s="1" t="s">
        <v>15019</v>
      </c>
      <c r="Y827" s="1" t="s">
        <v>7238</v>
      </c>
      <c r="Z827" s="1" t="s">
        <v>500</v>
      </c>
      <c r="AA827" s="1" t="s">
        <v>15019</v>
      </c>
      <c r="AB827" s="1" t="s">
        <v>7238</v>
      </c>
      <c r="AC827" s="1" t="s">
        <v>500</v>
      </c>
      <c r="AD827" s="1">
        <v>8.19</v>
      </c>
      <c r="AE827" s="1" t="s">
        <v>93</v>
      </c>
      <c r="AF827" s="1" t="s">
        <v>15020</v>
      </c>
      <c r="AG827" s="1" t="s">
        <v>15021</v>
      </c>
      <c r="AH827" s="1" t="s">
        <v>998</v>
      </c>
      <c r="AI827" s="1" t="s">
        <v>162</v>
      </c>
      <c r="AJ827" s="1">
        <v>92.5</v>
      </c>
      <c r="AK827" s="1"/>
      <c r="AL827" s="1" t="s">
        <v>15022</v>
      </c>
      <c r="AM827" s="1" t="s">
        <v>15023</v>
      </c>
      <c r="AN827" s="1" t="s">
        <v>733</v>
      </c>
      <c r="AO827" s="1" t="s">
        <v>101</v>
      </c>
      <c r="AP827" s="1">
        <v>62.5</v>
      </c>
      <c r="AQ827" s="1"/>
      <c r="AR827" s="1"/>
      <c r="AS827" s="1"/>
      <c r="AT827" s="1"/>
      <c r="AU827" s="1"/>
      <c r="AV827" s="1"/>
      <c r="AW827" s="1"/>
      <c r="AX827" s="1" t="s">
        <v>8820</v>
      </c>
      <c r="AY827" s="1" t="s">
        <v>15024</v>
      </c>
      <c r="AZ827" s="1" t="s">
        <v>636</v>
      </c>
      <c r="BA827" s="1" t="s">
        <v>105</v>
      </c>
      <c r="BB827" s="1">
        <v>73.9</v>
      </c>
      <c r="BC827" s="1"/>
      <c r="BD827" s="1"/>
      <c r="BE827" s="1"/>
      <c r="BF827" s="1"/>
      <c r="BG827" s="1"/>
      <c r="BH827" s="1"/>
      <c r="BI827" s="1"/>
      <c r="BJ827" s="1" t="s">
        <v>15025</v>
      </c>
      <c r="BK827" s="1" t="s">
        <v>15026</v>
      </c>
      <c r="BL827" s="1" t="s">
        <v>1475</v>
      </c>
      <c r="BM827" s="1" t="s">
        <v>15027</v>
      </c>
      <c r="BN827" s="1">
        <v>10</v>
      </c>
      <c r="BO827" s="1" t="s">
        <v>15028</v>
      </c>
      <c r="BP827" s="1" t="str">
        <f>HYPERLINK("https://nconnect.nicmar.ac.in/storage/profile/ProfilePhoto_P25702039_538214.jpg","Download")</f>
        <v>0</v>
      </c>
      <c r="BQ827" s="3"/>
      <c r="BR827" s="3"/>
    </row>
    <row r="828" spans="1:70">
      <c r="A828" s="1" t="s">
        <v>441</v>
      </c>
      <c r="B828" s="1" t="s">
        <v>1269</v>
      </c>
      <c r="C828" s="1" t="s">
        <v>15029</v>
      </c>
      <c r="D828" s="1" t="s">
        <v>1781</v>
      </c>
      <c r="E828" s="1"/>
      <c r="F828" s="1" t="s">
        <v>1781</v>
      </c>
      <c r="G828" s="1" t="s">
        <v>15030</v>
      </c>
      <c r="H828" s="1" t="s">
        <v>15031</v>
      </c>
      <c r="I828" s="1" t="s">
        <v>15032</v>
      </c>
      <c r="J828" s="1">
        <v>8307704369</v>
      </c>
      <c r="K828" s="1" t="s">
        <v>79</v>
      </c>
      <c r="L828" s="1" t="s">
        <v>15033</v>
      </c>
      <c r="M828" s="1" t="s">
        <v>81</v>
      </c>
      <c r="N828" s="1" t="s">
        <v>82</v>
      </c>
      <c r="O828" s="1"/>
      <c r="P828" s="1" t="s">
        <v>1278</v>
      </c>
      <c r="Q828" s="1" t="s">
        <v>15034</v>
      </c>
      <c r="R828" s="1" t="s">
        <v>15035</v>
      </c>
      <c r="S828" s="1">
        <v>7082711109</v>
      </c>
      <c r="T828" s="1" t="s">
        <v>120</v>
      </c>
      <c r="U828" s="1" t="s">
        <v>15036</v>
      </c>
      <c r="V828" s="1">
        <v>9896370990</v>
      </c>
      <c r="W828" s="1" t="s">
        <v>156</v>
      </c>
      <c r="X828" s="1" t="s">
        <v>15037</v>
      </c>
      <c r="Y828" s="1" t="s">
        <v>15038</v>
      </c>
      <c r="Z828" s="1" t="s">
        <v>719</v>
      </c>
      <c r="AA828" s="1" t="s">
        <v>15037</v>
      </c>
      <c r="AB828" s="1" t="s">
        <v>15038</v>
      </c>
      <c r="AC828" s="1" t="s">
        <v>719</v>
      </c>
      <c r="AD828" s="1">
        <v>9.29</v>
      </c>
      <c r="AE828" s="1" t="s">
        <v>93</v>
      </c>
      <c r="AF828" s="1" t="s">
        <v>15039</v>
      </c>
      <c r="AG828" s="1" t="s">
        <v>15040</v>
      </c>
      <c r="AH828" s="1" t="s">
        <v>678</v>
      </c>
      <c r="AI828" s="1" t="s">
        <v>166</v>
      </c>
      <c r="AJ828" s="1">
        <v>77.8</v>
      </c>
      <c r="AK828" s="1"/>
      <c r="AL828" s="1" t="s">
        <v>15039</v>
      </c>
      <c r="AM828" s="1" t="s">
        <v>15041</v>
      </c>
      <c r="AN828" s="1" t="s">
        <v>1065</v>
      </c>
      <c r="AO828" s="1" t="s">
        <v>699</v>
      </c>
      <c r="AP828" s="1">
        <v>92.8</v>
      </c>
      <c r="AQ828" s="1"/>
      <c r="AR828" s="1"/>
      <c r="AS828" s="1"/>
      <c r="AT828" s="1"/>
      <c r="AU828" s="1"/>
      <c r="AV828" s="1"/>
      <c r="AW828" s="1"/>
      <c r="AX828" s="1" t="s">
        <v>15042</v>
      </c>
      <c r="AY828" s="1" t="s">
        <v>15043</v>
      </c>
      <c r="AZ828" s="1" t="s">
        <v>2461</v>
      </c>
      <c r="BA828" s="1" t="s">
        <v>386</v>
      </c>
      <c r="BB828" s="1">
        <v>73.82</v>
      </c>
      <c r="BC828" s="1">
        <v>7.77</v>
      </c>
      <c r="BD828" s="1"/>
      <c r="BE828" s="1"/>
      <c r="BF828" s="1"/>
      <c r="BG828" s="1"/>
      <c r="BH828" s="1"/>
      <c r="BI828" s="1"/>
      <c r="BJ828" s="1" t="s">
        <v>15044</v>
      </c>
      <c r="BK828" s="1" t="s">
        <v>15045</v>
      </c>
      <c r="BL828" s="1" t="s">
        <v>1543</v>
      </c>
      <c r="BM828" s="1" t="s">
        <v>15046</v>
      </c>
      <c r="BN828" s="1">
        <v>20</v>
      </c>
      <c r="BO828" s="1" t="s">
        <v>15047</v>
      </c>
      <c r="BP828" s="1" t="str">
        <f>HYPERLINK("https://nconnect.nicmar.ac.in/storage/profile/ProfilePhoto_P25702040_591438.jpg","Download")</f>
        <v>0</v>
      </c>
      <c r="BQ828" s="3"/>
      <c r="BR828" s="3"/>
    </row>
    <row r="829" spans="1:70">
      <c r="A829" s="1" t="s">
        <v>441</v>
      </c>
      <c r="B829" s="1" t="s">
        <v>1269</v>
      </c>
      <c r="C829" s="1" t="s">
        <v>15048</v>
      </c>
      <c r="D829" s="1" t="s">
        <v>10892</v>
      </c>
      <c r="E829" s="1" t="s">
        <v>465</v>
      </c>
      <c r="F829" s="1" t="s">
        <v>15049</v>
      </c>
      <c r="G829" s="1" t="s">
        <v>15050</v>
      </c>
      <c r="H829" s="1" t="s">
        <v>15051</v>
      </c>
      <c r="I829" s="1" t="s">
        <v>15052</v>
      </c>
      <c r="J829" s="1">
        <v>8446459475</v>
      </c>
      <c r="K829" s="1" t="s">
        <v>79</v>
      </c>
      <c r="L829" s="1" t="s">
        <v>15053</v>
      </c>
      <c r="M829" s="1" t="s">
        <v>81</v>
      </c>
      <c r="N829" s="1" t="s">
        <v>15054</v>
      </c>
      <c r="O829" s="1"/>
      <c r="P829" s="1" t="s">
        <v>1766</v>
      </c>
      <c r="Q829" s="1" t="s">
        <v>15055</v>
      </c>
      <c r="R829" s="1" t="s">
        <v>465</v>
      </c>
      <c r="S829" s="1">
        <v>9822680767</v>
      </c>
      <c r="T829" s="1" t="s">
        <v>15056</v>
      </c>
      <c r="U829" s="1" t="s">
        <v>9823</v>
      </c>
      <c r="V829" s="1">
        <v>9527545975</v>
      </c>
      <c r="W829" s="1" t="s">
        <v>156</v>
      </c>
      <c r="X829" s="1" t="s">
        <v>15057</v>
      </c>
      <c r="Y829" s="1" t="s">
        <v>2786</v>
      </c>
      <c r="Z829" s="1" t="s">
        <v>92</v>
      </c>
      <c r="AA829" s="1" t="s">
        <v>15057</v>
      </c>
      <c r="AB829" s="1" t="s">
        <v>2786</v>
      </c>
      <c r="AC829" s="1" t="s">
        <v>92</v>
      </c>
      <c r="AD829" s="1">
        <v>8.37</v>
      </c>
      <c r="AE829" s="1" t="s">
        <v>93</v>
      </c>
      <c r="AF829" s="1" t="s">
        <v>15058</v>
      </c>
      <c r="AG829" s="1" t="s">
        <v>160</v>
      </c>
      <c r="AH829" s="1" t="s">
        <v>281</v>
      </c>
      <c r="AI829" s="1" t="s">
        <v>409</v>
      </c>
      <c r="AJ829" s="1">
        <v>85.8</v>
      </c>
      <c r="AK829" s="1"/>
      <c r="AL829" s="1" t="s">
        <v>15059</v>
      </c>
      <c r="AM829" s="1" t="s">
        <v>160</v>
      </c>
      <c r="AN829" s="1" t="s">
        <v>941</v>
      </c>
      <c r="AO829" s="1" t="s">
        <v>504</v>
      </c>
      <c r="AP829" s="1">
        <v>77.17</v>
      </c>
      <c r="AQ829" s="1"/>
      <c r="AR829" s="1"/>
      <c r="AS829" s="1"/>
      <c r="AT829" s="1"/>
      <c r="AU829" s="1"/>
      <c r="AV829" s="1"/>
      <c r="AW829" s="1"/>
      <c r="AX829" s="1" t="s">
        <v>361</v>
      </c>
      <c r="AY829" s="1" t="s">
        <v>3309</v>
      </c>
      <c r="AZ829" s="1" t="s">
        <v>897</v>
      </c>
      <c r="BA829" s="1" t="s">
        <v>1408</v>
      </c>
      <c r="BB829" s="1">
        <v>61.47</v>
      </c>
      <c r="BC829" s="1">
        <v>6.47</v>
      </c>
      <c r="BD829" s="1"/>
      <c r="BE829" s="1"/>
      <c r="BF829" s="1"/>
      <c r="BG829" s="1"/>
      <c r="BH829" s="1"/>
      <c r="BI829" s="1"/>
      <c r="BJ829" s="1" t="s">
        <v>15060</v>
      </c>
      <c r="BK829" s="1"/>
      <c r="BL829" s="1"/>
      <c r="BM829" s="1" t="s">
        <v>15061</v>
      </c>
      <c r="BN829" s="1">
        <v>4</v>
      </c>
      <c r="BO829" s="1" t="s">
        <v>15062</v>
      </c>
      <c r="BP829" s="1" t="str">
        <f>HYPERLINK("https://nconnect.nicmar.ac.in/storage/profile/ProfilePhoto_P25702041_289157.jpg","Download")</f>
        <v>0</v>
      </c>
      <c r="BQ829" s="3"/>
      <c r="BR829" s="3"/>
    </row>
    <row r="830" spans="1:70">
      <c r="A830" s="1" t="s">
        <v>441</v>
      </c>
      <c r="B830" s="1" t="s">
        <v>1269</v>
      </c>
      <c r="C830" s="1" t="s">
        <v>15063</v>
      </c>
      <c r="D830" s="1" t="s">
        <v>15064</v>
      </c>
      <c r="E830" s="1"/>
      <c r="F830" s="1" t="s">
        <v>1653</v>
      </c>
      <c r="G830" s="1" t="s">
        <v>15065</v>
      </c>
      <c r="H830" s="1" t="s">
        <v>15066</v>
      </c>
      <c r="I830" s="1" t="s">
        <v>15067</v>
      </c>
      <c r="J830" s="1">
        <v>7739897579</v>
      </c>
      <c r="K830" s="1" t="s">
        <v>79</v>
      </c>
      <c r="L830" s="1" t="s">
        <v>15068</v>
      </c>
      <c r="M830" s="1" t="s">
        <v>81</v>
      </c>
      <c r="N830" s="1" t="s">
        <v>82</v>
      </c>
      <c r="O830" s="1"/>
      <c r="P830" s="1" t="s">
        <v>1323</v>
      </c>
      <c r="Q830" s="1" t="s">
        <v>15069</v>
      </c>
      <c r="R830" s="1" t="s">
        <v>713</v>
      </c>
      <c r="S830" s="1">
        <v>9472696942</v>
      </c>
      <c r="T830" s="1" t="s">
        <v>11166</v>
      </c>
      <c r="U830" s="1" t="s">
        <v>15070</v>
      </c>
      <c r="V830" s="1">
        <v>7979718965</v>
      </c>
      <c r="W830" s="1" t="s">
        <v>15071</v>
      </c>
      <c r="X830" s="1" t="s">
        <v>15072</v>
      </c>
      <c r="Y830" s="1" t="s">
        <v>15073</v>
      </c>
      <c r="Z830" s="1" t="s">
        <v>846</v>
      </c>
      <c r="AA830" s="1" t="s">
        <v>15072</v>
      </c>
      <c r="AB830" s="1" t="s">
        <v>15073</v>
      </c>
      <c r="AC830" s="1" t="s">
        <v>846</v>
      </c>
      <c r="AD830" s="1">
        <v>7.87</v>
      </c>
      <c r="AE830" s="1" t="s">
        <v>93</v>
      </c>
      <c r="AF830" s="1" t="s">
        <v>15074</v>
      </c>
      <c r="AG830" s="1" t="s">
        <v>15075</v>
      </c>
      <c r="AH830" s="1" t="s">
        <v>281</v>
      </c>
      <c r="AI830" s="1" t="s">
        <v>409</v>
      </c>
      <c r="AJ830" s="1">
        <v>61.6</v>
      </c>
      <c r="AK830" s="1"/>
      <c r="AL830" s="1" t="s">
        <v>15074</v>
      </c>
      <c r="AM830" s="1" t="s">
        <v>15075</v>
      </c>
      <c r="AN830" s="1" t="s">
        <v>409</v>
      </c>
      <c r="AO830" s="1" t="s">
        <v>504</v>
      </c>
      <c r="AP830" s="1">
        <v>63.6</v>
      </c>
      <c r="AQ830" s="1"/>
      <c r="AR830" s="1"/>
      <c r="AS830" s="1"/>
      <c r="AT830" s="1"/>
      <c r="AU830" s="1"/>
      <c r="AV830" s="1"/>
      <c r="AW830" s="1"/>
      <c r="AX830" s="1" t="s">
        <v>15076</v>
      </c>
      <c r="AY830" s="1" t="s">
        <v>15077</v>
      </c>
      <c r="AZ830" s="1" t="s">
        <v>897</v>
      </c>
      <c r="BA830" s="1" t="s">
        <v>1361</v>
      </c>
      <c r="BB830" s="1">
        <v>62.3</v>
      </c>
      <c r="BC830" s="1"/>
      <c r="BD830" s="1"/>
      <c r="BE830" s="1"/>
      <c r="BF830" s="1"/>
      <c r="BG830" s="1"/>
      <c r="BH830" s="1"/>
      <c r="BI830" s="1"/>
      <c r="BJ830" s="1" t="s">
        <v>15078</v>
      </c>
      <c r="BK830" s="1"/>
      <c r="BL830" s="1"/>
      <c r="BM830" s="1" t="s">
        <v>15079</v>
      </c>
      <c r="BN830" s="1">
        <v>8</v>
      </c>
      <c r="BO830" s="1" t="s">
        <v>15080</v>
      </c>
      <c r="BP830" s="1" t="str">
        <f>HYPERLINK("https://nconnect.nicmar.ac.in/storage/profile/ProfilePhoto_P25702042_592748.jpg","Download")</f>
        <v>0</v>
      </c>
      <c r="BQ830" s="3"/>
      <c r="BR830" s="3"/>
    </row>
    <row r="831" spans="1:70">
      <c r="A831" s="1" t="s">
        <v>441</v>
      </c>
      <c r="B831" s="1" t="s">
        <v>1269</v>
      </c>
      <c r="C831" s="1" t="s">
        <v>15081</v>
      </c>
      <c r="D831" s="1" t="s">
        <v>533</v>
      </c>
      <c r="E831" s="1" t="s">
        <v>444</v>
      </c>
      <c r="F831" s="1" t="s">
        <v>4445</v>
      </c>
      <c r="G831" s="1" t="s">
        <v>15082</v>
      </c>
      <c r="H831" s="1" t="s">
        <v>15083</v>
      </c>
      <c r="I831" s="1" t="s">
        <v>15084</v>
      </c>
      <c r="J831" s="1">
        <v>9975547234</v>
      </c>
      <c r="K831" s="1" t="s">
        <v>79</v>
      </c>
      <c r="L831" s="1" t="s">
        <v>15085</v>
      </c>
      <c r="M831" s="1" t="s">
        <v>81</v>
      </c>
      <c r="N831" s="1" t="s">
        <v>151</v>
      </c>
      <c r="O831" s="1"/>
      <c r="P831" s="1" t="s">
        <v>1298</v>
      </c>
      <c r="Q831" s="1" t="s">
        <v>15086</v>
      </c>
      <c r="R831" s="1" t="s">
        <v>15087</v>
      </c>
      <c r="S831" s="1">
        <v>8275837726</v>
      </c>
      <c r="T831" s="1" t="s">
        <v>154</v>
      </c>
      <c r="U831" s="1" t="s">
        <v>6003</v>
      </c>
      <c r="V831" s="1">
        <v>9423611488</v>
      </c>
      <c r="W831" s="1" t="s">
        <v>156</v>
      </c>
      <c r="X831" s="1" t="s">
        <v>15088</v>
      </c>
      <c r="Y831" s="1" t="s">
        <v>2902</v>
      </c>
      <c r="Z831" s="1" t="s">
        <v>92</v>
      </c>
      <c r="AA831" s="1" t="s">
        <v>15088</v>
      </c>
      <c r="AB831" s="1" t="s">
        <v>2902</v>
      </c>
      <c r="AC831" s="1" t="s">
        <v>92</v>
      </c>
      <c r="AD831" s="1">
        <v>6.21</v>
      </c>
      <c r="AE831" s="1" t="s">
        <v>93</v>
      </c>
      <c r="AF831" s="1" t="s">
        <v>15089</v>
      </c>
      <c r="AG831" s="1" t="s">
        <v>3853</v>
      </c>
      <c r="AH831" s="1" t="s">
        <v>162</v>
      </c>
      <c r="AI831" s="1" t="s">
        <v>195</v>
      </c>
      <c r="AJ831" s="1">
        <v>71.4</v>
      </c>
      <c r="AK831" s="1"/>
      <c r="AL831" s="1"/>
      <c r="AM831" s="1"/>
      <c r="AN831" s="1"/>
      <c r="AO831" s="1"/>
      <c r="AP831" s="1"/>
      <c r="AQ831" s="1"/>
      <c r="AR831" s="1" t="s">
        <v>434</v>
      </c>
      <c r="AS831" s="1" t="s">
        <v>15090</v>
      </c>
      <c r="AT831" s="1" t="s">
        <v>225</v>
      </c>
      <c r="AU831" s="1" t="s">
        <v>170</v>
      </c>
      <c r="AV831" s="1">
        <v>72.26</v>
      </c>
      <c r="AW831" s="1"/>
      <c r="AX831" s="1" t="s">
        <v>335</v>
      </c>
      <c r="AY831" s="1" t="s">
        <v>15091</v>
      </c>
      <c r="AZ831" s="1" t="s">
        <v>2016</v>
      </c>
      <c r="BA831" s="1" t="s">
        <v>229</v>
      </c>
      <c r="BB831" s="1">
        <v>57.18</v>
      </c>
      <c r="BC831" s="1">
        <v>6.12</v>
      </c>
      <c r="BD831" s="1"/>
      <c r="BE831" s="1"/>
      <c r="BF831" s="1"/>
      <c r="BG831" s="1"/>
      <c r="BH831" s="1"/>
      <c r="BI831" s="1"/>
      <c r="BJ831" s="1" t="s">
        <v>364</v>
      </c>
      <c r="BK831" s="1"/>
      <c r="BL831" s="1"/>
      <c r="BM831" s="1" t="s">
        <v>15092</v>
      </c>
      <c r="BN831" s="1">
        <v>11</v>
      </c>
      <c r="BO831" s="1" t="s">
        <v>15093</v>
      </c>
      <c r="BP831" s="1" t="str">
        <f>HYPERLINK("https://nconnect.nicmar.ac.in/storage/profile/ProfilePhoto_P25702043_481923.jpg","Download")</f>
        <v>0</v>
      </c>
      <c r="BQ831" s="3"/>
      <c r="BR831" s="3"/>
    </row>
    <row r="832" spans="1:70">
      <c r="A832" s="1" t="s">
        <v>441</v>
      </c>
      <c r="B832" s="1" t="s">
        <v>1269</v>
      </c>
      <c r="C832" s="1" t="s">
        <v>15094</v>
      </c>
      <c r="D832" s="1" t="s">
        <v>15095</v>
      </c>
      <c r="E832" s="1"/>
      <c r="F832" s="1" t="s">
        <v>15096</v>
      </c>
      <c r="G832" s="1" t="s">
        <v>15097</v>
      </c>
      <c r="H832" s="1" t="s">
        <v>15098</v>
      </c>
      <c r="I832" s="1" t="s">
        <v>15099</v>
      </c>
      <c r="J832" s="1">
        <v>9944949008</v>
      </c>
      <c r="K832" s="1" t="s">
        <v>79</v>
      </c>
      <c r="L832" s="1" t="s">
        <v>15100</v>
      </c>
      <c r="M832" s="1" t="s">
        <v>81</v>
      </c>
      <c r="N832" s="1" t="s">
        <v>15101</v>
      </c>
      <c r="O832" s="1"/>
      <c r="P832" s="1" t="s">
        <v>1298</v>
      </c>
      <c r="Q832" s="1" t="s">
        <v>15102</v>
      </c>
      <c r="R832" s="1" t="s">
        <v>15103</v>
      </c>
      <c r="S832" s="1">
        <v>9842206959</v>
      </c>
      <c r="T832" s="1" t="s">
        <v>496</v>
      </c>
      <c r="U832" s="1" t="s">
        <v>15104</v>
      </c>
      <c r="V832" s="1">
        <v>9629535515</v>
      </c>
      <c r="W832" s="1" t="s">
        <v>651</v>
      </c>
      <c r="X832" s="1" t="s">
        <v>15105</v>
      </c>
      <c r="Y832" s="1" t="s">
        <v>2925</v>
      </c>
      <c r="Z832" s="1" t="s">
        <v>1377</v>
      </c>
      <c r="AA832" s="1" t="s">
        <v>15105</v>
      </c>
      <c r="AB832" s="1" t="s">
        <v>2925</v>
      </c>
      <c r="AC832" s="1" t="s">
        <v>1377</v>
      </c>
      <c r="AD832" s="1">
        <v>7.22</v>
      </c>
      <c r="AE832" s="1" t="s">
        <v>93</v>
      </c>
      <c r="AF832" s="1" t="s">
        <v>15106</v>
      </c>
      <c r="AG832" s="1" t="s">
        <v>15107</v>
      </c>
      <c r="AH832" s="1" t="s">
        <v>165</v>
      </c>
      <c r="AI832" s="1" t="s">
        <v>281</v>
      </c>
      <c r="AJ832" s="1">
        <v>78.2</v>
      </c>
      <c r="AK832" s="1"/>
      <c r="AL832" s="1" t="s">
        <v>15106</v>
      </c>
      <c r="AM832" s="1" t="s">
        <v>15107</v>
      </c>
      <c r="AN832" s="1" t="s">
        <v>433</v>
      </c>
      <c r="AO832" s="1" t="s">
        <v>941</v>
      </c>
      <c r="AP832" s="1">
        <v>62</v>
      </c>
      <c r="AQ832" s="1"/>
      <c r="AR832" s="1"/>
      <c r="AS832" s="1"/>
      <c r="AT832" s="1"/>
      <c r="AU832" s="1"/>
      <c r="AV832" s="1"/>
      <c r="AW832" s="1"/>
      <c r="AX832" s="1" t="s">
        <v>15108</v>
      </c>
      <c r="AY832" s="1" t="s">
        <v>15109</v>
      </c>
      <c r="AZ832" s="1" t="s">
        <v>699</v>
      </c>
      <c r="BA832" s="1" t="s">
        <v>682</v>
      </c>
      <c r="BB832" s="1">
        <v>70.49</v>
      </c>
      <c r="BC832" s="1">
        <v>7.42</v>
      </c>
      <c r="BD832" s="1"/>
      <c r="BE832" s="1"/>
      <c r="BF832" s="1"/>
      <c r="BG832" s="1"/>
      <c r="BH832" s="1"/>
      <c r="BI832" s="1"/>
      <c r="BJ832" s="1" t="s">
        <v>4102</v>
      </c>
      <c r="BK832" s="1"/>
      <c r="BL832" s="1"/>
      <c r="BM832" s="1" t="s">
        <v>15110</v>
      </c>
      <c r="BN832" s="1">
        <v>11</v>
      </c>
      <c r="BO832" s="1" t="s">
        <v>15111</v>
      </c>
      <c r="BP832" s="1" t="str">
        <f>HYPERLINK("https://nconnect.nicmar.ac.in/storage/profile/ProfilePhoto_P25702044_783125.jpg","Download")</f>
        <v>0</v>
      </c>
      <c r="BQ832" s="3"/>
      <c r="BR832" s="3"/>
    </row>
    <row r="833" spans="1:70">
      <c r="A833" s="1" t="s">
        <v>441</v>
      </c>
      <c r="B833" s="1" t="s">
        <v>1269</v>
      </c>
      <c r="C833" s="1" t="s">
        <v>15112</v>
      </c>
      <c r="D833" s="1" t="s">
        <v>15113</v>
      </c>
      <c r="E833" s="1"/>
      <c r="F833" s="1" t="s">
        <v>4280</v>
      </c>
      <c r="G833" s="1" t="s">
        <v>15114</v>
      </c>
      <c r="H833" s="1" t="s">
        <v>15115</v>
      </c>
      <c r="I833" s="1" t="s">
        <v>15116</v>
      </c>
      <c r="J833" s="1">
        <v>7560825115</v>
      </c>
      <c r="K833" s="1" t="s">
        <v>148</v>
      </c>
      <c r="L833" s="1" t="s">
        <v>2171</v>
      </c>
      <c r="M833" s="1" t="s">
        <v>81</v>
      </c>
      <c r="N833" s="1" t="s">
        <v>5928</v>
      </c>
      <c r="O833" s="1"/>
      <c r="P833" s="1" t="s">
        <v>1298</v>
      </c>
      <c r="Q833" s="1" t="s">
        <v>15117</v>
      </c>
      <c r="R833" s="1" t="s">
        <v>15118</v>
      </c>
      <c r="S833" s="1">
        <v>9847916345</v>
      </c>
      <c r="T833" s="1" t="s">
        <v>15119</v>
      </c>
      <c r="U833" s="1" t="s">
        <v>15120</v>
      </c>
      <c r="V833" s="1">
        <v>9895076345</v>
      </c>
      <c r="W833" s="1" t="s">
        <v>271</v>
      </c>
      <c r="X833" s="1" t="s">
        <v>15121</v>
      </c>
      <c r="Y833" s="1" t="s">
        <v>1491</v>
      </c>
      <c r="Z833" s="1" t="s">
        <v>125</v>
      </c>
      <c r="AA833" s="1" t="s">
        <v>15121</v>
      </c>
      <c r="AB833" s="1" t="s">
        <v>1491</v>
      </c>
      <c r="AC833" s="1" t="s">
        <v>125</v>
      </c>
      <c r="AD833" s="1">
        <v>7.84</v>
      </c>
      <c r="AE833" s="1" t="s">
        <v>93</v>
      </c>
      <c r="AF833" s="1" t="s">
        <v>15122</v>
      </c>
      <c r="AG833" s="1" t="s">
        <v>15123</v>
      </c>
      <c r="AH833" s="1" t="s">
        <v>161</v>
      </c>
      <c r="AI833" s="1" t="s">
        <v>527</v>
      </c>
      <c r="AJ833" s="1">
        <v>85.5</v>
      </c>
      <c r="AK833" s="1">
        <v>9</v>
      </c>
      <c r="AL833" s="1" t="s">
        <v>15122</v>
      </c>
      <c r="AM833" s="1" t="s">
        <v>15123</v>
      </c>
      <c r="AN833" s="1" t="s">
        <v>165</v>
      </c>
      <c r="AO833" s="1" t="s">
        <v>166</v>
      </c>
      <c r="AP833" s="1">
        <v>81.2</v>
      </c>
      <c r="AQ833" s="1">
        <v>8.5</v>
      </c>
      <c r="AR833" s="1"/>
      <c r="AS833" s="1"/>
      <c r="AT833" s="1"/>
      <c r="AU833" s="1"/>
      <c r="AV833" s="1"/>
      <c r="AW833" s="1"/>
      <c r="AX833" s="1" t="s">
        <v>15124</v>
      </c>
      <c r="AY833" s="1" t="s">
        <v>15125</v>
      </c>
      <c r="AZ833" s="1" t="s">
        <v>636</v>
      </c>
      <c r="BA833" s="1" t="s">
        <v>174</v>
      </c>
      <c r="BB833" s="1">
        <v>68</v>
      </c>
      <c r="BC833" s="1">
        <v>6.91</v>
      </c>
      <c r="BD833" s="1"/>
      <c r="BE833" s="1"/>
      <c r="BF833" s="1"/>
      <c r="BG833" s="1"/>
      <c r="BH833" s="1"/>
      <c r="BI833" s="1"/>
      <c r="BJ833" s="1" t="s">
        <v>15126</v>
      </c>
      <c r="BK833" s="1" t="s">
        <v>15127</v>
      </c>
      <c r="BL833" s="1" t="s">
        <v>2019</v>
      </c>
      <c r="BM833" s="1" t="s">
        <v>15128</v>
      </c>
      <c r="BN833" s="1">
        <v>25</v>
      </c>
      <c r="BO833" s="1"/>
      <c r="BP833" s="1" t="str">
        <f>HYPERLINK("https://nconnect.nicmar.ac.in/storage/profile/ProfilePhoto_P25702045_132689.jpg","Download")</f>
        <v>0</v>
      </c>
      <c r="BQ833" s="3"/>
      <c r="BR833" s="3"/>
    </row>
    <row r="834" spans="1:70">
      <c r="A834" s="1" t="s">
        <v>441</v>
      </c>
      <c r="B834" s="1" t="s">
        <v>1269</v>
      </c>
      <c r="C834" s="1" t="s">
        <v>15129</v>
      </c>
      <c r="D834" s="1" t="s">
        <v>15130</v>
      </c>
      <c r="E834" s="1" t="s">
        <v>15131</v>
      </c>
      <c r="F834" s="1" t="s">
        <v>15132</v>
      </c>
      <c r="G834" s="1" t="s">
        <v>15133</v>
      </c>
      <c r="H834" s="1" t="s">
        <v>15134</v>
      </c>
      <c r="I834" s="1" t="s">
        <v>15135</v>
      </c>
      <c r="J834" s="1">
        <v>8433616226</v>
      </c>
      <c r="K834" s="1" t="s">
        <v>148</v>
      </c>
      <c r="L834" s="1" t="s">
        <v>15136</v>
      </c>
      <c r="M834" s="1" t="s">
        <v>81</v>
      </c>
      <c r="N834" s="1" t="s">
        <v>15137</v>
      </c>
      <c r="O834" s="1"/>
      <c r="P834" s="1" t="s">
        <v>1323</v>
      </c>
      <c r="Q834" s="1" t="s">
        <v>15138</v>
      </c>
      <c r="R834" s="1" t="s">
        <v>15131</v>
      </c>
      <c r="S834" s="1">
        <v>9920935656</v>
      </c>
      <c r="T834" s="1" t="s">
        <v>5243</v>
      </c>
      <c r="U834" s="1" t="s">
        <v>15139</v>
      </c>
      <c r="V834" s="1">
        <v>9819357451</v>
      </c>
      <c r="W834" s="1" t="s">
        <v>156</v>
      </c>
      <c r="X834" s="1" t="s">
        <v>15140</v>
      </c>
      <c r="Y834" s="1" t="s">
        <v>766</v>
      </c>
      <c r="Z834" s="1" t="s">
        <v>92</v>
      </c>
      <c r="AA834" s="1" t="s">
        <v>15140</v>
      </c>
      <c r="AB834" s="1" t="s">
        <v>766</v>
      </c>
      <c r="AC834" s="1" t="s">
        <v>92</v>
      </c>
      <c r="AD834" s="1">
        <v>8.37</v>
      </c>
      <c r="AE834" s="1" t="s">
        <v>93</v>
      </c>
      <c r="AF834" s="1" t="s">
        <v>15141</v>
      </c>
      <c r="AG834" s="1" t="s">
        <v>15142</v>
      </c>
      <c r="AH834" s="1" t="s">
        <v>3586</v>
      </c>
      <c r="AI834" s="1" t="s">
        <v>195</v>
      </c>
      <c r="AJ834" s="1">
        <v>91.2</v>
      </c>
      <c r="AK834" s="1">
        <v>9.6</v>
      </c>
      <c r="AL834" s="1" t="s">
        <v>15143</v>
      </c>
      <c r="AM834" s="1" t="s">
        <v>15144</v>
      </c>
      <c r="AN834" s="1" t="s">
        <v>383</v>
      </c>
      <c r="AO834" s="1" t="s">
        <v>198</v>
      </c>
      <c r="AP834" s="1">
        <v>66.92</v>
      </c>
      <c r="AQ834" s="1">
        <v>0</v>
      </c>
      <c r="AR834" s="1"/>
      <c r="AS834" s="1"/>
      <c r="AT834" s="1"/>
      <c r="AU834" s="1"/>
      <c r="AV834" s="1"/>
      <c r="AW834" s="1"/>
      <c r="AX834" s="1" t="s">
        <v>1024</v>
      </c>
      <c r="AY834" s="1" t="s">
        <v>15145</v>
      </c>
      <c r="AZ834" s="1" t="s">
        <v>201</v>
      </c>
      <c r="BA834" s="1" t="s">
        <v>702</v>
      </c>
      <c r="BB834" s="1">
        <v>75.56</v>
      </c>
      <c r="BC834" s="1">
        <v>8.59</v>
      </c>
      <c r="BD834" s="1"/>
      <c r="BE834" s="1"/>
      <c r="BF834" s="1"/>
      <c r="BG834" s="1"/>
      <c r="BH834" s="1"/>
      <c r="BI834" s="1"/>
      <c r="BJ834" s="1" t="s">
        <v>15146</v>
      </c>
      <c r="BK834" s="1" t="s">
        <v>15147</v>
      </c>
      <c r="BL834" s="1" t="s">
        <v>1289</v>
      </c>
      <c r="BM834" s="1" t="s">
        <v>15148</v>
      </c>
      <c r="BN834" s="1">
        <v>71</v>
      </c>
      <c r="BO834" s="1"/>
      <c r="BP834" s="1" t="str">
        <f>HYPERLINK("https://nconnect.nicmar.ac.in/storage/profile/ProfilePhoto_P25702046_835946.jpg","Download")</f>
        <v>0</v>
      </c>
      <c r="BQ834" s="3"/>
      <c r="BR834" s="3"/>
    </row>
    <row r="835" spans="1:70">
      <c r="A835" s="1" t="s">
        <v>441</v>
      </c>
      <c r="B835" s="1" t="s">
        <v>1269</v>
      </c>
      <c r="C835" s="1" t="s">
        <v>15149</v>
      </c>
      <c r="D835" s="1" t="s">
        <v>643</v>
      </c>
      <c r="E835" s="1" t="s">
        <v>15150</v>
      </c>
      <c r="F835" s="1" t="s">
        <v>13859</v>
      </c>
      <c r="G835" s="1" t="s">
        <v>15151</v>
      </c>
      <c r="H835" s="1" t="s">
        <v>15152</v>
      </c>
      <c r="I835" s="1" t="s">
        <v>15153</v>
      </c>
      <c r="J835" s="1">
        <v>9867010382</v>
      </c>
      <c r="K835" s="1" t="s">
        <v>79</v>
      </c>
      <c r="L835" s="1" t="s">
        <v>15154</v>
      </c>
      <c r="M835" s="1" t="s">
        <v>81</v>
      </c>
      <c r="N835" s="1" t="s">
        <v>1846</v>
      </c>
      <c r="O835" s="1"/>
      <c r="P835" s="1" t="s">
        <v>1323</v>
      </c>
      <c r="Q835" s="1" t="s">
        <v>15155</v>
      </c>
      <c r="R835" s="1" t="s">
        <v>15156</v>
      </c>
      <c r="S835" s="1">
        <v>7710831848</v>
      </c>
      <c r="T835" s="1" t="s">
        <v>7257</v>
      </c>
      <c r="U835" s="1" t="s">
        <v>15157</v>
      </c>
      <c r="V835" s="1">
        <v>7710831848</v>
      </c>
      <c r="W835" s="1" t="s">
        <v>156</v>
      </c>
      <c r="X835" s="1" t="s">
        <v>15158</v>
      </c>
      <c r="Y835" s="1" t="s">
        <v>191</v>
      </c>
      <c r="Z835" s="1" t="s">
        <v>92</v>
      </c>
      <c r="AA835" s="1" t="s">
        <v>15159</v>
      </c>
      <c r="AB835" s="1" t="s">
        <v>1623</v>
      </c>
      <c r="AC835" s="1" t="s">
        <v>92</v>
      </c>
      <c r="AD835" s="1">
        <v>8.64</v>
      </c>
      <c r="AE835" s="1" t="s">
        <v>93</v>
      </c>
      <c r="AF835" s="1" t="s">
        <v>15160</v>
      </c>
      <c r="AG835" s="1" t="s">
        <v>15161</v>
      </c>
      <c r="AH835" s="1" t="s">
        <v>162</v>
      </c>
      <c r="AI835" s="1" t="s">
        <v>195</v>
      </c>
      <c r="AJ835" s="1">
        <v>74</v>
      </c>
      <c r="AK835" s="1"/>
      <c r="AL835" s="1"/>
      <c r="AM835" s="1"/>
      <c r="AN835" s="1"/>
      <c r="AO835" s="1"/>
      <c r="AP835" s="1"/>
      <c r="AQ835" s="1"/>
      <c r="AR835" s="1" t="s">
        <v>15162</v>
      </c>
      <c r="AS835" s="1" t="s">
        <v>15163</v>
      </c>
      <c r="AT835" s="1" t="s">
        <v>225</v>
      </c>
      <c r="AU835" s="1" t="s">
        <v>170</v>
      </c>
      <c r="AV835" s="1">
        <v>85.58</v>
      </c>
      <c r="AW835" s="1"/>
      <c r="AX835" s="1" t="s">
        <v>253</v>
      </c>
      <c r="AY835" s="1" t="s">
        <v>15164</v>
      </c>
      <c r="AZ835" s="1" t="s">
        <v>363</v>
      </c>
      <c r="BA835" s="1" t="s">
        <v>682</v>
      </c>
      <c r="BB835" s="1">
        <v>75.67</v>
      </c>
      <c r="BC835" s="1">
        <v>8.52</v>
      </c>
      <c r="BD835" s="1"/>
      <c r="BE835" s="1"/>
      <c r="BF835" s="1"/>
      <c r="BG835" s="1"/>
      <c r="BH835" s="1"/>
      <c r="BI835" s="1"/>
      <c r="BJ835" s="1" t="s">
        <v>15165</v>
      </c>
      <c r="BK835" s="1" t="s">
        <v>15166</v>
      </c>
      <c r="BL835" s="1" t="s">
        <v>1385</v>
      </c>
      <c r="BM835" s="1" t="s">
        <v>15167</v>
      </c>
      <c r="BN835" s="1">
        <v>14</v>
      </c>
      <c r="BO835" s="1" t="s">
        <v>15168</v>
      </c>
      <c r="BP835" s="1" t="str">
        <f>HYPERLINK("https://nconnect.nicmar.ac.in/storage/profile/ProfilePhoto_P25702048_294635.jpg","Download")</f>
        <v>0</v>
      </c>
      <c r="BQ835" s="3"/>
      <c r="BR835" s="3"/>
    </row>
    <row r="836" spans="1:70">
      <c r="A836" s="1" t="s">
        <v>441</v>
      </c>
      <c r="B836" s="1" t="s">
        <v>1269</v>
      </c>
      <c r="C836" s="1" t="s">
        <v>15169</v>
      </c>
      <c r="D836" s="1" t="s">
        <v>15170</v>
      </c>
      <c r="E836" s="1" t="s">
        <v>443</v>
      </c>
      <c r="F836" s="1" t="s">
        <v>15171</v>
      </c>
      <c r="G836" s="1" t="s">
        <v>15172</v>
      </c>
      <c r="H836" s="1" t="s">
        <v>15173</v>
      </c>
      <c r="I836" s="1" t="s">
        <v>15174</v>
      </c>
      <c r="J836" s="1">
        <v>8200991002</v>
      </c>
      <c r="K836" s="1" t="s">
        <v>79</v>
      </c>
      <c r="L836" s="1" t="s">
        <v>15175</v>
      </c>
      <c r="M836" s="1" t="s">
        <v>81</v>
      </c>
      <c r="N836" s="1" t="s">
        <v>15176</v>
      </c>
      <c r="O836" s="1"/>
      <c r="P836" s="1" t="s">
        <v>1766</v>
      </c>
      <c r="Q836" s="1" t="s">
        <v>15177</v>
      </c>
      <c r="R836" s="1" t="s">
        <v>15178</v>
      </c>
      <c r="S836" s="1">
        <v>9825472657</v>
      </c>
      <c r="T836" s="1" t="s">
        <v>8374</v>
      </c>
      <c r="U836" s="1" t="s">
        <v>15179</v>
      </c>
      <c r="V836" s="1">
        <v>9687259762</v>
      </c>
      <c r="W836" s="1" t="s">
        <v>156</v>
      </c>
      <c r="X836" s="1" t="s">
        <v>15180</v>
      </c>
      <c r="Y836" s="1" t="s">
        <v>15181</v>
      </c>
      <c r="Z836" s="1" t="s">
        <v>1468</v>
      </c>
      <c r="AA836" s="1" t="s">
        <v>15180</v>
      </c>
      <c r="AB836" s="1" t="s">
        <v>15181</v>
      </c>
      <c r="AC836" s="1" t="s">
        <v>1468</v>
      </c>
      <c r="AD836" s="1">
        <v>7.71</v>
      </c>
      <c r="AE836" s="1" t="s">
        <v>93</v>
      </c>
      <c r="AF836" s="1" t="s">
        <v>15182</v>
      </c>
      <c r="AG836" s="1" t="s">
        <v>3682</v>
      </c>
      <c r="AH836" s="1" t="s">
        <v>733</v>
      </c>
      <c r="AI836" s="1" t="s">
        <v>195</v>
      </c>
      <c r="AJ836" s="1">
        <v>63.3</v>
      </c>
      <c r="AK836" s="1"/>
      <c r="AL836" s="1" t="s">
        <v>15183</v>
      </c>
      <c r="AM836" s="1" t="s">
        <v>3682</v>
      </c>
      <c r="AN836" s="1" t="s">
        <v>169</v>
      </c>
      <c r="AO836" s="1" t="s">
        <v>941</v>
      </c>
      <c r="AP836" s="1">
        <v>45</v>
      </c>
      <c r="AQ836" s="1"/>
      <c r="AR836" s="1" t="s">
        <v>434</v>
      </c>
      <c r="AS836" s="1" t="s">
        <v>15184</v>
      </c>
      <c r="AT836" s="1" t="s">
        <v>310</v>
      </c>
      <c r="AU836" s="1" t="s">
        <v>1003</v>
      </c>
      <c r="AV836" s="1">
        <v>87.2</v>
      </c>
      <c r="AW836" s="1">
        <v>9.22</v>
      </c>
      <c r="AX836" s="1" t="s">
        <v>15185</v>
      </c>
      <c r="AY836" s="1" t="s">
        <v>15186</v>
      </c>
      <c r="AZ836" s="1" t="s">
        <v>105</v>
      </c>
      <c r="BA836" s="1" t="s">
        <v>1408</v>
      </c>
      <c r="BB836" s="1">
        <v>61.4</v>
      </c>
      <c r="BC836" s="1">
        <v>6.89</v>
      </c>
      <c r="BD836" s="1"/>
      <c r="BE836" s="1"/>
      <c r="BF836" s="1"/>
      <c r="BG836" s="1"/>
      <c r="BH836" s="1"/>
      <c r="BI836" s="1"/>
      <c r="BJ836" s="1" t="s">
        <v>2145</v>
      </c>
      <c r="BK836" s="1"/>
      <c r="BL836" s="1"/>
      <c r="BM836" s="1" t="s">
        <v>15187</v>
      </c>
      <c r="BN836" s="1">
        <v>68</v>
      </c>
      <c r="BO836" s="1"/>
      <c r="BP836" s="1" t="str">
        <f>HYPERLINK("https://nconnect.nicmar.ac.in/storage/profile/ProfilePhoto_P25702049_725163.jpg","Download")</f>
        <v>0</v>
      </c>
      <c r="BQ836" s="3"/>
      <c r="BR836" s="3"/>
    </row>
    <row r="837" spans="1:70">
      <c r="A837" s="1" t="s">
        <v>441</v>
      </c>
      <c r="B837" s="1" t="s">
        <v>1269</v>
      </c>
      <c r="C837" s="1" t="s">
        <v>15188</v>
      </c>
      <c r="D837" s="1" t="s">
        <v>15189</v>
      </c>
      <c r="E837" s="1"/>
      <c r="F837" s="1" t="s">
        <v>15190</v>
      </c>
      <c r="G837" s="1" t="s">
        <v>15191</v>
      </c>
      <c r="H837" s="1" t="s">
        <v>15192</v>
      </c>
      <c r="I837" s="1" t="s">
        <v>15193</v>
      </c>
      <c r="J837" s="1">
        <v>9039533353</v>
      </c>
      <c r="K837" s="1" t="s">
        <v>79</v>
      </c>
      <c r="L837" s="1" t="s">
        <v>15194</v>
      </c>
      <c r="M837" s="1" t="s">
        <v>81</v>
      </c>
      <c r="N837" s="1" t="s">
        <v>860</v>
      </c>
      <c r="O837" s="1" t="s">
        <v>15195</v>
      </c>
      <c r="P837" s="1" t="s">
        <v>1298</v>
      </c>
      <c r="Q837" s="1" t="s">
        <v>15196</v>
      </c>
      <c r="R837" s="1" t="s">
        <v>15197</v>
      </c>
      <c r="S837" s="1">
        <v>9893167353</v>
      </c>
      <c r="T837" s="1" t="s">
        <v>1351</v>
      </c>
      <c r="U837" s="1" t="s">
        <v>15198</v>
      </c>
      <c r="V837" s="1">
        <v>7389255534</v>
      </c>
      <c r="W837" s="1" t="s">
        <v>496</v>
      </c>
      <c r="X837" s="1" t="s">
        <v>15199</v>
      </c>
      <c r="Y837" s="1" t="s">
        <v>6358</v>
      </c>
      <c r="Z837" s="1" t="s">
        <v>936</v>
      </c>
      <c r="AA837" s="1" t="s">
        <v>15199</v>
      </c>
      <c r="AB837" s="1" t="s">
        <v>6358</v>
      </c>
      <c r="AC837" s="1" t="s">
        <v>936</v>
      </c>
      <c r="AD837" s="1">
        <v>7.63</v>
      </c>
      <c r="AE837" s="1" t="s">
        <v>93</v>
      </c>
      <c r="AF837" s="1" t="s">
        <v>15200</v>
      </c>
      <c r="AG837" s="1" t="s">
        <v>6443</v>
      </c>
      <c r="AH837" s="1" t="s">
        <v>165</v>
      </c>
      <c r="AI837" s="1" t="s">
        <v>281</v>
      </c>
      <c r="AJ837" s="1">
        <v>50.4</v>
      </c>
      <c r="AK837" s="1">
        <v>0</v>
      </c>
      <c r="AL837" s="1"/>
      <c r="AM837" s="1"/>
      <c r="AN837" s="1"/>
      <c r="AO837" s="1"/>
      <c r="AP837" s="1"/>
      <c r="AQ837" s="1"/>
      <c r="AR837" s="1" t="s">
        <v>7930</v>
      </c>
      <c r="AS837" s="1" t="s">
        <v>15201</v>
      </c>
      <c r="AT837" s="1" t="s">
        <v>101</v>
      </c>
      <c r="AU837" s="1" t="s">
        <v>1712</v>
      </c>
      <c r="AV837" s="1">
        <v>73.5</v>
      </c>
      <c r="AW837" s="1">
        <v>7.35</v>
      </c>
      <c r="AX837" s="1" t="s">
        <v>15202</v>
      </c>
      <c r="AY837" s="1" t="s">
        <v>15203</v>
      </c>
      <c r="AZ837" s="1" t="s">
        <v>1051</v>
      </c>
      <c r="BA837" s="1" t="s">
        <v>6010</v>
      </c>
      <c r="BB837" s="1">
        <v>69.6</v>
      </c>
      <c r="BC837" s="1">
        <v>6.96</v>
      </c>
      <c r="BD837" s="1"/>
      <c r="BE837" s="1"/>
      <c r="BF837" s="1"/>
      <c r="BG837" s="1"/>
      <c r="BH837" s="1"/>
      <c r="BI837" s="1"/>
      <c r="BJ837" s="1" t="s">
        <v>15204</v>
      </c>
      <c r="BK837" s="1"/>
      <c r="BL837" s="1"/>
      <c r="BM837" s="1" t="s">
        <v>15205</v>
      </c>
      <c r="BN837" s="1">
        <v>65</v>
      </c>
      <c r="BO837" s="1"/>
      <c r="BP837" s="1" t="str">
        <f>HYPERLINK("https://nconnect.nicmar.ac.in/storage/profile/ProfilePhoto_P25702050_734158.jpg","Download")</f>
        <v>0</v>
      </c>
      <c r="BQ837" s="3"/>
      <c r="BR837" s="3"/>
    </row>
    <row r="838" spans="1:70">
      <c r="A838" s="1" t="s">
        <v>441</v>
      </c>
      <c r="B838" s="1" t="s">
        <v>1269</v>
      </c>
      <c r="C838" s="1" t="s">
        <v>15206</v>
      </c>
      <c r="D838" s="1" t="s">
        <v>15207</v>
      </c>
      <c r="E838" s="1"/>
      <c r="F838" s="1" t="s">
        <v>15208</v>
      </c>
      <c r="G838" s="1" t="s">
        <v>15209</v>
      </c>
      <c r="H838" s="1" t="s">
        <v>15210</v>
      </c>
      <c r="I838" s="1" t="s">
        <v>15211</v>
      </c>
      <c r="J838" s="1">
        <v>7013366449</v>
      </c>
      <c r="K838" s="1" t="s">
        <v>79</v>
      </c>
      <c r="L838" s="1" t="s">
        <v>15212</v>
      </c>
      <c r="M838" s="1" t="s">
        <v>81</v>
      </c>
      <c r="N838" s="1" t="s">
        <v>15213</v>
      </c>
      <c r="O838" s="1" t="s">
        <v>15214</v>
      </c>
      <c r="P838" s="1" t="s">
        <v>1278</v>
      </c>
      <c r="Q838" s="1" t="s">
        <v>15215</v>
      </c>
      <c r="R838" s="1" t="s">
        <v>15216</v>
      </c>
      <c r="S838" s="1">
        <v>8179118550</v>
      </c>
      <c r="T838" s="1" t="s">
        <v>496</v>
      </c>
      <c r="U838" s="1" t="s">
        <v>15217</v>
      </c>
      <c r="V838" s="1">
        <v>8179118550</v>
      </c>
      <c r="W838" s="1" t="s">
        <v>273</v>
      </c>
      <c r="X838" s="1" t="s">
        <v>15218</v>
      </c>
      <c r="Y838" s="1" t="s">
        <v>1513</v>
      </c>
      <c r="Z838" s="1" t="s">
        <v>276</v>
      </c>
      <c r="AA838" s="1" t="s">
        <v>15219</v>
      </c>
      <c r="AB838" s="1" t="s">
        <v>1513</v>
      </c>
      <c r="AC838" s="1" t="s">
        <v>276</v>
      </c>
      <c r="AD838" s="1">
        <v>8.08</v>
      </c>
      <c r="AE838" s="1" t="s">
        <v>93</v>
      </c>
      <c r="AF838" s="1" t="s">
        <v>15220</v>
      </c>
      <c r="AG838" s="1" t="s">
        <v>15221</v>
      </c>
      <c r="AH838" s="1" t="s">
        <v>162</v>
      </c>
      <c r="AI838" s="1" t="s">
        <v>195</v>
      </c>
      <c r="AJ838" s="1">
        <v>97.1</v>
      </c>
      <c r="AK838" s="1">
        <v>9.7</v>
      </c>
      <c r="AL838" s="1" t="s">
        <v>15222</v>
      </c>
      <c r="AM838" s="1" t="s">
        <v>1154</v>
      </c>
      <c r="AN838" s="1" t="s">
        <v>165</v>
      </c>
      <c r="AO838" s="1" t="s">
        <v>409</v>
      </c>
      <c r="AP838" s="1">
        <v>93.4</v>
      </c>
      <c r="AQ838" s="1">
        <v>9.34</v>
      </c>
      <c r="AR838" s="1"/>
      <c r="AS838" s="1"/>
      <c r="AT838" s="1"/>
      <c r="AU838" s="1"/>
      <c r="AV838" s="1"/>
      <c r="AW838" s="1"/>
      <c r="AX838" s="1" t="s">
        <v>3120</v>
      </c>
      <c r="AY838" s="1" t="s">
        <v>15223</v>
      </c>
      <c r="AZ838" s="1" t="s">
        <v>310</v>
      </c>
      <c r="BA838" s="1" t="s">
        <v>8050</v>
      </c>
      <c r="BB838" s="1">
        <v>52.9</v>
      </c>
      <c r="BC838" s="1">
        <v>5.79</v>
      </c>
      <c r="BD838" s="1"/>
      <c r="BE838" s="1"/>
      <c r="BF838" s="1"/>
      <c r="BG838" s="1"/>
      <c r="BH838" s="1"/>
      <c r="BI838" s="1"/>
      <c r="BJ838" s="1" t="s">
        <v>1383</v>
      </c>
      <c r="BK838" s="1" t="s">
        <v>15224</v>
      </c>
      <c r="BL838" s="1" t="s">
        <v>2382</v>
      </c>
      <c r="BM838" s="1"/>
      <c r="BN838" s="1"/>
      <c r="BO838" s="1"/>
      <c r="BP838" s="1" t="str">
        <f>HYPERLINK("https://nconnect.nicmar.ac.in/storage/profile/ProfilePhoto_P25702051_167852.jpg","Download")</f>
        <v>0</v>
      </c>
      <c r="BQ838" s="3"/>
      <c r="BR838" s="3"/>
    </row>
    <row r="839" spans="1:70">
      <c r="A839" s="1" t="s">
        <v>441</v>
      </c>
      <c r="B839" s="1" t="s">
        <v>1269</v>
      </c>
      <c r="C839" s="1" t="s">
        <v>15225</v>
      </c>
      <c r="D839" s="1" t="s">
        <v>1740</v>
      </c>
      <c r="E839" s="1" t="s">
        <v>1546</v>
      </c>
      <c r="F839" s="1" t="s">
        <v>2674</v>
      </c>
      <c r="G839" s="1" t="s">
        <v>15226</v>
      </c>
      <c r="H839" s="1" t="s">
        <v>15227</v>
      </c>
      <c r="I839" s="1" t="s">
        <v>15228</v>
      </c>
      <c r="J839" s="1">
        <v>9096857500</v>
      </c>
      <c r="K839" s="1" t="s">
        <v>79</v>
      </c>
      <c r="L839" s="1" t="s">
        <v>15229</v>
      </c>
      <c r="M839" s="1" t="s">
        <v>81</v>
      </c>
      <c r="N839" s="1" t="s">
        <v>3187</v>
      </c>
      <c r="O839" s="1"/>
      <c r="P839" s="1" t="s">
        <v>1298</v>
      </c>
      <c r="Q839" s="1" t="s">
        <v>15230</v>
      </c>
      <c r="R839" s="1" t="s">
        <v>15231</v>
      </c>
      <c r="S839" s="1">
        <v>9096857500</v>
      </c>
      <c r="T839" s="1" t="s">
        <v>763</v>
      </c>
      <c r="U839" s="1" t="s">
        <v>15232</v>
      </c>
      <c r="V839" s="1">
        <v>9970173799</v>
      </c>
      <c r="W839" s="1" t="s">
        <v>15233</v>
      </c>
      <c r="X839" s="1" t="s">
        <v>15234</v>
      </c>
      <c r="Y839" s="1" t="s">
        <v>1886</v>
      </c>
      <c r="Z839" s="1" t="s">
        <v>92</v>
      </c>
      <c r="AA839" s="1" t="s">
        <v>15234</v>
      </c>
      <c r="AB839" s="1" t="s">
        <v>1886</v>
      </c>
      <c r="AC839" s="1" t="s">
        <v>92</v>
      </c>
      <c r="AD839" s="1">
        <v>7.66</v>
      </c>
      <c r="AE839" s="1" t="s">
        <v>93</v>
      </c>
      <c r="AF839" s="1" t="s">
        <v>6815</v>
      </c>
      <c r="AG839" s="1" t="s">
        <v>307</v>
      </c>
      <c r="AH839" s="1" t="s">
        <v>162</v>
      </c>
      <c r="AI839" s="1" t="s">
        <v>678</v>
      </c>
      <c r="AJ839" s="1">
        <v>53.2</v>
      </c>
      <c r="AK839" s="1">
        <v>5.6</v>
      </c>
      <c r="AL839" s="1" t="s">
        <v>15235</v>
      </c>
      <c r="AM839" s="1" t="s">
        <v>160</v>
      </c>
      <c r="AN839" s="1" t="s">
        <v>101</v>
      </c>
      <c r="AO839" s="1" t="s">
        <v>409</v>
      </c>
      <c r="AP839" s="1">
        <v>52.77</v>
      </c>
      <c r="AQ839" s="1">
        <v>5.55</v>
      </c>
      <c r="AR839" s="1"/>
      <c r="AS839" s="1"/>
      <c r="AT839" s="1"/>
      <c r="AU839" s="1"/>
      <c r="AV839" s="1"/>
      <c r="AW839" s="1"/>
      <c r="AX839" s="1" t="s">
        <v>4491</v>
      </c>
      <c r="AY839" s="1" t="s">
        <v>15236</v>
      </c>
      <c r="AZ839" s="1" t="s">
        <v>201</v>
      </c>
      <c r="BA839" s="1" t="s">
        <v>6010</v>
      </c>
      <c r="BB839" s="1">
        <v>56.9</v>
      </c>
      <c r="BC839" s="1">
        <v>6.44</v>
      </c>
      <c r="BD839" s="1"/>
      <c r="BE839" s="1"/>
      <c r="BF839" s="1"/>
      <c r="BG839" s="1"/>
      <c r="BH839" s="1"/>
      <c r="BI839" s="1"/>
      <c r="BJ839" s="1" t="s">
        <v>255</v>
      </c>
      <c r="BK839" s="1"/>
      <c r="BL839" s="1"/>
      <c r="BM839" s="1" t="s">
        <v>15237</v>
      </c>
      <c r="BN839" s="1">
        <v>28</v>
      </c>
      <c r="BO839" s="1" t="s">
        <v>15238</v>
      </c>
      <c r="BP839" s="1" t="str">
        <f>HYPERLINK("https://nconnect.nicmar.ac.in/storage/profile/ProfilePhoto_P25702052_983415.jpg","Download")</f>
        <v>0</v>
      </c>
      <c r="BQ839" s="3"/>
      <c r="BR839" s="3"/>
    </row>
    <row r="840" spans="1:70">
      <c r="A840" s="1" t="s">
        <v>441</v>
      </c>
      <c r="B840" s="1" t="s">
        <v>1269</v>
      </c>
      <c r="C840" s="1" t="s">
        <v>15239</v>
      </c>
      <c r="D840" s="1" t="s">
        <v>3262</v>
      </c>
      <c r="E840" s="1" t="s">
        <v>15240</v>
      </c>
      <c r="F840" s="1" t="s">
        <v>1072</v>
      </c>
      <c r="G840" s="1" t="s">
        <v>15241</v>
      </c>
      <c r="H840" s="1" t="s">
        <v>15242</v>
      </c>
      <c r="I840" s="1" t="s">
        <v>15243</v>
      </c>
      <c r="J840" s="1">
        <v>8329927069</v>
      </c>
      <c r="K840" s="1" t="s">
        <v>79</v>
      </c>
      <c r="L840" s="1" t="s">
        <v>14786</v>
      </c>
      <c r="M840" s="1" t="s">
        <v>81</v>
      </c>
      <c r="N840" s="1" t="s">
        <v>15244</v>
      </c>
      <c r="O840" s="1" t="s">
        <v>15245</v>
      </c>
      <c r="P840" s="1" t="s">
        <v>1278</v>
      </c>
      <c r="Q840" s="1" t="s">
        <v>15246</v>
      </c>
      <c r="R840" s="1" t="s">
        <v>15247</v>
      </c>
      <c r="S840" s="1">
        <v>9822899383</v>
      </c>
      <c r="T840" s="1" t="s">
        <v>9407</v>
      </c>
      <c r="U840" s="1" t="s">
        <v>15248</v>
      </c>
      <c r="V840" s="1">
        <v>9673936696</v>
      </c>
      <c r="W840" s="1" t="s">
        <v>156</v>
      </c>
      <c r="X840" s="1" t="s">
        <v>15249</v>
      </c>
      <c r="Y840" s="1" t="s">
        <v>91</v>
      </c>
      <c r="Z840" s="1" t="s">
        <v>92</v>
      </c>
      <c r="AA840" s="1" t="s">
        <v>15249</v>
      </c>
      <c r="AB840" s="1" t="s">
        <v>91</v>
      </c>
      <c r="AC840" s="1" t="s">
        <v>92</v>
      </c>
      <c r="AD840" s="1">
        <v>7.53</v>
      </c>
      <c r="AE840" s="1" t="s">
        <v>93</v>
      </c>
      <c r="AF840" s="1" t="s">
        <v>15250</v>
      </c>
      <c r="AG840" s="1" t="s">
        <v>15251</v>
      </c>
      <c r="AH840" s="1" t="s">
        <v>97</v>
      </c>
      <c r="AI840" s="1" t="s">
        <v>195</v>
      </c>
      <c r="AJ840" s="1">
        <v>91</v>
      </c>
      <c r="AK840" s="1">
        <v>0</v>
      </c>
      <c r="AL840" s="1" t="s">
        <v>8623</v>
      </c>
      <c r="AM840" s="1" t="s">
        <v>15251</v>
      </c>
      <c r="AN840" s="1" t="s">
        <v>225</v>
      </c>
      <c r="AO840" s="1" t="s">
        <v>198</v>
      </c>
      <c r="AP840" s="1">
        <v>65</v>
      </c>
      <c r="AQ840" s="1">
        <v>0</v>
      </c>
      <c r="AR840" s="1"/>
      <c r="AS840" s="1"/>
      <c r="AT840" s="1"/>
      <c r="AU840" s="1"/>
      <c r="AV840" s="1"/>
      <c r="AW840" s="1"/>
      <c r="AX840" s="1" t="s">
        <v>361</v>
      </c>
      <c r="AY840" s="1" t="s">
        <v>15252</v>
      </c>
      <c r="AZ840" s="1" t="s">
        <v>201</v>
      </c>
      <c r="BA840" s="1" t="s">
        <v>413</v>
      </c>
      <c r="BB840" s="1">
        <v>58</v>
      </c>
      <c r="BC840" s="1">
        <v>6.53</v>
      </c>
      <c r="BD840" s="1"/>
      <c r="BE840" s="1"/>
      <c r="BF840" s="1"/>
      <c r="BG840" s="1"/>
      <c r="BH840" s="1"/>
      <c r="BI840" s="1"/>
      <c r="BJ840" s="1" t="s">
        <v>15253</v>
      </c>
      <c r="BK840" s="1"/>
      <c r="BL840" s="1"/>
      <c r="BM840" s="1" t="s">
        <v>15254</v>
      </c>
      <c r="BN840" s="1">
        <v>17</v>
      </c>
      <c r="BO840" s="1"/>
      <c r="BP840" s="1" t="str">
        <f>HYPERLINK("https://nconnect.nicmar.ac.in/storage/profile/ProfilePhoto_P25702053_548217.jpg","Download")</f>
        <v>0</v>
      </c>
      <c r="BQ840" s="3"/>
      <c r="BR840" s="3"/>
    </row>
    <row r="841" spans="1:70">
      <c r="A841" s="1" t="s">
        <v>441</v>
      </c>
      <c r="B841" s="1" t="s">
        <v>1269</v>
      </c>
      <c r="C841" s="1" t="s">
        <v>15255</v>
      </c>
      <c r="D841" s="1" t="s">
        <v>533</v>
      </c>
      <c r="E841" s="1" t="s">
        <v>5072</v>
      </c>
      <c r="F841" s="1" t="s">
        <v>15256</v>
      </c>
      <c r="G841" s="1" t="s">
        <v>15257</v>
      </c>
      <c r="H841" s="1" t="s">
        <v>15258</v>
      </c>
      <c r="I841" s="1" t="s">
        <v>15259</v>
      </c>
      <c r="J841" s="1">
        <v>7021276625</v>
      </c>
      <c r="K841" s="1" t="s">
        <v>79</v>
      </c>
      <c r="L841" s="1" t="s">
        <v>15260</v>
      </c>
      <c r="M841" s="1" t="s">
        <v>81</v>
      </c>
      <c r="N841" s="1" t="s">
        <v>15261</v>
      </c>
      <c r="O841" s="1"/>
      <c r="P841" s="1" t="s">
        <v>1298</v>
      </c>
      <c r="Q841" s="1" t="s">
        <v>15262</v>
      </c>
      <c r="R841" s="1" t="s">
        <v>15263</v>
      </c>
      <c r="S841" s="1">
        <v>9833719279</v>
      </c>
      <c r="T841" s="1" t="s">
        <v>496</v>
      </c>
      <c r="U841" s="1" t="s">
        <v>15264</v>
      </c>
      <c r="V841" s="1">
        <v>9869120731</v>
      </c>
      <c r="W841" s="1" t="s">
        <v>273</v>
      </c>
      <c r="X841" s="1" t="s">
        <v>15265</v>
      </c>
      <c r="Y841" s="1" t="s">
        <v>1623</v>
      </c>
      <c r="Z841" s="1" t="s">
        <v>92</v>
      </c>
      <c r="AA841" s="1" t="s">
        <v>15265</v>
      </c>
      <c r="AB841" s="1" t="s">
        <v>1623</v>
      </c>
      <c r="AC841" s="1" t="s">
        <v>92</v>
      </c>
      <c r="AD841" s="1">
        <v>8.08</v>
      </c>
      <c r="AE841" s="1" t="s">
        <v>93</v>
      </c>
      <c r="AF841" s="1" t="s">
        <v>15266</v>
      </c>
      <c r="AG841" s="1" t="s">
        <v>15267</v>
      </c>
      <c r="AH841" s="1" t="s">
        <v>162</v>
      </c>
      <c r="AI841" s="1" t="s">
        <v>195</v>
      </c>
      <c r="AJ841" s="1">
        <v>62.2</v>
      </c>
      <c r="AK841" s="1">
        <v>0</v>
      </c>
      <c r="AL841" s="1" t="s">
        <v>15268</v>
      </c>
      <c r="AM841" s="1" t="s">
        <v>15267</v>
      </c>
      <c r="AN841" s="1" t="s">
        <v>101</v>
      </c>
      <c r="AO841" s="1" t="s">
        <v>310</v>
      </c>
      <c r="AP841" s="1">
        <v>48.77</v>
      </c>
      <c r="AQ841" s="1">
        <v>0</v>
      </c>
      <c r="AR841" s="1" t="s">
        <v>434</v>
      </c>
      <c r="AS841" s="1" t="s">
        <v>15269</v>
      </c>
      <c r="AT841" s="1" t="s">
        <v>201</v>
      </c>
      <c r="AU841" s="1" t="s">
        <v>436</v>
      </c>
      <c r="AV841" s="1">
        <v>78.53</v>
      </c>
      <c r="AW841" s="1">
        <v>0</v>
      </c>
      <c r="AX841" s="1" t="s">
        <v>253</v>
      </c>
      <c r="AY841" s="1" t="s">
        <v>15270</v>
      </c>
      <c r="AZ841" s="1" t="s">
        <v>436</v>
      </c>
      <c r="BA841" s="1" t="s">
        <v>1938</v>
      </c>
      <c r="BB841" s="1">
        <v>58.45</v>
      </c>
      <c r="BC841" s="1">
        <v>6.36</v>
      </c>
      <c r="BD841" s="1"/>
      <c r="BE841" s="1"/>
      <c r="BF841" s="1"/>
      <c r="BG841" s="1"/>
      <c r="BH841" s="1"/>
      <c r="BI841" s="1"/>
      <c r="BJ841" s="1" t="s">
        <v>15271</v>
      </c>
      <c r="BK841" s="1" t="s">
        <v>15272</v>
      </c>
      <c r="BL841" s="1" t="s">
        <v>1895</v>
      </c>
      <c r="BM841" s="1" t="s">
        <v>15273</v>
      </c>
      <c r="BN841" s="1">
        <v>8</v>
      </c>
      <c r="BO841" s="1" t="s">
        <v>15274</v>
      </c>
      <c r="BP841" s="1" t="str">
        <f>HYPERLINK("https://nconnect.nicmar.ac.in/storage/profile/ProfilePhoto_P25702054_231546.jpg","Download")</f>
        <v>0</v>
      </c>
      <c r="BQ841" s="3"/>
      <c r="BR841" s="3"/>
    </row>
    <row r="842" spans="1:70">
      <c r="A842" s="1" t="s">
        <v>441</v>
      </c>
      <c r="B842" s="1" t="s">
        <v>1269</v>
      </c>
      <c r="C842" s="1" t="s">
        <v>15275</v>
      </c>
      <c r="D842" s="1" t="s">
        <v>473</v>
      </c>
      <c r="E842" s="1" t="s">
        <v>8207</v>
      </c>
      <c r="F842" s="1" t="s">
        <v>15276</v>
      </c>
      <c r="G842" s="1" t="s">
        <v>15277</v>
      </c>
      <c r="H842" s="1" t="s">
        <v>15278</v>
      </c>
      <c r="I842" s="1" t="s">
        <v>15279</v>
      </c>
      <c r="J842" s="1">
        <v>7841819174</v>
      </c>
      <c r="K842" s="1" t="s">
        <v>148</v>
      </c>
      <c r="L842" s="1" t="s">
        <v>1460</v>
      </c>
      <c r="M842" s="1" t="s">
        <v>81</v>
      </c>
      <c r="N842" s="1" t="s">
        <v>2008</v>
      </c>
      <c r="O842" s="1"/>
      <c r="P842" s="1" t="s">
        <v>1323</v>
      </c>
      <c r="Q842" s="1" t="s">
        <v>15280</v>
      </c>
      <c r="R842" s="1" t="s">
        <v>15281</v>
      </c>
      <c r="S842" s="1">
        <v>9822575650</v>
      </c>
      <c r="T842" s="1" t="s">
        <v>120</v>
      </c>
      <c r="U842" s="1" t="s">
        <v>15282</v>
      </c>
      <c r="V842" s="1">
        <v>9423636268</v>
      </c>
      <c r="W842" s="1" t="s">
        <v>120</v>
      </c>
      <c r="X842" s="1" t="s">
        <v>15283</v>
      </c>
      <c r="Y842" s="1" t="s">
        <v>191</v>
      </c>
      <c r="Z842" s="1" t="s">
        <v>92</v>
      </c>
      <c r="AA842" s="1" t="s">
        <v>15284</v>
      </c>
      <c r="AB842" s="1" t="s">
        <v>405</v>
      </c>
      <c r="AC842" s="1" t="s">
        <v>92</v>
      </c>
      <c r="AD842" s="1">
        <v>6.95</v>
      </c>
      <c r="AE842" s="1" t="s">
        <v>93</v>
      </c>
      <c r="AF842" s="1" t="s">
        <v>15285</v>
      </c>
      <c r="AG842" s="1" t="s">
        <v>160</v>
      </c>
      <c r="AH842" s="1" t="s">
        <v>279</v>
      </c>
      <c r="AI842" s="1" t="s">
        <v>165</v>
      </c>
      <c r="AJ842" s="1">
        <v>66.2</v>
      </c>
      <c r="AK842" s="1">
        <v>6.97</v>
      </c>
      <c r="AL842" s="1"/>
      <c r="AM842" s="1"/>
      <c r="AN842" s="1"/>
      <c r="AO842" s="1"/>
      <c r="AP842" s="1"/>
      <c r="AQ842" s="1"/>
      <c r="AR842" s="1" t="s">
        <v>15286</v>
      </c>
      <c r="AS842" s="1" t="s">
        <v>15287</v>
      </c>
      <c r="AT842" s="1" t="s">
        <v>225</v>
      </c>
      <c r="AU842" s="1" t="s">
        <v>1051</v>
      </c>
      <c r="AV842" s="1">
        <v>82.58</v>
      </c>
      <c r="AW842" s="1">
        <v>8.29</v>
      </c>
      <c r="AX842" s="1" t="s">
        <v>15288</v>
      </c>
      <c r="AY842" s="1" t="s">
        <v>15289</v>
      </c>
      <c r="AZ842" s="1" t="s">
        <v>897</v>
      </c>
      <c r="BA842" s="1" t="s">
        <v>1938</v>
      </c>
      <c r="BB842" s="1">
        <v>58.7</v>
      </c>
      <c r="BC842" s="1">
        <v>6.62</v>
      </c>
      <c r="BD842" s="1"/>
      <c r="BE842" s="1"/>
      <c r="BF842" s="1"/>
      <c r="BG842" s="1"/>
      <c r="BH842" s="1"/>
      <c r="BI842" s="1"/>
      <c r="BJ842" s="1" t="s">
        <v>364</v>
      </c>
      <c r="BK842" s="1"/>
      <c r="BL842" s="1"/>
      <c r="BM842" s="1" t="s">
        <v>15290</v>
      </c>
      <c r="BN842" s="1">
        <v>31</v>
      </c>
      <c r="BO842" s="1" t="s">
        <v>15291</v>
      </c>
      <c r="BP842" s="1" t="str">
        <f>HYPERLINK("https://nconnect.nicmar.ac.in/storage/profile/ProfilePhoto_P25702055_726958.jpg","Download")</f>
        <v>0</v>
      </c>
      <c r="BQ842" s="3"/>
      <c r="BR842" s="3"/>
    </row>
    <row r="843" spans="1:70">
      <c r="A843" s="1" t="s">
        <v>441</v>
      </c>
      <c r="B843" s="1" t="s">
        <v>1269</v>
      </c>
      <c r="C843" s="1" t="s">
        <v>15292</v>
      </c>
      <c r="D843" s="1" t="s">
        <v>15293</v>
      </c>
      <c r="E843" s="1" t="s">
        <v>15294</v>
      </c>
      <c r="F843" s="1" t="s">
        <v>1680</v>
      </c>
      <c r="G843" s="1" t="s">
        <v>15295</v>
      </c>
      <c r="H843" s="1" t="s">
        <v>15296</v>
      </c>
      <c r="I843" s="1" t="s">
        <v>15297</v>
      </c>
      <c r="J843" s="1">
        <v>6382585010</v>
      </c>
      <c r="K843" s="1" t="s">
        <v>79</v>
      </c>
      <c r="L843" s="1" t="s">
        <v>15298</v>
      </c>
      <c r="M843" s="1" t="s">
        <v>81</v>
      </c>
      <c r="N843" s="1" t="s">
        <v>15299</v>
      </c>
      <c r="O843" s="1"/>
      <c r="P843" s="1" t="s">
        <v>1278</v>
      </c>
      <c r="Q843" s="1" t="s">
        <v>15300</v>
      </c>
      <c r="R843" s="1" t="s">
        <v>15301</v>
      </c>
      <c r="S843" s="1">
        <v>9698163134</v>
      </c>
      <c r="T843" s="1" t="s">
        <v>496</v>
      </c>
      <c r="U843" s="1" t="s">
        <v>15302</v>
      </c>
      <c r="V843" s="1">
        <v>9360526996</v>
      </c>
      <c r="W843" s="1" t="s">
        <v>89</v>
      </c>
      <c r="X843" s="1" t="s">
        <v>15303</v>
      </c>
      <c r="Y843" s="1" t="s">
        <v>15304</v>
      </c>
      <c r="Z843" s="1" t="s">
        <v>1377</v>
      </c>
      <c r="AA843" s="1" t="s">
        <v>15303</v>
      </c>
      <c r="AB843" s="1" t="s">
        <v>15304</v>
      </c>
      <c r="AC843" s="1" t="s">
        <v>1377</v>
      </c>
      <c r="AD843" s="1" t="s">
        <v>93</v>
      </c>
      <c r="AE843" s="1" t="s">
        <v>93</v>
      </c>
      <c r="AF843" s="1" t="s">
        <v>15305</v>
      </c>
      <c r="AG843" s="1" t="s">
        <v>15306</v>
      </c>
      <c r="AH843" s="1" t="s">
        <v>96</v>
      </c>
      <c r="AI843" s="1" t="s">
        <v>279</v>
      </c>
      <c r="AJ843" s="1">
        <v>88.4</v>
      </c>
      <c r="AK843" s="1"/>
      <c r="AL843" s="1" t="s">
        <v>15305</v>
      </c>
      <c r="AM843" s="1" t="s">
        <v>15307</v>
      </c>
      <c r="AN843" s="1" t="s">
        <v>165</v>
      </c>
      <c r="AO843" s="1" t="s">
        <v>1307</v>
      </c>
      <c r="AP843" s="1">
        <v>75.5</v>
      </c>
      <c r="AQ843" s="1"/>
      <c r="AR843" s="1"/>
      <c r="AS843" s="1"/>
      <c r="AT843" s="1"/>
      <c r="AU843" s="1"/>
      <c r="AV843" s="1"/>
      <c r="AW843" s="1"/>
      <c r="AX843" s="1" t="s">
        <v>3425</v>
      </c>
      <c r="AY843" s="1" t="s">
        <v>15308</v>
      </c>
      <c r="AZ843" s="1" t="s">
        <v>169</v>
      </c>
      <c r="BA843" s="1" t="s">
        <v>682</v>
      </c>
      <c r="BB843" s="1">
        <v>56.4</v>
      </c>
      <c r="BC843" s="1">
        <v>5.64</v>
      </c>
      <c r="BD843" s="1"/>
      <c r="BE843" s="1"/>
      <c r="BF843" s="1"/>
      <c r="BG843" s="1"/>
      <c r="BH843" s="1"/>
      <c r="BI843" s="1"/>
      <c r="BJ843" s="1" t="s">
        <v>15309</v>
      </c>
      <c r="BK843" s="1" t="s">
        <v>15310</v>
      </c>
      <c r="BL843" s="1" t="s">
        <v>484</v>
      </c>
      <c r="BM843" s="1" t="s">
        <v>15311</v>
      </c>
      <c r="BN843" s="1">
        <v>14</v>
      </c>
      <c r="BO843" s="1"/>
      <c r="BP843" s="1" t="str">
        <f>HYPERLINK("https://nconnect.nicmar.ac.in/storage/profile/ProfilePhoto_P25702056_163759.jpg","Download")</f>
        <v>0</v>
      </c>
      <c r="BQ843" s="3"/>
      <c r="BR843" s="3"/>
    </row>
    <row r="844" spans="1:70">
      <c r="A844" s="1" t="s">
        <v>441</v>
      </c>
      <c r="B844" s="1" t="s">
        <v>1269</v>
      </c>
      <c r="C844" s="1" t="s">
        <v>15312</v>
      </c>
      <c r="D844" s="1" t="s">
        <v>8418</v>
      </c>
      <c r="E844" s="1" t="s">
        <v>5393</v>
      </c>
      <c r="F844" s="1" t="s">
        <v>15313</v>
      </c>
      <c r="G844" s="1" t="s">
        <v>15314</v>
      </c>
      <c r="H844" s="1" t="s">
        <v>15315</v>
      </c>
      <c r="I844" s="1" t="s">
        <v>15316</v>
      </c>
      <c r="J844" s="1">
        <v>9307865578</v>
      </c>
      <c r="K844" s="1" t="s">
        <v>79</v>
      </c>
      <c r="L844" s="1" t="s">
        <v>15317</v>
      </c>
      <c r="M844" s="1" t="s">
        <v>81</v>
      </c>
      <c r="N844" s="1" t="s">
        <v>15318</v>
      </c>
      <c r="O844" s="1"/>
      <c r="P844" s="1" t="s">
        <v>1278</v>
      </c>
      <c r="Q844" s="1" t="s">
        <v>15319</v>
      </c>
      <c r="R844" s="1" t="s">
        <v>15320</v>
      </c>
      <c r="S844" s="1">
        <v>8329082119</v>
      </c>
      <c r="T844" s="1" t="s">
        <v>976</v>
      </c>
      <c r="U844" s="1" t="s">
        <v>15321</v>
      </c>
      <c r="V844" s="1">
        <v>9359906515</v>
      </c>
      <c r="W844" s="1" t="s">
        <v>89</v>
      </c>
      <c r="X844" s="1" t="s">
        <v>15322</v>
      </c>
      <c r="Y844" s="1" t="s">
        <v>191</v>
      </c>
      <c r="Z844" s="1" t="s">
        <v>92</v>
      </c>
      <c r="AA844" s="1" t="s">
        <v>15323</v>
      </c>
      <c r="AB844" s="1" t="s">
        <v>7908</v>
      </c>
      <c r="AC844" s="1" t="s">
        <v>92</v>
      </c>
      <c r="AD844" s="1">
        <v>8.16</v>
      </c>
      <c r="AE844" s="1" t="s">
        <v>93</v>
      </c>
      <c r="AF844" s="1" t="s">
        <v>15324</v>
      </c>
      <c r="AG844" s="1" t="s">
        <v>15325</v>
      </c>
      <c r="AH844" s="1" t="s">
        <v>162</v>
      </c>
      <c r="AI844" s="1" t="s">
        <v>165</v>
      </c>
      <c r="AJ844" s="1">
        <v>90.8</v>
      </c>
      <c r="AK844" s="1">
        <v>9.8</v>
      </c>
      <c r="AL844" s="1" t="s">
        <v>15324</v>
      </c>
      <c r="AM844" s="1" t="s">
        <v>15325</v>
      </c>
      <c r="AN844" s="1" t="s">
        <v>101</v>
      </c>
      <c r="AO844" s="1" t="s">
        <v>433</v>
      </c>
      <c r="AP844" s="1">
        <v>57.2</v>
      </c>
      <c r="AQ844" s="1"/>
      <c r="AR844" s="1"/>
      <c r="AS844" s="1"/>
      <c r="AT844" s="1"/>
      <c r="AU844" s="1"/>
      <c r="AV844" s="1"/>
      <c r="AW844" s="1"/>
      <c r="AX844" s="1" t="s">
        <v>1852</v>
      </c>
      <c r="AY844" s="1" t="s">
        <v>15326</v>
      </c>
      <c r="AZ844" s="1" t="s">
        <v>310</v>
      </c>
      <c r="BA844" s="1" t="s">
        <v>174</v>
      </c>
      <c r="BB844" s="1">
        <v>56.4</v>
      </c>
      <c r="BC844" s="1">
        <v>6.39</v>
      </c>
      <c r="BD844" s="1"/>
      <c r="BE844" s="1"/>
      <c r="BF844" s="1"/>
      <c r="BG844" s="1"/>
      <c r="BH844" s="1"/>
      <c r="BI844" s="1"/>
      <c r="BJ844" s="1" t="s">
        <v>1715</v>
      </c>
      <c r="BK844" s="1"/>
      <c r="BL844" s="1"/>
      <c r="BM844" s="1" t="s">
        <v>15327</v>
      </c>
      <c r="BN844" s="1">
        <v>43</v>
      </c>
      <c r="BO844" s="1" t="s">
        <v>15328</v>
      </c>
      <c r="BP844" s="1" t="str">
        <f>HYPERLINK("https://nconnect.nicmar.ac.in/storage/profile/ProfilePhoto_P25702057_789125.jpg","Download")</f>
        <v>0</v>
      </c>
      <c r="BQ844" s="3"/>
      <c r="BR844" s="3"/>
    </row>
    <row r="845" spans="1:70">
      <c r="A845" s="1" t="s">
        <v>441</v>
      </c>
      <c r="B845" s="1" t="s">
        <v>1269</v>
      </c>
      <c r="C845" s="1" t="s">
        <v>15329</v>
      </c>
      <c r="D845" s="1" t="s">
        <v>15330</v>
      </c>
      <c r="E845" s="1"/>
      <c r="F845" s="1" t="s">
        <v>15331</v>
      </c>
      <c r="G845" s="1" t="s">
        <v>15332</v>
      </c>
      <c r="H845" s="1" t="s">
        <v>15333</v>
      </c>
      <c r="I845" s="1" t="s">
        <v>15334</v>
      </c>
      <c r="J845" s="1">
        <v>9875625081</v>
      </c>
      <c r="K845" s="1" t="s">
        <v>79</v>
      </c>
      <c r="L845" s="1" t="s">
        <v>15335</v>
      </c>
      <c r="M845" s="1" t="s">
        <v>81</v>
      </c>
      <c r="N845" s="1" t="s">
        <v>15336</v>
      </c>
      <c r="O845" s="1"/>
      <c r="P845" s="1" t="s">
        <v>1323</v>
      </c>
      <c r="Q845" s="1" t="s">
        <v>15337</v>
      </c>
      <c r="R845" s="1" t="s">
        <v>15338</v>
      </c>
      <c r="S845" s="1">
        <v>9831082721</v>
      </c>
      <c r="T845" s="1" t="s">
        <v>763</v>
      </c>
      <c r="U845" s="1" t="s">
        <v>15339</v>
      </c>
      <c r="V845" s="1">
        <v>9831082721</v>
      </c>
      <c r="W845" s="1" t="s">
        <v>89</v>
      </c>
      <c r="X845" s="1" t="s">
        <v>15340</v>
      </c>
      <c r="Y845" s="1" t="s">
        <v>4078</v>
      </c>
      <c r="Z845" s="1" t="s">
        <v>783</v>
      </c>
      <c r="AA845" s="1" t="s">
        <v>15340</v>
      </c>
      <c r="AB845" s="1" t="s">
        <v>4078</v>
      </c>
      <c r="AC845" s="1" t="s">
        <v>783</v>
      </c>
      <c r="AD845" s="1" t="s">
        <v>93</v>
      </c>
      <c r="AE845" s="1" t="s">
        <v>93</v>
      </c>
      <c r="AF845" s="1" t="s">
        <v>15341</v>
      </c>
      <c r="AG845" s="1" t="s">
        <v>1152</v>
      </c>
      <c r="AH845" s="1" t="s">
        <v>527</v>
      </c>
      <c r="AI845" s="1" t="s">
        <v>479</v>
      </c>
      <c r="AJ845" s="1">
        <v>91.33</v>
      </c>
      <c r="AK845" s="1"/>
      <c r="AL845" s="1" t="s">
        <v>15341</v>
      </c>
      <c r="AM845" s="1" t="s">
        <v>1152</v>
      </c>
      <c r="AN845" s="1" t="s">
        <v>166</v>
      </c>
      <c r="AO845" s="1" t="s">
        <v>308</v>
      </c>
      <c r="AP845" s="1">
        <v>68.33</v>
      </c>
      <c r="AQ845" s="1"/>
      <c r="AR845" s="1"/>
      <c r="AS845" s="1"/>
      <c r="AT845" s="1"/>
      <c r="AU845" s="1"/>
      <c r="AV845" s="1"/>
      <c r="AW845" s="1"/>
      <c r="AX845" s="1" t="s">
        <v>5842</v>
      </c>
      <c r="AY845" s="1" t="s">
        <v>15342</v>
      </c>
      <c r="AZ845" s="1" t="s">
        <v>310</v>
      </c>
      <c r="BA845" s="1" t="s">
        <v>1938</v>
      </c>
      <c r="BB845" s="1">
        <v>80.9</v>
      </c>
      <c r="BC845" s="1">
        <v>8.9</v>
      </c>
      <c r="BD845" s="1"/>
      <c r="BE845" s="1"/>
      <c r="BF845" s="1"/>
      <c r="BG845" s="1"/>
      <c r="BH845" s="1"/>
      <c r="BI845" s="1"/>
      <c r="BJ845" s="1" t="s">
        <v>15343</v>
      </c>
      <c r="BK845" s="1"/>
      <c r="BL845" s="1"/>
      <c r="BM845" s="1"/>
      <c r="BN845" s="1"/>
      <c r="BO845" s="1"/>
      <c r="BP845" s="1" t="str">
        <f>HYPERLINK("https://nconnect.nicmar.ac.in/storage/profile/ProfilePhoto_P25702058_624583.jpg","Download")</f>
        <v>0</v>
      </c>
      <c r="BQ845" s="3"/>
      <c r="BR845" s="3"/>
    </row>
    <row r="846" spans="1:70">
      <c r="A846" s="1" t="s">
        <v>441</v>
      </c>
      <c r="B846" s="1" t="s">
        <v>1269</v>
      </c>
      <c r="C846" s="1" t="s">
        <v>15344</v>
      </c>
      <c r="D846" s="1" t="s">
        <v>15345</v>
      </c>
      <c r="E846" s="1" t="s">
        <v>2483</v>
      </c>
      <c r="F846" s="1" t="s">
        <v>3843</v>
      </c>
      <c r="G846" s="1" t="s">
        <v>15346</v>
      </c>
      <c r="H846" s="1" t="s">
        <v>15347</v>
      </c>
      <c r="I846" s="1" t="s">
        <v>15348</v>
      </c>
      <c r="J846" s="1">
        <v>9987068565</v>
      </c>
      <c r="K846" s="1" t="s">
        <v>148</v>
      </c>
      <c r="L846" s="1" t="s">
        <v>15349</v>
      </c>
      <c r="M846" s="1" t="s">
        <v>81</v>
      </c>
      <c r="N846" s="1" t="s">
        <v>15350</v>
      </c>
      <c r="O846" s="1"/>
      <c r="P846" s="1" t="s">
        <v>1323</v>
      </c>
      <c r="Q846" s="1" t="s">
        <v>15351</v>
      </c>
      <c r="R846" s="1" t="s">
        <v>2483</v>
      </c>
      <c r="S846" s="1">
        <v>9324401690</v>
      </c>
      <c r="T846" s="1" t="s">
        <v>120</v>
      </c>
      <c r="U846" s="1" t="s">
        <v>15352</v>
      </c>
      <c r="V846" s="1">
        <v>9594553014</v>
      </c>
      <c r="W846" s="1" t="s">
        <v>89</v>
      </c>
      <c r="X846" s="1" t="s">
        <v>15353</v>
      </c>
      <c r="Y846" s="1" t="s">
        <v>766</v>
      </c>
      <c r="Z846" s="1" t="s">
        <v>92</v>
      </c>
      <c r="AA846" s="1" t="s">
        <v>15353</v>
      </c>
      <c r="AB846" s="1" t="s">
        <v>766</v>
      </c>
      <c r="AC846" s="1" t="s">
        <v>92</v>
      </c>
      <c r="AD846" s="1">
        <v>7.32</v>
      </c>
      <c r="AE846" s="1" t="s">
        <v>93</v>
      </c>
      <c r="AF846" s="1" t="s">
        <v>15354</v>
      </c>
      <c r="AG846" s="1" t="s">
        <v>15355</v>
      </c>
      <c r="AH846" s="1" t="s">
        <v>96</v>
      </c>
      <c r="AI846" s="1" t="s">
        <v>97</v>
      </c>
      <c r="AJ846" s="1">
        <v>81.6</v>
      </c>
      <c r="AK846" s="1"/>
      <c r="AL846" s="1" t="s">
        <v>15356</v>
      </c>
      <c r="AM846" s="1" t="s">
        <v>15355</v>
      </c>
      <c r="AN846" s="1" t="s">
        <v>162</v>
      </c>
      <c r="AO846" s="1" t="s">
        <v>1332</v>
      </c>
      <c r="AP846" s="1">
        <v>55.69</v>
      </c>
      <c r="AQ846" s="1"/>
      <c r="AR846" s="1"/>
      <c r="AS846" s="1"/>
      <c r="AT846" s="1"/>
      <c r="AU846" s="1"/>
      <c r="AV846" s="1"/>
      <c r="AW846" s="1"/>
      <c r="AX846" s="1" t="s">
        <v>253</v>
      </c>
      <c r="AY846" s="1" t="s">
        <v>15357</v>
      </c>
      <c r="AZ846" s="1" t="s">
        <v>225</v>
      </c>
      <c r="BA846" s="1" t="s">
        <v>284</v>
      </c>
      <c r="BB846" s="1">
        <v>57.01</v>
      </c>
      <c r="BC846" s="1">
        <v>6.34</v>
      </c>
      <c r="BD846" s="1"/>
      <c r="BE846" s="1"/>
      <c r="BF846" s="1"/>
      <c r="BG846" s="1"/>
      <c r="BH846" s="1"/>
      <c r="BI846" s="1"/>
      <c r="BJ846" s="1" t="s">
        <v>15358</v>
      </c>
      <c r="BK846" s="1" t="s">
        <v>15359</v>
      </c>
      <c r="BL846" s="1" t="s">
        <v>8309</v>
      </c>
      <c r="BM846" s="1" t="s">
        <v>15360</v>
      </c>
      <c r="BN846" s="1">
        <v>18</v>
      </c>
      <c r="BO846" s="1"/>
      <c r="BP846" s="1" t="str">
        <f>HYPERLINK("https://nconnect.nicmar.ac.in/storage/profile/ProfilePhoto_P25702059_864359.jpg","Download")</f>
        <v>0</v>
      </c>
      <c r="BQ846" s="3"/>
      <c r="BR846" s="3"/>
    </row>
    <row r="847" spans="1:70">
      <c r="A847" s="1" t="s">
        <v>441</v>
      </c>
      <c r="B847" s="1" t="s">
        <v>1269</v>
      </c>
      <c r="C847" s="1" t="s">
        <v>15361</v>
      </c>
      <c r="D847" s="1" t="s">
        <v>2085</v>
      </c>
      <c r="E847" s="1"/>
      <c r="F847" s="1" t="s">
        <v>15362</v>
      </c>
      <c r="G847" s="1" t="s">
        <v>15363</v>
      </c>
      <c r="H847" s="1" t="s">
        <v>15364</v>
      </c>
      <c r="I847" s="1" t="s">
        <v>15365</v>
      </c>
      <c r="J847" s="1">
        <v>7846834615</v>
      </c>
      <c r="K847" s="1" t="s">
        <v>79</v>
      </c>
      <c r="L847" s="1" t="s">
        <v>928</v>
      </c>
      <c r="M847" s="1" t="s">
        <v>81</v>
      </c>
      <c r="N847" s="1" t="s">
        <v>1724</v>
      </c>
      <c r="O847" s="1" t="s">
        <v>15366</v>
      </c>
      <c r="P847" s="1" t="s">
        <v>1298</v>
      </c>
      <c r="Q847" s="1" t="s">
        <v>15367</v>
      </c>
      <c r="R847" s="1" t="s">
        <v>15368</v>
      </c>
      <c r="S847" s="1">
        <v>9337219992</v>
      </c>
      <c r="T847" s="1" t="s">
        <v>15369</v>
      </c>
      <c r="U847" s="1" t="s">
        <v>15370</v>
      </c>
      <c r="V847" s="1">
        <v>9438629300</v>
      </c>
      <c r="W847" s="1" t="s">
        <v>15371</v>
      </c>
      <c r="X847" s="1" t="s">
        <v>15372</v>
      </c>
      <c r="Y847" s="1" t="s">
        <v>2096</v>
      </c>
      <c r="Z847" s="1" t="s">
        <v>1731</v>
      </c>
      <c r="AA847" s="1" t="s">
        <v>15372</v>
      </c>
      <c r="AB847" s="1" t="s">
        <v>2096</v>
      </c>
      <c r="AC847" s="1" t="s">
        <v>1731</v>
      </c>
      <c r="AD847" s="1">
        <v>7.24</v>
      </c>
      <c r="AE847" s="1" t="s">
        <v>93</v>
      </c>
      <c r="AF847" s="1" t="s">
        <v>15373</v>
      </c>
      <c r="AG847" s="1" t="s">
        <v>15374</v>
      </c>
      <c r="AH847" s="1" t="s">
        <v>165</v>
      </c>
      <c r="AI847" s="1" t="s">
        <v>166</v>
      </c>
      <c r="AJ847" s="1">
        <v>70.8</v>
      </c>
      <c r="AK847" s="1">
        <v>0</v>
      </c>
      <c r="AL847" s="1" t="s">
        <v>15375</v>
      </c>
      <c r="AM847" s="1" t="s">
        <v>15374</v>
      </c>
      <c r="AN847" s="1" t="s">
        <v>101</v>
      </c>
      <c r="AO847" s="1" t="s">
        <v>173</v>
      </c>
      <c r="AP847" s="1">
        <v>66.8</v>
      </c>
      <c r="AQ847" s="1"/>
      <c r="AR847" s="1"/>
      <c r="AS847" s="1"/>
      <c r="AT847" s="1"/>
      <c r="AU847" s="1"/>
      <c r="AV847" s="1"/>
      <c r="AW847" s="1"/>
      <c r="AX847" s="1" t="s">
        <v>15376</v>
      </c>
      <c r="AY847" s="1" t="s">
        <v>15376</v>
      </c>
      <c r="AZ847" s="1" t="s">
        <v>897</v>
      </c>
      <c r="BA847" s="1" t="s">
        <v>1714</v>
      </c>
      <c r="BB847" s="1">
        <v>57.7</v>
      </c>
      <c r="BC847" s="1">
        <v>6.27</v>
      </c>
      <c r="BD847" s="1"/>
      <c r="BE847" s="1"/>
      <c r="BF847" s="1"/>
      <c r="BG847" s="1"/>
      <c r="BH847" s="1"/>
      <c r="BI847" s="1"/>
      <c r="BJ847" s="1" t="s">
        <v>2729</v>
      </c>
      <c r="BK847" s="1"/>
      <c r="BL847" s="1"/>
      <c r="BM847" s="1" t="s">
        <v>15377</v>
      </c>
      <c r="BN847" s="1">
        <v>11</v>
      </c>
      <c r="BO847" s="1" t="s">
        <v>15378</v>
      </c>
      <c r="BP847" s="1" t="str">
        <f>HYPERLINK("https://nconnect.nicmar.ac.in/storage/profile/ProfilePhoto_P25702060_829173.jpg","Download")</f>
        <v>0</v>
      </c>
      <c r="BQ847" s="3"/>
      <c r="BR847" s="3"/>
    </row>
    <row r="848" spans="1:70">
      <c r="A848" s="1" t="s">
        <v>441</v>
      </c>
      <c r="B848" s="1" t="s">
        <v>1269</v>
      </c>
      <c r="C848" s="1" t="s">
        <v>15379</v>
      </c>
      <c r="D848" s="1" t="s">
        <v>15380</v>
      </c>
      <c r="E848" s="1" t="s">
        <v>3430</v>
      </c>
      <c r="F848" s="1" t="s">
        <v>15381</v>
      </c>
      <c r="G848" s="1" t="s">
        <v>15382</v>
      </c>
      <c r="H848" s="1" t="s">
        <v>15383</v>
      </c>
      <c r="I848" s="1" t="s">
        <v>15384</v>
      </c>
      <c r="J848" s="1">
        <v>9594111227</v>
      </c>
      <c r="K848" s="1" t="s">
        <v>79</v>
      </c>
      <c r="L848" s="1" t="s">
        <v>15385</v>
      </c>
      <c r="M848" s="1" t="s">
        <v>81</v>
      </c>
      <c r="N848" s="1" t="s">
        <v>15386</v>
      </c>
      <c r="O848" s="1"/>
      <c r="P848" s="1" t="s">
        <v>1323</v>
      </c>
      <c r="Q848" s="1" t="s">
        <v>15387</v>
      </c>
      <c r="R848" s="1" t="s">
        <v>3430</v>
      </c>
      <c r="S848" s="1">
        <v>9594111230</v>
      </c>
      <c r="T848" s="1" t="s">
        <v>496</v>
      </c>
      <c r="U848" s="1" t="s">
        <v>992</v>
      </c>
      <c r="V848" s="1">
        <v>9594111229</v>
      </c>
      <c r="W848" s="1" t="s">
        <v>89</v>
      </c>
      <c r="X848" s="1" t="s">
        <v>15388</v>
      </c>
      <c r="Y848" s="1" t="s">
        <v>1623</v>
      </c>
      <c r="Z848" s="1" t="s">
        <v>92</v>
      </c>
      <c r="AA848" s="1" t="s">
        <v>15388</v>
      </c>
      <c r="AB848" s="1" t="s">
        <v>1623</v>
      </c>
      <c r="AC848" s="1" t="s">
        <v>92</v>
      </c>
      <c r="AD848" s="1">
        <v>7.9</v>
      </c>
      <c r="AE848" s="1" t="s">
        <v>93</v>
      </c>
      <c r="AF848" s="1" t="s">
        <v>15389</v>
      </c>
      <c r="AG848" s="1" t="s">
        <v>160</v>
      </c>
      <c r="AH848" s="1" t="s">
        <v>383</v>
      </c>
      <c r="AI848" s="1" t="s">
        <v>281</v>
      </c>
      <c r="AJ848" s="1">
        <v>80.2</v>
      </c>
      <c r="AK848" s="1"/>
      <c r="AL848" s="1" t="s">
        <v>15390</v>
      </c>
      <c r="AM848" s="1" t="s">
        <v>160</v>
      </c>
      <c r="AN848" s="1" t="s">
        <v>433</v>
      </c>
      <c r="AO848" s="1" t="s">
        <v>360</v>
      </c>
      <c r="AP848" s="1">
        <v>53.23</v>
      </c>
      <c r="AQ848" s="1"/>
      <c r="AR848" s="1"/>
      <c r="AS848" s="1"/>
      <c r="AT848" s="1"/>
      <c r="AU848" s="1"/>
      <c r="AV848" s="1"/>
      <c r="AW848" s="1"/>
      <c r="AX848" s="1" t="s">
        <v>253</v>
      </c>
      <c r="AY848" s="1" t="s">
        <v>15391</v>
      </c>
      <c r="AZ848" s="1" t="s">
        <v>173</v>
      </c>
      <c r="BA848" s="1" t="s">
        <v>3158</v>
      </c>
      <c r="BB848" s="1">
        <v>64.17</v>
      </c>
      <c r="BC848" s="1">
        <v>7.11</v>
      </c>
      <c r="BD848" s="1"/>
      <c r="BE848" s="1"/>
      <c r="BF848" s="1"/>
      <c r="BG848" s="1"/>
      <c r="BH848" s="1"/>
      <c r="BI848" s="1"/>
      <c r="BJ848" s="1" t="s">
        <v>15392</v>
      </c>
      <c r="BK848" s="1"/>
      <c r="BL848" s="1"/>
      <c r="BM848" s="1" t="s">
        <v>15393</v>
      </c>
      <c r="BN848" s="1">
        <v>7</v>
      </c>
      <c r="BO848" s="1"/>
      <c r="BP848" s="1" t="str">
        <f>HYPERLINK("https://nconnect.nicmar.ac.in/storage/profile/ProfilePhoto_P25702061_731829.jpg","Download")</f>
        <v>0</v>
      </c>
      <c r="BQ848" s="3"/>
      <c r="BR848" s="3"/>
    </row>
    <row r="849" spans="1:70">
      <c r="A849" s="1" t="s">
        <v>441</v>
      </c>
      <c r="B849" s="1" t="s">
        <v>1269</v>
      </c>
      <c r="C849" s="1" t="s">
        <v>15394</v>
      </c>
      <c r="D849" s="1" t="s">
        <v>15395</v>
      </c>
      <c r="E849" s="1" t="s">
        <v>15396</v>
      </c>
      <c r="F849" s="1" t="s">
        <v>15397</v>
      </c>
      <c r="G849" s="1" t="s">
        <v>15398</v>
      </c>
      <c r="H849" s="1" t="s">
        <v>15399</v>
      </c>
      <c r="I849" s="1" t="s">
        <v>15400</v>
      </c>
      <c r="J849" s="1">
        <v>7741939823</v>
      </c>
      <c r="K849" s="1" t="s">
        <v>79</v>
      </c>
      <c r="L849" s="1" t="s">
        <v>15401</v>
      </c>
      <c r="M849" s="1" t="s">
        <v>81</v>
      </c>
      <c r="N849" s="1" t="s">
        <v>2008</v>
      </c>
      <c r="O849" s="1"/>
      <c r="P849" s="1" t="s">
        <v>1278</v>
      </c>
      <c r="Q849" s="1" t="s">
        <v>15402</v>
      </c>
      <c r="R849" s="1" t="s">
        <v>15403</v>
      </c>
      <c r="S849" s="1">
        <v>9503069376</v>
      </c>
      <c r="T849" s="1" t="s">
        <v>2333</v>
      </c>
      <c r="U849" s="1" t="s">
        <v>15404</v>
      </c>
      <c r="V849" s="1">
        <v>8698852057</v>
      </c>
      <c r="W849" s="1" t="s">
        <v>273</v>
      </c>
      <c r="X849" s="1" t="s">
        <v>15405</v>
      </c>
      <c r="Y849" s="1" t="s">
        <v>379</v>
      </c>
      <c r="Z849" s="1" t="s">
        <v>92</v>
      </c>
      <c r="AA849" s="1" t="s">
        <v>15405</v>
      </c>
      <c r="AB849" s="1" t="s">
        <v>379</v>
      </c>
      <c r="AC849" s="1" t="s">
        <v>92</v>
      </c>
      <c r="AD849" s="1" t="s">
        <v>93</v>
      </c>
      <c r="AE849" s="1" t="s">
        <v>93</v>
      </c>
      <c r="AF849" s="1" t="s">
        <v>15406</v>
      </c>
      <c r="AG849" s="1" t="s">
        <v>15407</v>
      </c>
      <c r="AH849" s="1" t="s">
        <v>161</v>
      </c>
      <c r="AI849" s="1" t="s">
        <v>456</v>
      </c>
      <c r="AJ849" s="1">
        <v>69.8</v>
      </c>
      <c r="AK849" s="1"/>
      <c r="AL849" s="1" t="s">
        <v>15408</v>
      </c>
      <c r="AM849" s="1" t="s">
        <v>15407</v>
      </c>
      <c r="AN849" s="1" t="s">
        <v>165</v>
      </c>
      <c r="AO849" s="1" t="s">
        <v>457</v>
      </c>
      <c r="AP849" s="1">
        <v>54.15</v>
      </c>
      <c r="AQ849" s="1"/>
      <c r="AR849" s="1"/>
      <c r="AS849" s="1"/>
      <c r="AT849" s="1"/>
      <c r="AU849" s="1"/>
      <c r="AV849" s="1"/>
      <c r="AW849" s="1"/>
      <c r="AX849" s="1" t="s">
        <v>15409</v>
      </c>
      <c r="AY849" s="1" t="s">
        <v>15410</v>
      </c>
      <c r="AZ849" s="1" t="s">
        <v>169</v>
      </c>
      <c r="BA849" s="1" t="s">
        <v>105</v>
      </c>
      <c r="BB849" s="1">
        <v>71.8</v>
      </c>
      <c r="BC849" s="1">
        <v>7.68</v>
      </c>
      <c r="BD849" s="1"/>
      <c r="BE849" s="1"/>
      <c r="BF849" s="1"/>
      <c r="BG849" s="1"/>
      <c r="BH849" s="1"/>
      <c r="BI849" s="1"/>
      <c r="BJ849" s="1" t="s">
        <v>15411</v>
      </c>
      <c r="BK849" s="1" t="s">
        <v>15412</v>
      </c>
      <c r="BL849" s="1" t="s">
        <v>9488</v>
      </c>
      <c r="BM849" s="1" t="s">
        <v>15413</v>
      </c>
      <c r="BN849" s="1">
        <v>18</v>
      </c>
      <c r="BO849" s="1"/>
      <c r="BP849" s="1" t="str">
        <f>HYPERLINK("https://nconnect.nicmar.ac.in/storage/profile/ProfilePhoto_P25702062_861492.jpg","Download")</f>
        <v>0</v>
      </c>
      <c r="BQ849" s="3"/>
      <c r="BR849" s="3"/>
    </row>
    <row r="850" spans="1:70">
      <c r="A850" s="1" t="s">
        <v>441</v>
      </c>
      <c r="B850" s="1" t="s">
        <v>1269</v>
      </c>
      <c r="C850" s="1" t="s">
        <v>15414</v>
      </c>
      <c r="D850" s="1" t="s">
        <v>15415</v>
      </c>
      <c r="E850" s="1" t="s">
        <v>444</v>
      </c>
      <c r="F850" s="1" t="s">
        <v>15416</v>
      </c>
      <c r="G850" s="1" t="s">
        <v>15417</v>
      </c>
      <c r="H850" s="1" t="s">
        <v>15418</v>
      </c>
      <c r="I850" s="1" t="s">
        <v>15419</v>
      </c>
      <c r="J850" s="1">
        <v>7218330499</v>
      </c>
      <c r="K850" s="1" t="s">
        <v>148</v>
      </c>
      <c r="L850" s="1" t="s">
        <v>15420</v>
      </c>
      <c r="M850" s="1" t="s">
        <v>81</v>
      </c>
      <c r="N850" s="1" t="s">
        <v>3207</v>
      </c>
      <c r="O850" s="1"/>
      <c r="P850" s="1" t="s">
        <v>1323</v>
      </c>
      <c r="Q850" s="1" t="s">
        <v>15421</v>
      </c>
      <c r="R850" s="1" t="s">
        <v>15422</v>
      </c>
      <c r="S850" s="1">
        <v>9921856587</v>
      </c>
      <c r="T850" s="1" t="s">
        <v>976</v>
      </c>
      <c r="U850" s="1" t="s">
        <v>15423</v>
      </c>
      <c r="V850" s="1">
        <v>8788336890</v>
      </c>
      <c r="W850" s="1" t="s">
        <v>156</v>
      </c>
      <c r="X850" s="1" t="s">
        <v>15424</v>
      </c>
      <c r="Y850" s="1" t="s">
        <v>219</v>
      </c>
      <c r="Z850" s="1" t="s">
        <v>92</v>
      </c>
      <c r="AA850" s="1" t="s">
        <v>15424</v>
      </c>
      <c r="AB850" s="1" t="s">
        <v>219</v>
      </c>
      <c r="AC850" s="1" t="s">
        <v>92</v>
      </c>
      <c r="AD850" s="1">
        <v>8.03</v>
      </c>
      <c r="AE850" s="1" t="s">
        <v>93</v>
      </c>
      <c r="AF850" s="1" t="s">
        <v>15425</v>
      </c>
      <c r="AG850" s="1" t="s">
        <v>7697</v>
      </c>
      <c r="AH850" s="1" t="s">
        <v>12038</v>
      </c>
      <c r="AI850" s="1" t="s">
        <v>456</v>
      </c>
      <c r="AJ850" s="1">
        <v>82.6</v>
      </c>
      <c r="AK850" s="1"/>
      <c r="AL850" s="1" t="s">
        <v>15426</v>
      </c>
      <c r="AM850" s="1" t="s">
        <v>7697</v>
      </c>
      <c r="AN850" s="1" t="s">
        <v>162</v>
      </c>
      <c r="AO850" s="1" t="s">
        <v>457</v>
      </c>
      <c r="AP850" s="1">
        <v>66.46</v>
      </c>
      <c r="AQ850" s="1"/>
      <c r="AR850" s="1"/>
      <c r="AS850" s="1"/>
      <c r="AT850" s="1"/>
      <c r="AU850" s="1"/>
      <c r="AV850" s="1"/>
      <c r="AW850" s="1"/>
      <c r="AX850" s="1" t="s">
        <v>13784</v>
      </c>
      <c r="AY850" s="1" t="s">
        <v>15427</v>
      </c>
      <c r="AZ850" s="1" t="s">
        <v>169</v>
      </c>
      <c r="BA850" s="1" t="s">
        <v>590</v>
      </c>
      <c r="BB850" s="1">
        <v>64.73</v>
      </c>
      <c r="BC850" s="1">
        <v>6.81</v>
      </c>
      <c r="BD850" s="1"/>
      <c r="BE850" s="1"/>
      <c r="BF850" s="1"/>
      <c r="BG850" s="1"/>
      <c r="BH850" s="1"/>
      <c r="BI850" s="1"/>
      <c r="BJ850" s="1" t="s">
        <v>15428</v>
      </c>
      <c r="BK850" s="1"/>
      <c r="BL850" s="1"/>
      <c r="BM850" s="1" t="s">
        <v>15429</v>
      </c>
      <c r="BN850" s="1">
        <v>26</v>
      </c>
      <c r="BO850" s="1"/>
      <c r="BP850" s="1" t="str">
        <f>HYPERLINK("https://nconnect.nicmar.ac.in/storage/profile/ProfilePhoto_P25702063_125638.jpg","Download")</f>
        <v>0</v>
      </c>
      <c r="BQ850" s="3"/>
      <c r="BR850" s="3"/>
    </row>
    <row r="851" spans="1:70">
      <c r="A851" s="1" t="s">
        <v>441</v>
      </c>
      <c r="B851" s="1" t="s">
        <v>1269</v>
      </c>
      <c r="C851" s="1" t="s">
        <v>15430</v>
      </c>
      <c r="D851" s="1" t="s">
        <v>15431</v>
      </c>
      <c r="E851" s="1"/>
      <c r="F851" s="1" t="s">
        <v>15432</v>
      </c>
      <c r="G851" s="1" t="s">
        <v>15433</v>
      </c>
      <c r="H851" s="1" t="s">
        <v>15434</v>
      </c>
      <c r="I851" s="1" t="s">
        <v>15435</v>
      </c>
      <c r="J851" s="1">
        <v>7032052925</v>
      </c>
      <c r="K851" s="1" t="s">
        <v>79</v>
      </c>
      <c r="L851" s="1" t="s">
        <v>583</v>
      </c>
      <c r="M851" s="1" t="s">
        <v>81</v>
      </c>
      <c r="N851" s="1" t="s">
        <v>3833</v>
      </c>
      <c r="O851" s="1"/>
      <c r="P851" s="1" t="s">
        <v>1323</v>
      </c>
      <c r="Q851" s="1" t="s">
        <v>15436</v>
      </c>
      <c r="R851" s="1" t="s">
        <v>15437</v>
      </c>
      <c r="S851" s="1">
        <v>9848070745</v>
      </c>
      <c r="T851" s="1" t="s">
        <v>5802</v>
      </c>
      <c r="U851" s="1" t="s">
        <v>15438</v>
      </c>
      <c r="V851" s="1">
        <v>9949035359</v>
      </c>
      <c r="W851" s="1" t="s">
        <v>89</v>
      </c>
      <c r="X851" s="1" t="s">
        <v>15439</v>
      </c>
      <c r="Y851" s="1" t="s">
        <v>11868</v>
      </c>
      <c r="Z851" s="1" t="s">
        <v>276</v>
      </c>
      <c r="AA851" s="1" t="s">
        <v>15439</v>
      </c>
      <c r="AB851" s="1" t="s">
        <v>11868</v>
      </c>
      <c r="AC851" s="1" t="s">
        <v>276</v>
      </c>
      <c r="AD851" s="1">
        <v>7.82</v>
      </c>
      <c r="AE851" s="1" t="s">
        <v>93</v>
      </c>
      <c r="AF851" s="1" t="s">
        <v>15440</v>
      </c>
      <c r="AG851" s="1" t="s">
        <v>15441</v>
      </c>
      <c r="AH851" s="1" t="s">
        <v>162</v>
      </c>
      <c r="AI851" s="1" t="s">
        <v>678</v>
      </c>
      <c r="AJ851" s="1">
        <v>74.1</v>
      </c>
      <c r="AK851" s="1">
        <v>7.8</v>
      </c>
      <c r="AL851" s="1" t="s">
        <v>2419</v>
      </c>
      <c r="AM851" s="1" t="s">
        <v>6323</v>
      </c>
      <c r="AN851" s="1" t="s">
        <v>165</v>
      </c>
      <c r="AO851" s="1" t="s">
        <v>1065</v>
      </c>
      <c r="AP851" s="1">
        <v>80.6</v>
      </c>
      <c r="AQ851" s="1">
        <v>0</v>
      </c>
      <c r="AR851" s="1"/>
      <c r="AS851" s="1"/>
      <c r="AT851" s="1"/>
      <c r="AU851" s="1"/>
      <c r="AV851" s="1"/>
      <c r="AW851" s="1"/>
      <c r="AX851" s="1" t="s">
        <v>282</v>
      </c>
      <c r="AY851" s="1" t="s">
        <v>15442</v>
      </c>
      <c r="AZ851" s="1" t="s">
        <v>433</v>
      </c>
      <c r="BA851" s="1" t="s">
        <v>3158</v>
      </c>
      <c r="BB851" s="1">
        <v>57.8</v>
      </c>
      <c r="BC851" s="1">
        <v>6.28</v>
      </c>
      <c r="BD851" s="1"/>
      <c r="BE851" s="1"/>
      <c r="BF851" s="1"/>
      <c r="BG851" s="1"/>
      <c r="BH851" s="1"/>
      <c r="BI851" s="1"/>
      <c r="BJ851" s="1" t="s">
        <v>364</v>
      </c>
      <c r="BK851" s="1"/>
      <c r="BL851" s="1"/>
      <c r="BM851" s="1"/>
      <c r="BN851" s="1"/>
      <c r="BO851" s="1"/>
      <c r="BP851" s="1" t="str">
        <f>HYPERLINK("https://nconnect.nicmar.ac.in/storage/profile/ProfilePhoto_P25702064_159876.jpg","Download")</f>
        <v>0</v>
      </c>
      <c r="BQ851" s="3"/>
      <c r="BR851" s="3"/>
    </row>
    <row r="852" spans="1:70">
      <c r="A852" s="1" t="s">
        <v>441</v>
      </c>
      <c r="B852" s="1" t="s">
        <v>1269</v>
      </c>
      <c r="C852" s="1" t="s">
        <v>15443</v>
      </c>
      <c r="D852" s="1" t="s">
        <v>15444</v>
      </c>
      <c r="E852" s="1" t="s">
        <v>1316</v>
      </c>
      <c r="F852" s="1" t="s">
        <v>7321</v>
      </c>
      <c r="G852" s="1" t="s">
        <v>15445</v>
      </c>
      <c r="H852" s="1" t="s">
        <v>15446</v>
      </c>
      <c r="I852" s="1" t="s">
        <v>15447</v>
      </c>
      <c r="J852" s="1">
        <v>7984205653</v>
      </c>
      <c r="K852" s="1" t="s">
        <v>79</v>
      </c>
      <c r="L852" s="1" t="s">
        <v>5169</v>
      </c>
      <c r="M852" s="1" t="s">
        <v>81</v>
      </c>
      <c r="N852" s="1" t="s">
        <v>15448</v>
      </c>
      <c r="O852" s="1"/>
      <c r="P852" s="1" t="s">
        <v>1278</v>
      </c>
      <c r="Q852" s="1" t="s">
        <v>15449</v>
      </c>
      <c r="R852" s="1" t="s">
        <v>15450</v>
      </c>
      <c r="S852" s="1">
        <v>7572911148</v>
      </c>
      <c r="T852" s="1" t="s">
        <v>8374</v>
      </c>
      <c r="U852" s="1" t="s">
        <v>15451</v>
      </c>
      <c r="V852" s="1">
        <v>8698098005</v>
      </c>
      <c r="W852" s="1" t="s">
        <v>156</v>
      </c>
      <c r="X852" s="1" t="s">
        <v>15452</v>
      </c>
      <c r="Y852" s="1" t="s">
        <v>191</v>
      </c>
      <c r="Z852" s="1" t="s">
        <v>92</v>
      </c>
      <c r="AA852" s="1" t="s">
        <v>15452</v>
      </c>
      <c r="AB852" s="1" t="s">
        <v>191</v>
      </c>
      <c r="AC852" s="1" t="s">
        <v>92</v>
      </c>
      <c r="AD852" s="1">
        <v>8.32</v>
      </c>
      <c r="AE852" s="1" t="s">
        <v>93</v>
      </c>
      <c r="AF852" s="1" t="s">
        <v>15453</v>
      </c>
      <c r="AG852" s="1" t="s">
        <v>15454</v>
      </c>
      <c r="AH852" s="1" t="s">
        <v>101</v>
      </c>
      <c r="AI852" s="1" t="s">
        <v>409</v>
      </c>
      <c r="AJ852" s="1">
        <v>84.2</v>
      </c>
      <c r="AK852" s="1">
        <v>0</v>
      </c>
      <c r="AL852" s="1" t="s">
        <v>15455</v>
      </c>
      <c r="AM852" s="1" t="s">
        <v>15456</v>
      </c>
      <c r="AN852" s="1" t="s">
        <v>699</v>
      </c>
      <c r="AO852" s="1" t="s">
        <v>1712</v>
      </c>
      <c r="AP852" s="1">
        <v>86.5</v>
      </c>
      <c r="AQ852" s="1">
        <v>0</v>
      </c>
      <c r="AR852" s="1"/>
      <c r="AS852" s="1"/>
      <c r="AT852" s="1"/>
      <c r="AU852" s="1"/>
      <c r="AV852" s="1"/>
      <c r="AW852" s="1"/>
      <c r="AX852" s="1" t="s">
        <v>15457</v>
      </c>
      <c r="AY852" s="1" t="s">
        <v>15458</v>
      </c>
      <c r="AZ852" s="1" t="s">
        <v>436</v>
      </c>
      <c r="BA852" s="1" t="s">
        <v>6069</v>
      </c>
      <c r="BB852" s="1">
        <v>85.5</v>
      </c>
      <c r="BC852" s="1">
        <v>8.45</v>
      </c>
      <c r="BD852" s="1"/>
      <c r="BE852" s="1"/>
      <c r="BF852" s="1"/>
      <c r="BG852" s="1"/>
      <c r="BH852" s="1"/>
      <c r="BI852" s="1"/>
      <c r="BJ852" s="1" t="s">
        <v>15459</v>
      </c>
      <c r="BK852" s="1"/>
      <c r="BL852" s="1"/>
      <c r="BM852" s="1" t="s">
        <v>15460</v>
      </c>
      <c r="BN852" s="1">
        <v>40</v>
      </c>
      <c r="BO852" s="1"/>
      <c r="BP852" s="1" t="str">
        <f>HYPERLINK("https://nconnect.nicmar.ac.in/storage/profile/ProfilePhoto_P25702065_917365.jpg","Download")</f>
        <v>0</v>
      </c>
      <c r="BQ852" s="3"/>
      <c r="BR852" s="3"/>
    </row>
    <row r="853" spans="1:70">
      <c r="A853" s="1" t="s">
        <v>441</v>
      </c>
      <c r="B853" s="1" t="s">
        <v>1269</v>
      </c>
      <c r="C853" s="1" t="s">
        <v>15461</v>
      </c>
      <c r="D853" s="1" t="s">
        <v>15462</v>
      </c>
      <c r="E853" s="1" t="s">
        <v>10036</v>
      </c>
      <c r="F853" s="1" t="s">
        <v>15463</v>
      </c>
      <c r="G853" s="1" t="s">
        <v>15464</v>
      </c>
      <c r="H853" s="1" t="s">
        <v>15465</v>
      </c>
      <c r="I853" s="1" t="s">
        <v>15466</v>
      </c>
      <c r="J853" s="1">
        <v>8530633365</v>
      </c>
      <c r="K853" s="1" t="s">
        <v>79</v>
      </c>
      <c r="L853" s="1" t="s">
        <v>15467</v>
      </c>
      <c r="M853" s="1" t="s">
        <v>81</v>
      </c>
      <c r="N853" s="1" t="s">
        <v>1765</v>
      </c>
      <c r="O853" s="1"/>
      <c r="P853" s="1" t="s">
        <v>1323</v>
      </c>
      <c r="Q853" s="1" t="s">
        <v>15468</v>
      </c>
      <c r="R853" s="1" t="s">
        <v>10036</v>
      </c>
      <c r="S853" s="1">
        <v>9422208365</v>
      </c>
      <c r="T853" s="1" t="s">
        <v>15469</v>
      </c>
      <c r="U853" s="1" t="s">
        <v>217</v>
      </c>
      <c r="V853" s="1">
        <v>9422204418</v>
      </c>
      <c r="W853" s="1" t="s">
        <v>156</v>
      </c>
      <c r="X853" s="1" t="s">
        <v>15470</v>
      </c>
      <c r="Y853" s="1" t="s">
        <v>91</v>
      </c>
      <c r="Z853" s="1" t="s">
        <v>92</v>
      </c>
      <c r="AA853" s="1" t="s">
        <v>15470</v>
      </c>
      <c r="AB853" s="1" t="s">
        <v>91</v>
      </c>
      <c r="AC853" s="1" t="s">
        <v>92</v>
      </c>
      <c r="AD853" s="1">
        <v>8.05</v>
      </c>
      <c r="AE853" s="1" t="s">
        <v>93</v>
      </c>
      <c r="AF853" s="1" t="s">
        <v>15471</v>
      </c>
      <c r="AG853" s="1" t="s">
        <v>160</v>
      </c>
      <c r="AH853" s="1" t="s">
        <v>433</v>
      </c>
      <c r="AI853" s="1" t="s">
        <v>941</v>
      </c>
      <c r="AJ853" s="1">
        <v>88.8</v>
      </c>
      <c r="AK853" s="1"/>
      <c r="AL853" s="1" t="s">
        <v>15472</v>
      </c>
      <c r="AM853" s="1" t="s">
        <v>160</v>
      </c>
      <c r="AN853" s="1" t="s">
        <v>681</v>
      </c>
      <c r="AO853" s="1" t="s">
        <v>2687</v>
      </c>
      <c r="AP853" s="1">
        <v>85.5</v>
      </c>
      <c r="AQ853" s="1"/>
      <c r="AR853" s="1"/>
      <c r="AS853" s="1"/>
      <c r="AT853" s="1"/>
      <c r="AU853" s="1"/>
      <c r="AV853" s="1"/>
      <c r="AW853" s="1"/>
      <c r="AX853" s="1" t="s">
        <v>3972</v>
      </c>
      <c r="AY853" s="1" t="s">
        <v>15473</v>
      </c>
      <c r="AZ853" s="1" t="s">
        <v>481</v>
      </c>
      <c r="BA853" s="1" t="s">
        <v>1408</v>
      </c>
      <c r="BB853" s="1">
        <v>60.91</v>
      </c>
      <c r="BC853" s="1">
        <v>6.81</v>
      </c>
      <c r="BD853" s="1"/>
      <c r="BE853" s="1"/>
      <c r="BF853" s="1"/>
      <c r="BG853" s="1"/>
      <c r="BH853" s="1"/>
      <c r="BI853" s="1"/>
      <c r="BJ853" s="1" t="s">
        <v>15474</v>
      </c>
      <c r="BK853" s="1"/>
      <c r="BL853" s="1"/>
      <c r="BM853" s="1" t="s">
        <v>15475</v>
      </c>
      <c r="BN853" s="1">
        <v>13</v>
      </c>
      <c r="BO853" s="1"/>
      <c r="BP853" s="1" t="str">
        <f>HYPERLINK("https://nconnect.nicmar.ac.in/storage/profile/ProfilePhoto_P25702066_973218.jpg","Download")</f>
        <v>0</v>
      </c>
      <c r="BQ853" s="3"/>
      <c r="BR853" s="3"/>
    </row>
    <row r="854" spans="1:70">
      <c r="A854" s="1" t="s">
        <v>441</v>
      </c>
      <c r="B854" s="1" t="s">
        <v>1269</v>
      </c>
      <c r="C854" s="1" t="s">
        <v>15476</v>
      </c>
      <c r="D854" s="1" t="s">
        <v>15477</v>
      </c>
      <c r="E854" s="1" t="s">
        <v>3201</v>
      </c>
      <c r="F854" s="1" t="s">
        <v>15190</v>
      </c>
      <c r="G854" s="1" t="s">
        <v>15478</v>
      </c>
      <c r="H854" s="1" t="s">
        <v>15479</v>
      </c>
      <c r="I854" s="1" t="s">
        <v>15480</v>
      </c>
      <c r="J854" s="1">
        <v>9421611955</v>
      </c>
      <c r="K854" s="1" t="s">
        <v>148</v>
      </c>
      <c r="L854" s="1" t="s">
        <v>15481</v>
      </c>
      <c r="M854" s="1" t="s">
        <v>81</v>
      </c>
      <c r="N854" s="1" t="s">
        <v>2008</v>
      </c>
      <c r="O854" s="1"/>
      <c r="P854" s="1" t="s">
        <v>1278</v>
      </c>
      <c r="Q854" s="1" t="s">
        <v>15482</v>
      </c>
      <c r="R854" s="1" t="s">
        <v>3201</v>
      </c>
      <c r="S854" s="1">
        <v>9960753111</v>
      </c>
      <c r="T854" s="1" t="s">
        <v>976</v>
      </c>
      <c r="U854" s="1" t="s">
        <v>12679</v>
      </c>
      <c r="V854" s="1">
        <v>8830634955</v>
      </c>
      <c r="W854" s="1" t="s">
        <v>156</v>
      </c>
      <c r="X854" s="1" t="s">
        <v>15483</v>
      </c>
      <c r="Y854" s="1" t="s">
        <v>304</v>
      </c>
      <c r="Z854" s="1" t="s">
        <v>92</v>
      </c>
      <c r="AA854" s="1" t="s">
        <v>15483</v>
      </c>
      <c r="AB854" s="1" t="s">
        <v>304</v>
      </c>
      <c r="AC854" s="1" t="s">
        <v>92</v>
      </c>
      <c r="AD854" s="1">
        <v>8.21</v>
      </c>
      <c r="AE854" s="1" t="s">
        <v>93</v>
      </c>
      <c r="AF854" s="1" t="s">
        <v>15484</v>
      </c>
      <c r="AG854" s="1" t="s">
        <v>15485</v>
      </c>
      <c r="AH854" s="1" t="s">
        <v>101</v>
      </c>
      <c r="AI854" s="1" t="s">
        <v>433</v>
      </c>
      <c r="AJ854" s="1">
        <v>86.8</v>
      </c>
      <c r="AK854" s="1"/>
      <c r="AL854" s="1"/>
      <c r="AM854" s="1"/>
      <c r="AN854" s="1"/>
      <c r="AO854" s="1"/>
      <c r="AP854" s="1"/>
      <c r="AQ854" s="1"/>
      <c r="AR854" s="1" t="s">
        <v>434</v>
      </c>
      <c r="AS854" s="1" t="s">
        <v>15486</v>
      </c>
      <c r="AT854" s="1" t="s">
        <v>201</v>
      </c>
      <c r="AU854" s="1" t="s">
        <v>481</v>
      </c>
      <c r="AV854" s="1">
        <v>77.47</v>
      </c>
      <c r="AW854" s="1"/>
      <c r="AX854" s="1" t="s">
        <v>361</v>
      </c>
      <c r="AY854" s="1" t="s">
        <v>15487</v>
      </c>
      <c r="AZ854" s="1" t="s">
        <v>2690</v>
      </c>
      <c r="BA854" s="1" t="s">
        <v>1714</v>
      </c>
      <c r="BB854" s="1">
        <v>60.96</v>
      </c>
      <c r="BC854" s="1">
        <v>6.85</v>
      </c>
      <c r="BD854" s="1"/>
      <c r="BE854" s="1"/>
      <c r="BF854" s="1"/>
      <c r="BG854" s="1"/>
      <c r="BH854" s="1"/>
      <c r="BI854" s="1"/>
      <c r="BJ854" s="1" t="s">
        <v>364</v>
      </c>
      <c r="BK854" s="1"/>
      <c r="BL854" s="1"/>
      <c r="BM854" s="1" t="s">
        <v>15488</v>
      </c>
      <c r="BN854" s="1">
        <v>4</v>
      </c>
      <c r="BO854" s="1" t="s">
        <v>15489</v>
      </c>
      <c r="BP854" s="1" t="str">
        <f>HYPERLINK("https://nconnect.nicmar.ac.in/storage/profile/ProfilePhoto_P25702067_257683.jpg","Download")</f>
        <v>0</v>
      </c>
      <c r="BQ854" s="3"/>
      <c r="BR854" s="3"/>
    </row>
    <row r="855" spans="1:70">
      <c r="A855" s="1" t="s">
        <v>441</v>
      </c>
      <c r="B855" s="1" t="s">
        <v>1269</v>
      </c>
      <c r="C855" s="1" t="s">
        <v>15490</v>
      </c>
      <c r="D855" s="1" t="s">
        <v>15491</v>
      </c>
      <c r="E855" s="1" t="s">
        <v>15492</v>
      </c>
      <c r="F855" s="1" t="s">
        <v>4789</v>
      </c>
      <c r="G855" s="1" t="s">
        <v>15493</v>
      </c>
      <c r="H855" s="1" t="s">
        <v>15494</v>
      </c>
      <c r="I855" s="1" t="s">
        <v>15495</v>
      </c>
      <c r="J855" s="1">
        <v>7046561995</v>
      </c>
      <c r="K855" s="1" t="s">
        <v>79</v>
      </c>
      <c r="L855" s="1" t="s">
        <v>15496</v>
      </c>
      <c r="M855" s="1" t="s">
        <v>81</v>
      </c>
      <c r="N855" s="1" t="s">
        <v>15497</v>
      </c>
      <c r="O855" s="1"/>
      <c r="P855" s="1" t="s">
        <v>1323</v>
      </c>
      <c r="Q855" s="1" t="s">
        <v>15498</v>
      </c>
      <c r="R855" s="1" t="s">
        <v>15499</v>
      </c>
      <c r="S855" s="1">
        <v>9825491390</v>
      </c>
      <c r="T855" s="1" t="s">
        <v>15500</v>
      </c>
      <c r="U855" s="1" t="s">
        <v>15501</v>
      </c>
      <c r="V855" s="1">
        <v>7874124229</v>
      </c>
      <c r="W855" s="1" t="s">
        <v>156</v>
      </c>
      <c r="X855" s="1" t="s">
        <v>15502</v>
      </c>
      <c r="Y855" s="1" t="s">
        <v>3680</v>
      </c>
      <c r="Z855" s="1" t="s">
        <v>1468</v>
      </c>
      <c r="AA855" s="1" t="s">
        <v>15502</v>
      </c>
      <c r="AB855" s="1" t="s">
        <v>3680</v>
      </c>
      <c r="AC855" s="1" t="s">
        <v>1468</v>
      </c>
      <c r="AD855" s="1">
        <v>8.11</v>
      </c>
      <c r="AE855" s="1" t="s">
        <v>93</v>
      </c>
      <c r="AF855" s="1" t="s">
        <v>15503</v>
      </c>
      <c r="AG855" s="1" t="s">
        <v>15504</v>
      </c>
      <c r="AH855" s="1" t="s">
        <v>101</v>
      </c>
      <c r="AI855" s="1" t="s">
        <v>409</v>
      </c>
      <c r="AJ855" s="1">
        <v>66.6</v>
      </c>
      <c r="AK855" s="1">
        <v>7</v>
      </c>
      <c r="AL855" s="1" t="s">
        <v>15505</v>
      </c>
      <c r="AM855" s="1" t="s">
        <v>15504</v>
      </c>
      <c r="AN855" s="1" t="s">
        <v>699</v>
      </c>
      <c r="AO855" s="1" t="s">
        <v>1712</v>
      </c>
      <c r="AP855" s="1">
        <v>69.03</v>
      </c>
      <c r="AQ855" s="1">
        <v>7</v>
      </c>
      <c r="AR855" s="1"/>
      <c r="AS855" s="1"/>
      <c r="AT855" s="1"/>
      <c r="AU855" s="1"/>
      <c r="AV855" s="1"/>
      <c r="AW855" s="1"/>
      <c r="AX855" s="1" t="s">
        <v>15506</v>
      </c>
      <c r="AY855" s="1" t="s">
        <v>15507</v>
      </c>
      <c r="AZ855" s="1" t="s">
        <v>1051</v>
      </c>
      <c r="BA855" s="1" t="s">
        <v>1361</v>
      </c>
      <c r="BB855" s="1">
        <v>69.07</v>
      </c>
      <c r="BC855" s="1">
        <v>7.43</v>
      </c>
      <c r="BD855" s="1"/>
      <c r="BE855" s="1"/>
      <c r="BF855" s="1"/>
      <c r="BG855" s="1"/>
      <c r="BH855" s="1"/>
      <c r="BI855" s="1"/>
      <c r="BJ855" s="1" t="s">
        <v>364</v>
      </c>
      <c r="BK855" s="1"/>
      <c r="BL855" s="1"/>
      <c r="BM855" s="1" t="s">
        <v>15508</v>
      </c>
      <c r="BN855" s="1">
        <v>19</v>
      </c>
      <c r="BO855" s="1"/>
      <c r="BP855" s="1" t="str">
        <f>HYPERLINK("https://nconnect.nicmar.ac.in/storage/profile/ProfilePhoto_P25702068_328657.jpg","Download")</f>
        <v>0</v>
      </c>
      <c r="BQ855" s="3"/>
      <c r="BR855" s="3"/>
    </row>
    <row r="856" spans="1:70">
      <c r="A856" s="1" t="s">
        <v>441</v>
      </c>
      <c r="B856" s="1" t="s">
        <v>1269</v>
      </c>
      <c r="C856" s="1" t="s">
        <v>15509</v>
      </c>
      <c r="D856" s="1" t="s">
        <v>2594</v>
      </c>
      <c r="E856" s="1" t="s">
        <v>1546</v>
      </c>
      <c r="F856" s="1" t="s">
        <v>4314</v>
      </c>
      <c r="G856" s="1" t="s">
        <v>15510</v>
      </c>
      <c r="H856" s="1" t="s">
        <v>15511</v>
      </c>
      <c r="I856" s="1" t="s">
        <v>15512</v>
      </c>
      <c r="J856" s="1">
        <v>9370934304</v>
      </c>
      <c r="K856" s="1" t="s">
        <v>79</v>
      </c>
      <c r="L856" s="1" t="s">
        <v>10184</v>
      </c>
      <c r="M856" s="1" t="s">
        <v>81</v>
      </c>
      <c r="N856" s="1" t="s">
        <v>2008</v>
      </c>
      <c r="O856" s="1"/>
      <c r="P856" s="1" t="s">
        <v>1298</v>
      </c>
      <c r="Q856" s="1" t="s">
        <v>15513</v>
      </c>
      <c r="R856" s="1" t="s">
        <v>1546</v>
      </c>
      <c r="S856" s="1">
        <v>9021211628</v>
      </c>
      <c r="T856" s="1" t="s">
        <v>976</v>
      </c>
      <c r="U856" s="1" t="s">
        <v>15514</v>
      </c>
      <c r="V856" s="1">
        <v>7972754720</v>
      </c>
      <c r="W856" s="1" t="s">
        <v>156</v>
      </c>
      <c r="X856" s="1" t="s">
        <v>15515</v>
      </c>
      <c r="Y856" s="1" t="s">
        <v>4322</v>
      </c>
      <c r="Z856" s="1" t="s">
        <v>92</v>
      </c>
      <c r="AA856" s="1" t="s">
        <v>15515</v>
      </c>
      <c r="AB856" s="1" t="s">
        <v>4322</v>
      </c>
      <c r="AC856" s="1" t="s">
        <v>92</v>
      </c>
      <c r="AD856" s="1">
        <v>6.69</v>
      </c>
      <c r="AE856" s="1" t="s">
        <v>93</v>
      </c>
      <c r="AF856" s="1" t="s">
        <v>15516</v>
      </c>
      <c r="AG856" s="1" t="s">
        <v>15517</v>
      </c>
      <c r="AH856" s="1" t="s">
        <v>161</v>
      </c>
      <c r="AI856" s="1" t="s">
        <v>281</v>
      </c>
      <c r="AJ856" s="1">
        <v>83</v>
      </c>
      <c r="AK856" s="1"/>
      <c r="AL856" s="1" t="s">
        <v>15518</v>
      </c>
      <c r="AM856" s="1" t="s">
        <v>15517</v>
      </c>
      <c r="AN856" s="1" t="s">
        <v>169</v>
      </c>
      <c r="AO856" s="1" t="s">
        <v>360</v>
      </c>
      <c r="AP856" s="1">
        <v>56.15</v>
      </c>
      <c r="AQ856" s="1"/>
      <c r="AR856" s="1"/>
      <c r="AS856" s="1"/>
      <c r="AT856" s="1"/>
      <c r="AU856" s="1"/>
      <c r="AV856" s="1"/>
      <c r="AW856" s="1"/>
      <c r="AX856" s="1" t="s">
        <v>2688</v>
      </c>
      <c r="AY856" s="1" t="s">
        <v>15519</v>
      </c>
      <c r="AZ856" s="1" t="s">
        <v>363</v>
      </c>
      <c r="BA856" s="1" t="s">
        <v>202</v>
      </c>
      <c r="BB856" s="1">
        <v>65.2</v>
      </c>
      <c r="BC856" s="1">
        <v>7.27</v>
      </c>
      <c r="BD856" s="1"/>
      <c r="BE856" s="1"/>
      <c r="BF856" s="1"/>
      <c r="BG856" s="1"/>
      <c r="BH856" s="1"/>
      <c r="BI856" s="1"/>
      <c r="BJ856" s="1" t="s">
        <v>15520</v>
      </c>
      <c r="BK856" s="1"/>
      <c r="BL856" s="1"/>
      <c r="BM856" s="1"/>
      <c r="BN856" s="1"/>
      <c r="BO856" s="1" t="s">
        <v>15521</v>
      </c>
      <c r="BP856" s="1" t="str">
        <f>HYPERLINK("https://nconnect.nicmar.ac.in/storage/profile/ProfilePhoto_P25702069_148397.jpg","Download")</f>
        <v>0</v>
      </c>
      <c r="BQ856" s="3"/>
      <c r="BR856" s="3"/>
    </row>
    <row r="857" spans="1:70">
      <c r="A857" s="1" t="s">
        <v>441</v>
      </c>
      <c r="B857" s="1" t="s">
        <v>1269</v>
      </c>
      <c r="C857" s="1" t="s">
        <v>15522</v>
      </c>
      <c r="D857" s="1" t="s">
        <v>1341</v>
      </c>
      <c r="E857" s="1" t="s">
        <v>3244</v>
      </c>
      <c r="F857" s="1" t="s">
        <v>7321</v>
      </c>
      <c r="G857" s="1" t="s">
        <v>15523</v>
      </c>
      <c r="H857" s="1" t="s">
        <v>15524</v>
      </c>
      <c r="I857" s="1" t="s">
        <v>15525</v>
      </c>
      <c r="J857" s="1">
        <v>8888749834</v>
      </c>
      <c r="K857" s="1" t="s">
        <v>79</v>
      </c>
      <c r="L857" s="1" t="s">
        <v>15526</v>
      </c>
      <c r="M857" s="1" t="s">
        <v>81</v>
      </c>
      <c r="N857" s="1" t="s">
        <v>15527</v>
      </c>
      <c r="O857" s="1"/>
      <c r="P857" s="1" t="s">
        <v>1766</v>
      </c>
      <c r="Q857" s="1" t="s">
        <v>15528</v>
      </c>
      <c r="R857" s="1" t="s">
        <v>15529</v>
      </c>
      <c r="S857" s="1">
        <v>9422116230</v>
      </c>
      <c r="T857" s="1" t="s">
        <v>496</v>
      </c>
      <c r="U857" s="1" t="s">
        <v>15530</v>
      </c>
      <c r="V857" s="1">
        <v>9607060445</v>
      </c>
      <c r="W857" s="1" t="s">
        <v>15531</v>
      </c>
      <c r="X857" s="1" t="s">
        <v>15532</v>
      </c>
      <c r="Y857" s="1" t="s">
        <v>405</v>
      </c>
      <c r="Z857" s="1" t="s">
        <v>92</v>
      </c>
      <c r="AA857" s="1" t="s">
        <v>15532</v>
      </c>
      <c r="AB857" s="1" t="s">
        <v>405</v>
      </c>
      <c r="AC857" s="1" t="s">
        <v>92</v>
      </c>
      <c r="AD857" s="1">
        <v>7.66</v>
      </c>
      <c r="AE857" s="1" t="s">
        <v>93</v>
      </c>
      <c r="AF857" s="1" t="s">
        <v>15533</v>
      </c>
      <c r="AG857" s="1" t="s">
        <v>15534</v>
      </c>
      <c r="AH857" s="1" t="s">
        <v>699</v>
      </c>
      <c r="AI857" s="1" t="s">
        <v>941</v>
      </c>
      <c r="AJ857" s="1">
        <v>76</v>
      </c>
      <c r="AK857" s="1">
        <v>7.6</v>
      </c>
      <c r="AL857" s="1" t="s">
        <v>15535</v>
      </c>
      <c r="AM857" s="1" t="s">
        <v>15536</v>
      </c>
      <c r="AN857" s="1" t="s">
        <v>284</v>
      </c>
      <c r="AO857" s="1" t="s">
        <v>2687</v>
      </c>
      <c r="AP857" s="1">
        <v>65.17</v>
      </c>
      <c r="AQ857" s="1">
        <v>6.51</v>
      </c>
      <c r="AR857" s="1"/>
      <c r="AS857" s="1"/>
      <c r="AT857" s="1"/>
      <c r="AU857" s="1"/>
      <c r="AV857" s="1"/>
      <c r="AW857" s="1"/>
      <c r="AX857" s="1" t="s">
        <v>9607</v>
      </c>
      <c r="AY857" s="1" t="s">
        <v>15537</v>
      </c>
      <c r="AZ857" s="1" t="s">
        <v>105</v>
      </c>
      <c r="BA857" s="1" t="s">
        <v>1714</v>
      </c>
      <c r="BB857" s="1">
        <v>67.3</v>
      </c>
      <c r="BC857" s="1">
        <v>7.48</v>
      </c>
      <c r="BD857" s="1"/>
      <c r="BE857" s="1"/>
      <c r="BF857" s="1"/>
      <c r="BG857" s="1"/>
      <c r="BH857" s="1"/>
      <c r="BI857" s="1"/>
      <c r="BJ857" s="1" t="s">
        <v>15538</v>
      </c>
      <c r="BK857" s="1"/>
      <c r="BL857" s="1"/>
      <c r="BM857" s="1" t="s">
        <v>15539</v>
      </c>
      <c r="BN857" s="1">
        <v>9</v>
      </c>
      <c r="BO857" s="1" t="s">
        <v>15540</v>
      </c>
      <c r="BP857" s="1" t="str">
        <f>HYPERLINK("https://nconnect.nicmar.ac.in/storage/profile/ProfilePhoto_P25702070_546397.jpg","Download")</f>
        <v>0</v>
      </c>
      <c r="BQ857" s="3"/>
      <c r="BR857" s="3"/>
    </row>
    <row r="858" spans="1:70">
      <c r="A858" s="1" t="s">
        <v>441</v>
      </c>
      <c r="B858" s="1" t="s">
        <v>1269</v>
      </c>
      <c r="C858" s="1" t="s">
        <v>15541</v>
      </c>
      <c r="D858" s="1" t="s">
        <v>7758</v>
      </c>
      <c r="E858" s="1" t="s">
        <v>1566</v>
      </c>
      <c r="F858" s="1" t="s">
        <v>15542</v>
      </c>
      <c r="G858" s="1" t="s">
        <v>15543</v>
      </c>
      <c r="H858" s="1" t="s">
        <v>15544</v>
      </c>
      <c r="I858" s="1" t="s">
        <v>15545</v>
      </c>
      <c r="J858" s="1">
        <v>8369065887</v>
      </c>
      <c r="K858" s="1" t="s">
        <v>79</v>
      </c>
      <c r="L858" s="1" t="s">
        <v>11549</v>
      </c>
      <c r="M858" s="1" t="s">
        <v>81</v>
      </c>
      <c r="N858" s="1" t="s">
        <v>2008</v>
      </c>
      <c r="O858" s="1"/>
      <c r="P858" s="1"/>
      <c r="Q858" s="1" t="s">
        <v>15546</v>
      </c>
      <c r="R858" s="1" t="s">
        <v>15547</v>
      </c>
      <c r="S858" s="1">
        <v>8007779042</v>
      </c>
      <c r="T858" s="1" t="s">
        <v>763</v>
      </c>
      <c r="U858" s="1" t="s">
        <v>15548</v>
      </c>
      <c r="V858" s="1">
        <v>8097617083</v>
      </c>
      <c r="W858" s="1" t="s">
        <v>156</v>
      </c>
      <c r="X858" s="1" t="s">
        <v>15549</v>
      </c>
      <c r="Y858" s="1" t="s">
        <v>766</v>
      </c>
      <c r="Z858" s="1" t="s">
        <v>92</v>
      </c>
      <c r="AA858" s="1" t="s">
        <v>15549</v>
      </c>
      <c r="AB858" s="1" t="s">
        <v>766</v>
      </c>
      <c r="AC858" s="1" t="s">
        <v>92</v>
      </c>
      <c r="AD858" s="1">
        <v>6.87</v>
      </c>
      <c r="AE858" s="1" t="s">
        <v>93</v>
      </c>
      <c r="AF858" s="1" t="s">
        <v>15550</v>
      </c>
      <c r="AG858" s="1" t="s">
        <v>160</v>
      </c>
      <c r="AH858" s="1" t="s">
        <v>101</v>
      </c>
      <c r="AI858" s="1" t="s">
        <v>409</v>
      </c>
      <c r="AJ858" s="1">
        <v>66.4</v>
      </c>
      <c r="AK858" s="1"/>
      <c r="AL858" s="1"/>
      <c r="AM858" s="1"/>
      <c r="AN858" s="1"/>
      <c r="AO858" s="1"/>
      <c r="AP858" s="1"/>
      <c r="AQ858" s="1"/>
      <c r="AR858" s="1" t="s">
        <v>98</v>
      </c>
      <c r="AS858" s="1" t="s">
        <v>15551</v>
      </c>
      <c r="AT858" s="1" t="s">
        <v>433</v>
      </c>
      <c r="AU858" s="1" t="s">
        <v>1003</v>
      </c>
      <c r="AV858" s="1">
        <v>72.84</v>
      </c>
      <c r="AW858" s="1"/>
      <c r="AX858" s="1" t="s">
        <v>1024</v>
      </c>
      <c r="AY858" s="1" t="s">
        <v>15552</v>
      </c>
      <c r="AZ858" s="1" t="s">
        <v>284</v>
      </c>
      <c r="BA858" s="1" t="s">
        <v>1361</v>
      </c>
      <c r="BB858" s="1">
        <v>59.58</v>
      </c>
      <c r="BC858" s="1">
        <v>6.5</v>
      </c>
      <c r="BD858" s="1"/>
      <c r="BE858" s="1"/>
      <c r="BF858" s="1"/>
      <c r="BG858" s="1"/>
      <c r="BH858" s="1"/>
      <c r="BI858" s="1"/>
      <c r="BJ858" s="1" t="s">
        <v>364</v>
      </c>
      <c r="BK858" s="1"/>
      <c r="BL858" s="1"/>
      <c r="BM858" s="1" t="s">
        <v>15553</v>
      </c>
      <c r="BN858" s="1">
        <v>4</v>
      </c>
      <c r="BO858" s="1"/>
      <c r="BP858" s="1" t="str">
        <f>HYPERLINK("https://nconnect.nicmar.ac.in/storage/profile/ProfilePhoto_P25702071_618479.jpg","Download")</f>
        <v>0</v>
      </c>
      <c r="BQ858" s="3"/>
      <c r="BR858" s="3"/>
    </row>
    <row r="859" spans="1:70">
      <c r="A859" s="1" t="s">
        <v>441</v>
      </c>
      <c r="B859" s="1" t="s">
        <v>1269</v>
      </c>
      <c r="C859" s="1" t="s">
        <v>15554</v>
      </c>
      <c r="D859" s="1" t="s">
        <v>8565</v>
      </c>
      <c r="E859" s="1" t="s">
        <v>235</v>
      </c>
      <c r="F859" s="1" t="s">
        <v>15555</v>
      </c>
      <c r="G859" s="1" t="s">
        <v>15556</v>
      </c>
      <c r="H859" s="1" t="s">
        <v>15557</v>
      </c>
      <c r="I859" s="1" t="s">
        <v>15558</v>
      </c>
      <c r="J859" s="1">
        <v>9987856361</v>
      </c>
      <c r="K859" s="1" t="s">
        <v>148</v>
      </c>
      <c r="L859" s="1" t="s">
        <v>15559</v>
      </c>
      <c r="M859" s="1" t="s">
        <v>81</v>
      </c>
      <c r="N859" s="1" t="s">
        <v>9309</v>
      </c>
      <c r="O859" s="1"/>
      <c r="P859" s="1" t="s">
        <v>1278</v>
      </c>
      <c r="Q859" s="1" t="s">
        <v>15560</v>
      </c>
      <c r="R859" s="1" t="s">
        <v>235</v>
      </c>
      <c r="S859" s="1">
        <v>9922644246</v>
      </c>
      <c r="T859" s="1" t="s">
        <v>13697</v>
      </c>
      <c r="U859" s="1" t="s">
        <v>15352</v>
      </c>
      <c r="V859" s="1">
        <v>9766456373</v>
      </c>
      <c r="W859" s="1" t="s">
        <v>156</v>
      </c>
      <c r="X859" s="1" t="s">
        <v>15561</v>
      </c>
      <c r="Y859" s="1" t="s">
        <v>191</v>
      </c>
      <c r="Z859" s="1" t="s">
        <v>92</v>
      </c>
      <c r="AA859" s="1" t="s">
        <v>15562</v>
      </c>
      <c r="AB859" s="1" t="s">
        <v>191</v>
      </c>
      <c r="AC859" s="1" t="s">
        <v>92</v>
      </c>
      <c r="AD859" s="1">
        <v>7.98</v>
      </c>
      <c r="AE859" s="1" t="s">
        <v>93</v>
      </c>
      <c r="AF859" s="1" t="s">
        <v>15563</v>
      </c>
      <c r="AG859" s="1" t="s">
        <v>160</v>
      </c>
      <c r="AH859" s="1" t="s">
        <v>162</v>
      </c>
      <c r="AI859" s="1" t="s">
        <v>195</v>
      </c>
      <c r="AJ859" s="1">
        <v>91.4</v>
      </c>
      <c r="AK859" s="1"/>
      <c r="AL859" s="1" t="s">
        <v>15563</v>
      </c>
      <c r="AM859" s="1" t="s">
        <v>160</v>
      </c>
      <c r="AN859" s="1" t="s">
        <v>101</v>
      </c>
      <c r="AO859" s="1" t="s">
        <v>198</v>
      </c>
      <c r="AP859" s="1">
        <v>62.77</v>
      </c>
      <c r="AQ859" s="1"/>
      <c r="AR859" s="1"/>
      <c r="AS859" s="1"/>
      <c r="AT859" s="1"/>
      <c r="AU859" s="1"/>
      <c r="AV859" s="1"/>
      <c r="AW859" s="1"/>
      <c r="AX859" s="1" t="s">
        <v>361</v>
      </c>
      <c r="AY859" s="1" t="s">
        <v>15564</v>
      </c>
      <c r="AZ859" s="1" t="s">
        <v>201</v>
      </c>
      <c r="BA859" s="1" t="s">
        <v>1714</v>
      </c>
      <c r="BB859" s="1">
        <v>57.13</v>
      </c>
      <c r="BC859" s="1">
        <v>6.42</v>
      </c>
      <c r="BD859" s="1"/>
      <c r="BE859" s="1"/>
      <c r="BF859" s="1"/>
      <c r="BG859" s="1"/>
      <c r="BH859" s="1"/>
      <c r="BI859" s="1"/>
      <c r="BJ859" s="1" t="s">
        <v>255</v>
      </c>
      <c r="BK859" s="1"/>
      <c r="BL859" s="1"/>
      <c r="BM859" s="1" t="s">
        <v>15565</v>
      </c>
      <c r="BN859" s="1">
        <v>18</v>
      </c>
      <c r="BO859" s="1" t="s">
        <v>15566</v>
      </c>
      <c r="BP859" s="1" t="str">
        <f>HYPERLINK("https://nconnect.nicmar.ac.in/storage/profile/ProfilePhoto_P25702072_513768.jpg","Download")</f>
        <v>0</v>
      </c>
      <c r="BQ859" s="3"/>
      <c r="BR859" s="3"/>
    </row>
    <row r="860" spans="1:70">
      <c r="A860" s="1" t="s">
        <v>441</v>
      </c>
      <c r="B860" s="1" t="s">
        <v>1269</v>
      </c>
      <c r="C860" s="1" t="s">
        <v>15567</v>
      </c>
      <c r="D860" s="1" t="s">
        <v>5828</v>
      </c>
      <c r="E860" s="1" t="s">
        <v>1139</v>
      </c>
      <c r="F860" s="1" t="s">
        <v>15568</v>
      </c>
      <c r="G860" s="1" t="s">
        <v>15569</v>
      </c>
      <c r="H860" s="1" t="s">
        <v>15570</v>
      </c>
      <c r="I860" s="1" t="s">
        <v>15571</v>
      </c>
      <c r="J860" s="1">
        <v>9096239603</v>
      </c>
      <c r="K860" s="1" t="s">
        <v>79</v>
      </c>
      <c r="L860" s="1" t="s">
        <v>15572</v>
      </c>
      <c r="M860" s="1" t="s">
        <v>81</v>
      </c>
      <c r="N860" s="1" t="s">
        <v>4149</v>
      </c>
      <c r="O860" s="1"/>
      <c r="P860" s="1" t="s">
        <v>1323</v>
      </c>
      <c r="Q860" s="1" t="s">
        <v>15573</v>
      </c>
      <c r="R860" s="1" t="s">
        <v>15574</v>
      </c>
      <c r="S860" s="1">
        <v>9420334022</v>
      </c>
      <c r="T860" s="1" t="s">
        <v>4566</v>
      </c>
      <c r="U860" s="1" t="s">
        <v>15575</v>
      </c>
      <c r="V860" s="1">
        <v>9420334022</v>
      </c>
      <c r="W860" s="1" t="s">
        <v>156</v>
      </c>
      <c r="X860" s="1" t="s">
        <v>15576</v>
      </c>
      <c r="Y860" s="1" t="s">
        <v>191</v>
      </c>
      <c r="Z860" s="1" t="s">
        <v>92</v>
      </c>
      <c r="AA860" s="1" t="s">
        <v>15577</v>
      </c>
      <c r="AB860" s="1" t="s">
        <v>191</v>
      </c>
      <c r="AC860" s="1" t="s">
        <v>92</v>
      </c>
      <c r="AD860" s="1">
        <v>7.18</v>
      </c>
      <c r="AE860" s="1" t="s">
        <v>93</v>
      </c>
      <c r="AF860" s="1" t="s">
        <v>15578</v>
      </c>
      <c r="AG860" s="1" t="s">
        <v>160</v>
      </c>
      <c r="AH860" s="1" t="s">
        <v>281</v>
      </c>
      <c r="AI860" s="1" t="s">
        <v>409</v>
      </c>
      <c r="AJ860" s="1">
        <v>82.2</v>
      </c>
      <c r="AK860" s="1"/>
      <c r="AL860" s="1" t="s">
        <v>15579</v>
      </c>
      <c r="AM860" s="1" t="s">
        <v>160</v>
      </c>
      <c r="AN860" s="1" t="s">
        <v>941</v>
      </c>
      <c r="AO860" s="1" t="s">
        <v>504</v>
      </c>
      <c r="AP860" s="1">
        <v>86</v>
      </c>
      <c r="AQ860" s="1"/>
      <c r="AR860" s="1"/>
      <c r="AS860" s="1"/>
      <c r="AT860" s="1"/>
      <c r="AU860" s="1"/>
      <c r="AV860" s="1"/>
      <c r="AW860" s="1"/>
      <c r="AX860" s="1" t="s">
        <v>15580</v>
      </c>
      <c r="AY860" s="1" t="s">
        <v>15581</v>
      </c>
      <c r="AZ860" s="1" t="s">
        <v>1131</v>
      </c>
      <c r="BA860" s="1" t="s">
        <v>1714</v>
      </c>
      <c r="BB860" s="1">
        <v>58.2</v>
      </c>
      <c r="BC860" s="1">
        <v>6.54</v>
      </c>
      <c r="BD860" s="1"/>
      <c r="BE860" s="1"/>
      <c r="BF860" s="1"/>
      <c r="BG860" s="1"/>
      <c r="BH860" s="1"/>
      <c r="BI860" s="1"/>
      <c r="BJ860" s="1" t="s">
        <v>15582</v>
      </c>
      <c r="BK860" s="1"/>
      <c r="BL860" s="1"/>
      <c r="BM860" s="1" t="s">
        <v>15583</v>
      </c>
      <c r="BN860" s="1">
        <v>4</v>
      </c>
      <c r="BO860" s="1"/>
      <c r="BP860" s="1" t="str">
        <f>HYPERLINK("https://nconnect.nicmar.ac.in/storage/profile/ProfilePhoto_P25702073_278631.jpg","Download")</f>
        <v>0</v>
      </c>
      <c r="BQ860" s="3"/>
      <c r="BR860" s="3"/>
    </row>
    <row r="861" spans="1:70">
      <c r="A861" s="1" t="s">
        <v>441</v>
      </c>
      <c r="B861" s="1" t="s">
        <v>1269</v>
      </c>
      <c r="C861" s="1" t="s">
        <v>15584</v>
      </c>
      <c r="D861" s="1" t="s">
        <v>4806</v>
      </c>
      <c r="E861" s="1"/>
      <c r="F861" s="1" t="s">
        <v>2024</v>
      </c>
      <c r="G861" s="1" t="s">
        <v>15585</v>
      </c>
      <c r="H861" s="1" t="s">
        <v>15586</v>
      </c>
      <c r="I861" s="1" t="s">
        <v>15587</v>
      </c>
      <c r="J861" s="1">
        <v>7249331145</v>
      </c>
      <c r="K861" s="1" t="s">
        <v>79</v>
      </c>
      <c r="L861" s="1" t="s">
        <v>12643</v>
      </c>
      <c r="M861" s="1" t="s">
        <v>81</v>
      </c>
      <c r="N861" s="1" t="s">
        <v>2008</v>
      </c>
      <c r="O861" s="1"/>
      <c r="P861" s="1" t="s">
        <v>1462</v>
      </c>
      <c r="Q861" s="1" t="s">
        <v>15588</v>
      </c>
      <c r="R861" s="1" t="s">
        <v>15589</v>
      </c>
      <c r="S861" s="1">
        <v>9890574296</v>
      </c>
      <c r="T861" s="1" t="s">
        <v>763</v>
      </c>
      <c r="U861" s="1" t="s">
        <v>15590</v>
      </c>
      <c r="V861" s="1">
        <v>7249310653</v>
      </c>
      <c r="W861" s="1" t="s">
        <v>89</v>
      </c>
      <c r="X861" s="1" t="s">
        <v>15591</v>
      </c>
      <c r="Y861" s="1" t="s">
        <v>191</v>
      </c>
      <c r="Z861" s="1" t="s">
        <v>92</v>
      </c>
      <c r="AA861" s="1" t="s">
        <v>15592</v>
      </c>
      <c r="AB861" s="1" t="s">
        <v>304</v>
      </c>
      <c r="AC861" s="1" t="s">
        <v>92</v>
      </c>
      <c r="AD861" s="1">
        <v>8.37</v>
      </c>
      <c r="AE861" s="1" t="s">
        <v>93</v>
      </c>
      <c r="AF861" s="1" t="s">
        <v>15593</v>
      </c>
      <c r="AG861" s="1" t="s">
        <v>15594</v>
      </c>
      <c r="AH861" s="1" t="s">
        <v>128</v>
      </c>
      <c r="AI861" s="1" t="s">
        <v>941</v>
      </c>
      <c r="AJ861" s="1">
        <v>80</v>
      </c>
      <c r="AK861" s="1"/>
      <c r="AL861" s="1" t="s">
        <v>15595</v>
      </c>
      <c r="AM861" s="1" t="s">
        <v>4658</v>
      </c>
      <c r="AN861" s="1" t="s">
        <v>173</v>
      </c>
      <c r="AO861" s="1" t="s">
        <v>2687</v>
      </c>
      <c r="AP861" s="1">
        <v>85.17</v>
      </c>
      <c r="AQ861" s="1"/>
      <c r="AR861" s="1"/>
      <c r="AS861" s="1"/>
      <c r="AT861" s="1"/>
      <c r="AU861" s="1"/>
      <c r="AV861" s="1"/>
      <c r="AW861" s="1"/>
      <c r="AX861" s="1" t="s">
        <v>15596</v>
      </c>
      <c r="AY861" s="1" t="s">
        <v>15597</v>
      </c>
      <c r="AZ861" s="1" t="s">
        <v>105</v>
      </c>
      <c r="BA861" s="1" t="s">
        <v>1408</v>
      </c>
      <c r="BB861" s="1">
        <v>77.7</v>
      </c>
      <c r="BC861" s="1">
        <v>7.77</v>
      </c>
      <c r="BD861" s="1"/>
      <c r="BE861" s="1"/>
      <c r="BF861" s="1"/>
      <c r="BG861" s="1"/>
      <c r="BH861" s="1"/>
      <c r="BI861" s="1"/>
      <c r="BJ861" s="1" t="s">
        <v>15598</v>
      </c>
      <c r="BK861" s="1"/>
      <c r="BL861" s="1"/>
      <c r="BM861" s="1" t="s">
        <v>15599</v>
      </c>
      <c r="BN861" s="1">
        <v>16</v>
      </c>
      <c r="BO861" s="1" t="s">
        <v>15600</v>
      </c>
      <c r="BP861" s="1" t="str">
        <f>HYPERLINK("https://nconnect.nicmar.ac.in/storage/profile/ProfilePhoto_P25702074_418937.jpg","Download")</f>
        <v>0</v>
      </c>
      <c r="BQ861" s="3"/>
      <c r="BR861" s="3"/>
    </row>
    <row r="862" spans="1:70">
      <c r="A862" s="1" t="s">
        <v>441</v>
      </c>
      <c r="B862" s="1" t="s">
        <v>1269</v>
      </c>
      <c r="C862" s="1" t="s">
        <v>15601</v>
      </c>
      <c r="D862" s="1" t="s">
        <v>2673</v>
      </c>
      <c r="E862" s="1" t="s">
        <v>444</v>
      </c>
      <c r="F862" s="1" t="s">
        <v>11772</v>
      </c>
      <c r="G862" s="1" t="s">
        <v>15602</v>
      </c>
      <c r="H862" s="1" t="s">
        <v>15603</v>
      </c>
      <c r="I862" s="1" t="s">
        <v>15604</v>
      </c>
      <c r="J862" s="1">
        <v>9372634449</v>
      </c>
      <c r="K862" s="1" t="s">
        <v>148</v>
      </c>
      <c r="L862" s="1" t="s">
        <v>15605</v>
      </c>
      <c r="M862" s="1" t="s">
        <v>81</v>
      </c>
      <c r="N862" s="1" t="s">
        <v>15606</v>
      </c>
      <c r="O862" s="1"/>
      <c r="P862" s="1" t="s">
        <v>1323</v>
      </c>
      <c r="Q862" s="1" t="s">
        <v>15607</v>
      </c>
      <c r="R862" s="1" t="s">
        <v>15608</v>
      </c>
      <c r="S862" s="1">
        <v>9769997851</v>
      </c>
      <c r="T862" s="1" t="s">
        <v>9871</v>
      </c>
      <c r="U862" s="1" t="s">
        <v>15609</v>
      </c>
      <c r="V862" s="1">
        <v>9869064189</v>
      </c>
      <c r="W862" s="1" t="s">
        <v>8972</v>
      </c>
      <c r="X862" s="1" t="s">
        <v>15610</v>
      </c>
      <c r="Y862" s="1" t="s">
        <v>1623</v>
      </c>
      <c r="Z862" s="1" t="s">
        <v>92</v>
      </c>
      <c r="AA862" s="1" t="s">
        <v>15610</v>
      </c>
      <c r="AB862" s="1" t="s">
        <v>1623</v>
      </c>
      <c r="AC862" s="1" t="s">
        <v>92</v>
      </c>
      <c r="AD862" s="1">
        <v>9.08</v>
      </c>
      <c r="AE862" s="1" t="s">
        <v>93</v>
      </c>
      <c r="AF862" s="1" t="s">
        <v>15611</v>
      </c>
      <c r="AG862" s="1" t="s">
        <v>8031</v>
      </c>
      <c r="AH862" s="1" t="s">
        <v>161</v>
      </c>
      <c r="AI862" s="1" t="s">
        <v>456</v>
      </c>
      <c r="AJ862" s="1">
        <v>86.6</v>
      </c>
      <c r="AK862" s="1"/>
      <c r="AL862" s="1" t="s">
        <v>15612</v>
      </c>
      <c r="AM862" s="1" t="s">
        <v>8031</v>
      </c>
      <c r="AN862" s="1" t="s">
        <v>165</v>
      </c>
      <c r="AO862" s="1" t="s">
        <v>457</v>
      </c>
      <c r="AP862" s="1">
        <v>66.62</v>
      </c>
      <c r="AQ862" s="1"/>
      <c r="AR862" s="1"/>
      <c r="AS862" s="1"/>
      <c r="AT862" s="1"/>
      <c r="AU862" s="1"/>
      <c r="AV862" s="1"/>
      <c r="AW862" s="1"/>
      <c r="AX862" s="1" t="s">
        <v>253</v>
      </c>
      <c r="AY862" s="1" t="s">
        <v>15613</v>
      </c>
      <c r="AZ862" s="1" t="s">
        <v>101</v>
      </c>
      <c r="BA862" s="1" t="s">
        <v>229</v>
      </c>
      <c r="BB862" s="1">
        <v>60.7</v>
      </c>
      <c r="BC862" s="1">
        <v>6.86</v>
      </c>
      <c r="BD862" s="1"/>
      <c r="BE862" s="1"/>
      <c r="BF862" s="1"/>
      <c r="BG862" s="1"/>
      <c r="BH862" s="1"/>
      <c r="BI862" s="1"/>
      <c r="BJ862" s="1" t="s">
        <v>15614</v>
      </c>
      <c r="BK862" s="1" t="s">
        <v>15615</v>
      </c>
      <c r="BL862" s="1" t="s">
        <v>1385</v>
      </c>
      <c r="BM862" s="1" t="s">
        <v>15616</v>
      </c>
      <c r="BN862" s="1">
        <v>33</v>
      </c>
      <c r="BO862" s="1"/>
      <c r="BP862" s="1" t="str">
        <f>HYPERLINK("https://nconnect.nicmar.ac.in/storage/profile/ProfilePhoto_P25702075_348759.jpg","Download")</f>
        <v>0</v>
      </c>
      <c r="BQ862" s="3"/>
      <c r="BR862" s="3"/>
    </row>
    <row r="863" spans="1:70">
      <c r="A863" s="1" t="s">
        <v>441</v>
      </c>
      <c r="B863" s="1" t="s">
        <v>1269</v>
      </c>
      <c r="C863" s="1" t="s">
        <v>15617</v>
      </c>
      <c r="D863" s="1" t="s">
        <v>15618</v>
      </c>
      <c r="E863" s="1" t="s">
        <v>4280</v>
      </c>
      <c r="F863" s="1" t="s">
        <v>15619</v>
      </c>
      <c r="G863" s="1" t="s">
        <v>15620</v>
      </c>
      <c r="H863" s="1" t="s">
        <v>15621</v>
      </c>
      <c r="I863" s="1" t="s">
        <v>15622</v>
      </c>
      <c r="J863" s="1">
        <v>7448070021</v>
      </c>
      <c r="K863" s="1" t="s">
        <v>79</v>
      </c>
      <c r="L863" s="1" t="s">
        <v>15623</v>
      </c>
      <c r="M863" s="1" t="s">
        <v>81</v>
      </c>
      <c r="N863" s="1" t="s">
        <v>1765</v>
      </c>
      <c r="O863" s="1"/>
      <c r="P863" s="1" t="s">
        <v>1323</v>
      </c>
      <c r="Q863" s="1" t="s">
        <v>15624</v>
      </c>
      <c r="R863" s="1" t="s">
        <v>4280</v>
      </c>
      <c r="S863" s="1">
        <v>9766944795</v>
      </c>
      <c r="T863" s="1" t="s">
        <v>842</v>
      </c>
      <c r="U863" s="1" t="s">
        <v>3361</v>
      </c>
      <c r="V863" s="1">
        <v>9403618688</v>
      </c>
      <c r="W863" s="1" t="s">
        <v>156</v>
      </c>
      <c r="X863" s="1" t="s">
        <v>15625</v>
      </c>
      <c r="Y863" s="1" t="s">
        <v>328</v>
      </c>
      <c r="Z863" s="1" t="s">
        <v>92</v>
      </c>
      <c r="AA863" s="1" t="s">
        <v>15625</v>
      </c>
      <c r="AB863" s="1" t="s">
        <v>328</v>
      </c>
      <c r="AC863" s="1" t="s">
        <v>92</v>
      </c>
      <c r="AD863" s="1">
        <v>9.19</v>
      </c>
      <c r="AE863" s="1" t="s">
        <v>93</v>
      </c>
      <c r="AF863" s="1" t="s">
        <v>15626</v>
      </c>
      <c r="AG863" s="1" t="s">
        <v>455</v>
      </c>
      <c r="AH863" s="1" t="s">
        <v>97</v>
      </c>
      <c r="AI863" s="1" t="s">
        <v>456</v>
      </c>
      <c r="AJ863" s="1">
        <v>91.8</v>
      </c>
      <c r="AK863" s="1">
        <v>0</v>
      </c>
      <c r="AL863" s="1" t="s">
        <v>15627</v>
      </c>
      <c r="AM863" s="1" t="s">
        <v>455</v>
      </c>
      <c r="AN863" s="1" t="s">
        <v>1332</v>
      </c>
      <c r="AO863" s="1" t="s">
        <v>457</v>
      </c>
      <c r="AP863" s="1">
        <v>72.15</v>
      </c>
      <c r="AQ863" s="1">
        <v>0</v>
      </c>
      <c r="AR863" s="1"/>
      <c r="AS863" s="1"/>
      <c r="AT863" s="1"/>
      <c r="AU863" s="1"/>
      <c r="AV863" s="1"/>
      <c r="AW863" s="1"/>
      <c r="AX863" s="1" t="s">
        <v>361</v>
      </c>
      <c r="AY863" s="1" t="s">
        <v>15628</v>
      </c>
      <c r="AZ863" s="1" t="s">
        <v>201</v>
      </c>
      <c r="BA863" s="1" t="s">
        <v>944</v>
      </c>
      <c r="BB863" s="1">
        <v>70.57</v>
      </c>
      <c r="BC863" s="1">
        <v>7.93</v>
      </c>
      <c r="BD863" s="1"/>
      <c r="BE863" s="1"/>
      <c r="BF863" s="1"/>
      <c r="BG863" s="1"/>
      <c r="BH863" s="1"/>
      <c r="BI863" s="1"/>
      <c r="BJ863" s="1" t="s">
        <v>15629</v>
      </c>
      <c r="BK863" s="1" t="s">
        <v>15630</v>
      </c>
      <c r="BL863" s="1" t="s">
        <v>1895</v>
      </c>
      <c r="BM863" s="1" t="s">
        <v>15631</v>
      </c>
      <c r="BN863" s="1">
        <v>35</v>
      </c>
      <c r="BO863" s="1"/>
      <c r="BP863" s="1" t="str">
        <f>HYPERLINK("https://nconnect.nicmar.ac.in/storage/profile/ProfilePhoto_P25702076_298574.jpg","Download")</f>
        <v>0</v>
      </c>
      <c r="BQ863" s="3"/>
      <c r="BR863" s="3"/>
    </row>
    <row r="864" spans="1:70">
      <c r="A864" s="1" t="s">
        <v>441</v>
      </c>
      <c r="B864" s="1" t="s">
        <v>1269</v>
      </c>
      <c r="C864" s="1" t="s">
        <v>15632</v>
      </c>
      <c r="D864" s="1" t="s">
        <v>15633</v>
      </c>
      <c r="E864" s="1" t="s">
        <v>8207</v>
      </c>
      <c r="F864" s="1" t="s">
        <v>10239</v>
      </c>
      <c r="G864" s="1" t="s">
        <v>15634</v>
      </c>
      <c r="H864" s="1" t="s">
        <v>15635</v>
      </c>
      <c r="I864" s="1" t="s">
        <v>15636</v>
      </c>
      <c r="J864" s="1">
        <v>6309341375</v>
      </c>
      <c r="K864" s="1" t="s">
        <v>79</v>
      </c>
      <c r="L864" s="1" t="s">
        <v>8579</v>
      </c>
      <c r="M864" s="1" t="s">
        <v>81</v>
      </c>
      <c r="N864" s="1" t="s">
        <v>11999</v>
      </c>
      <c r="O864" s="1"/>
      <c r="P864" s="1" t="s">
        <v>1278</v>
      </c>
      <c r="Q864" s="1" t="s">
        <v>15637</v>
      </c>
      <c r="R864" s="1" t="s">
        <v>15638</v>
      </c>
      <c r="S864" s="1">
        <v>9849827700</v>
      </c>
      <c r="T864" s="1" t="s">
        <v>15639</v>
      </c>
      <c r="U864" s="1" t="s">
        <v>15640</v>
      </c>
      <c r="V864" s="1">
        <v>7601064855</v>
      </c>
      <c r="W864" s="1" t="s">
        <v>89</v>
      </c>
      <c r="X864" s="1" t="s">
        <v>15641</v>
      </c>
      <c r="Y864" s="1" t="s">
        <v>1304</v>
      </c>
      <c r="Z864" s="1" t="s">
        <v>276</v>
      </c>
      <c r="AA864" s="1" t="s">
        <v>15641</v>
      </c>
      <c r="AB864" s="1" t="s">
        <v>1304</v>
      </c>
      <c r="AC864" s="1" t="s">
        <v>276</v>
      </c>
      <c r="AD864" s="1">
        <v>8.74</v>
      </c>
      <c r="AE864" s="1" t="s">
        <v>93</v>
      </c>
      <c r="AF864" s="1" t="s">
        <v>15642</v>
      </c>
      <c r="AG864" s="1" t="s">
        <v>15643</v>
      </c>
      <c r="AH864" s="1" t="s">
        <v>162</v>
      </c>
      <c r="AI864" s="1" t="s">
        <v>1065</v>
      </c>
      <c r="AJ864" s="1">
        <v>100</v>
      </c>
      <c r="AK864" s="1">
        <v>10</v>
      </c>
      <c r="AL864" s="1" t="s">
        <v>15644</v>
      </c>
      <c r="AM864" s="1" t="s">
        <v>15645</v>
      </c>
      <c r="AN864" s="1" t="s">
        <v>433</v>
      </c>
      <c r="AO864" s="1" t="s">
        <v>1712</v>
      </c>
      <c r="AP864" s="1">
        <v>91.3</v>
      </c>
      <c r="AQ864" s="1"/>
      <c r="AR864" s="1"/>
      <c r="AS864" s="1"/>
      <c r="AT864" s="1"/>
      <c r="AU864" s="1"/>
      <c r="AV864" s="1"/>
      <c r="AW864" s="1"/>
      <c r="AX864" s="1" t="s">
        <v>15646</v>
      </c>
      <c r="AY864" s="1" t="s">
        <v>15647</v>
      </c>
      <c r="AZ864" s="1" t="s">
        <v>5467</v>
      </c>
      <c r="BA864" s="1" t="s">
        <v>1408</v>
      </c>
      <c r="BB864" s="1">
        <v>64.12</v>
      </c>
      <c r="BC864" s="1">
        <v>6.75</v>
      </c>
      <c r="BD864" s="1"/>
      <c r="BE864" s="1"/>
      <c r="BF864" s="1"/>
      <c r="BG864" s="1"/>
      <c r="BH864" s="1"/>
      <c r="BI864" s="1"/>
      <c r="BJ864" s="1" t="s">
        <v>364</v>
      </c>
      <c r="BK864" s="1"/>
      <c r="BL864" s="1"/>
      <c r="BM864" s="1" t="s">
        <v>15648</v>
      </c>
      <c r="BN864" s="1">
        <v>13</v>
      </c>
      <c r="BO864" s="1" t="s">
        <v>15649</v>
      </c>
      <c r="BP864" s="1" t="str">
        <f>HYPERLINK("https://nconnect.nicmar.ac.in/storage/profile/ProfilePhoto_P25702077_746891.jpg","Download")</f>
        <v>0</v>
      </c>
      <c r="BQ864" s="3"/>
      <c r="BR864" s="3"/>
    </row>
    <row r="865" spans="1:70">
      <c r="A865" s="1" t="s">
        <v>441</v>
      </c>
      <c r="B865" s="1" t="s">
        <v>1269</v>
      </c>
      <c r="C865" s="1" t="s">
        <v>15650</v>
      </c>
      <c r="D865" s="1" t="s">
        <v>8807</v>
      </c>
      <c r="E865" s="1" t="s">
        <v>3224</v>
      </c>
      <c r="F865" s="1" t="s">
        <v>15651</v>
      </c>
      <c r="G865" s="1" t="s">
        <v>15652</v>
      </c>
      <c r="H865" s="1" t="s">
        <v>15653</v>
      </c>
      <c r="I865" s="1" t="s">
        <v>15654</v>
      </c>
      <c r="J865" s="1">
        <v>8850894537</v>
      </c>
      <c r="K865" s="1" t="s">
        <v>79</v>
      </c>
      <c r="L865" s="1" t="s">
        <v>6059</v>
      </c>
      <c r="M865" s="1" t="s">
        <v>81</v>
      </c>
      <c r="N865" s="1" t="s">
        <v>1765</v>
      </c>
      <c r="O865" s="1"/>
      <c r="P865" s="1" t="s">
        <v>1323</v>
      </c>
      <c r="Q865" s="1" t="s">
        <v>15655</v>
      </c>
      <c r="R865" s="1" t="s">
        <v>3224</v>
      </c>
      <c r="S865" s="1">
        <v>9223279997</v>
      </c>
      <c r="T865" s="1" t="s">
        <v>15656</v>
      </c>
      <c r="U865" s="1" t="s">
        <v>473</v>
      </c>
      <c r="V865" s="1">
        <v>7506763987</v>
      </c>
      <c r="W865" s="1" t="s">
        <v>273</v>
      </c>
      <c r="X865" s="1" t="s">
        <v>15657</v>
      </c>
      <c r="Y865" s="1" t="s">
        <v>1623</v>
      </c>
      <c r="Z865" s="1" t="s">
        <v>92</v>
      </c>
      <c r="AA865" s="1" t="s">
        <v>15657</v>
      </c>
      <c r="AB865" s="1" t="s">
        <v>1623</v>
      </c>
      <c r="AC865" s="1" t="s">
        <v>92</v>
      </c>
      <c r="AD865" s="1">
        <v>9.03</v>
      </c>
      <c r="AE865" s="1" t="s">
        <v>93</v>
      </c>
      <c r="AF865" s="1" t="s">
        <v>15658</v>
      </c>
      <c r="AG865" s="1" t="s">
        <v>15659</v>
      </c>
      <c r="AH865" s="1" t="s">
        <v>165</v>
      </c>
      <c r="AI865" s="1" t="s">
        <v>166</v>
      </c>
      <c r="AJ865" s="1">
        <v>88.8</v>
      </c>
      <c r="AK865" s="1"/>
      <c r="AL865" s="1" t="s">
        <v>15660</v>
      </c>
      <c r="AM865" s="1" t="s">
        <v>15659</v>
      </c>
      <c r="AN865" s="1" t="s">
        <v>433</v>
      </c>
      <c r="AO865" s="1" t="s">
        <v>412</v>
      </c>
      <c r="AP865" s="1">
        <v>77.85</v>
      </c>
      <c r="AQ865" s="1"/>
      <c r="AR865" s="1"/>
      <c r="AS865" s="1"/>
      <c r="AT865" s="1"/>
      <c r="AU865" s="1"/>
      <c r="AV865" s="1"/>
      <c r="AW865" s="1"/>
      <c r="AX865" s="1" t="s">
        <v>1024</v>
      </c>
      <c r="AY865" s="1" t="s">
        <v>15661</v>
      </c>
      <c r="AZ865" s="1" t="s">
        <v>681</v>
      </c>
      <c r="BA865" s="1" t="s">
        <v>590</v>
      </c>
      <c r="BB865" s="1">
        <v>75.39</v>
      </c>
      <c r="BC865" s="1">
        <v>9.07</v>
      </c>
      <c r="BD865" s="1"/>
      <c r="BE865" s="1"/>
      <c r="BF865" s="1"/>
      <c r="BG865" s="1"/>
      <c r="BH865" s="1"/>
      <c r="BI865" s="1"/>
      <c r="BJ865" s="1" t="s">
        <v>15662</v>
      </c>
      <c r="BK865" s="1"/>
      <c r="BL865" s="1"/>
      <c r="BM865" s="1"/>
      <c r="BN865" s="1"/>
      <c r="BO865" s="1"/>
      <c r="BP865" s="1" t="str">
        <f>HYPERLINK("https://nconnect.nicmar.ac.in/storage/profile/ProfilePhoto_P25702078_395712.jpg","Download")</f>
        <v>0</v>
      </c>
      <c r="BQ865" s="3"/>
      <c r="BR865" s="3"/>
    </row>
    <row r="866" spans="1:70">
      <c r="A866" s="1" t="s">
        <v>441</v>
      </c>
      <c r="B866" s="1" t="s">
        <v>1269</v>
      </c>
      <c r="C866" s="1" t="s">
        <v>15663</v>
      </c>
      <c r="D866" s="1" t="s">
        <v>11122</v>
      </c>
      <c r="E866" s="1" t="s">
        <v>144</v>
      </c>
      <c r="F866" s="1" t="s">
        <v>15664</v>
      </c>
      <c r="G866" s="1" t="s">
        <v>15665</v>
      </c>
      <c r="H866" s="1" t="s">
        <v>15666</v>
      </c>
      <c r="I866" s="1" t="s">
        <v>15667</v>
      </c>
      <c r="J866" s="1">
        <v>9175161843</v>
      </c>
      <c r="K866" s="1" t="s">
        <v>79</v>
      </c>
      <c r="L866" s="1" t="s">
        <v>15668</v>
      </c>
      <c r="M866" s="1" t="s">
        <v>81</v>
      </c>
      <c r="N866" s="1" t="s">
        <v>2008</v>
      </c>
      <c r="O866" s="1" t="s">
        <v>15669</v>
      </c>
      <c r="P866" s="1" t="s">
        <v>1323</v>
      </c>
      <c r="Q866" s="1" t="s">
        <v>15670</v>
      </c>
      <c r="R866" s="1" t="s">
        <v>15671</v>
      </c>
      <c r="S866" s="1">
        <v>9518597764</v>
      </c>
      <c r="T866" s="1" t="s">
        <v>11883</v>
      </c>
      <c r="U866" s="1" t="s">
        <v>15672</v>
      </c>
      <c r="V866" s="1">
        <v>9422063958</v>
      </c>
      <c r="W866" s="1" t="s">
        <v>273</v>
      </c>
      <c r="X866" s="1" t="s">
        <v>15673</v>
      </c>
      <c r="Y866" s="1" t="s">
        <v>191</v>
      </c>
      <c r="Z866" s="1" t="s">
        <v>92</v>
      </c>
      <c r="AA866" s="1" t="s">
        <v>15673</v>
      </c>
      <c r="AB866" s="1" t="s">
        <v>191</v>
      </c>
      <c r="AC866" s="1" t="s">
        <v>92</v>
      </c>
      <c r="AD866" s="1">
        <v>8.58</v>
      </c>
      <c r="AE866" s="1" t="s">
        <v>93</v>
      </c>
      <c r="AF866" s="1" t="s">
        <v>15674</v>
      </c>
      <c r="AG866" s="1" t="s">
        <v>15675</v>
      </c>
      <c r="AH866" s="1" t="s">
        <v>101</v>
      </c>
      <c r="AI866" s="1" t="s">
        <v>433</v>
      </c>
      <c r="AJ866" s="1">
        <v>79.6</v>
      </c>
      <c r="AK866" s="1"/>
      <c r="AL866" s="1" t="s">
        <v>15676</v>
      </c>
      <c r="AM866" s="1" t="s">
        <v>15677</v>
      </c>
      <c r="AN866" s="1" t="s">
        <v>699</v>
      </c>
      <c r="AO866" s="1" t="s">
        <v>1131</v>
      </c>
      <c r="AP866" s="1">
        <v>84</v>
      </c>
      <c r="AQ866" s="1"/>
      <c r="AR866" s="1"/>
      <c r="AS866" s="1"/>
      <c r="AT866" s="1"/>
      <c r="AU866" s="1"/>
      <c r="AV866" s="1"/>
      <c r="AW866" s="1"/>
      <c r="AX866" s="1" t="s">
        <v>15678</v>
      </c>
      <c r="AY866" s="1" t="s">
        <v>15679</v>
      </c>
      <c r="AZ866" s="1" t="s">
        <v>897</v>
      </c>
      <c r="BA866" s="1" t="s">
        <v>1361</v>
      </c>
      <c r="BB866" s="1">
        <v>73.17</v>
      </c>
      <c r="BC866" s="1">
        <v>8.13</v>
      </c>
      <c r="BD866" s="1"/>
      <c r="BE866" s="1"/>
      <c r="BF866" s="1"/>
      <c r="BG866" s="1"/>
      <c r="BH866" s="1"/>
      <c r="BI866" s="1"/>
      <c r="BJ866" s="1" t="s">
        <v>15680</v>
      </c>
      <c r="BK866" s="1"/>
      <c r="BL866" s="1"/>
      <c r="BM866" s="1" t="s">
        <v>15681</v>
      </c>
      <c r="BN866" s="1">
        <v>21</v>
      </c>
      <c r="BO866" s="1"/>
      <c r="BP866" s="1" t="str">
        <f>HYPERLINK("https://nconnect.nicmar.ac.in/storage/profile/ProfilePhoto_P25702079_346712.jpg","Download")</f>
        <v>0</v>
      </c>
      <c r="BQ866" s="3"/>
      <c r="BR866" s="3"/>
    </row>
    <row r="867" spans="1:70">
      <c r="A867" s="1" t="s">
        <v>441</v>
      </c>
      <c r="B867" s="1" t="s">
        <v>1269</v>
      </c>
      <c r="C867" s="1" t="s">
        <v>15682</v>
      </c>
      <c r="D867" s="1" t="s">
        <v>15683</v>
      </c>
      <c r="E867" s="1"/>
      <c r="F867" s="1" t="s">
        <v>835</v>
      </c>
      <c r="G867" s="1" t="s">
        <v>15684</v>
      </c>
      <c r="H867" s="1" t="s">
        <v>15685</v>
      </c>
      <c r="I867" s="1" t="s">
        <v>15686</v>
      </c>
      <c r="J867" s="1">
        <v>8756343666</v>
      </c>
      <c r="K867" s="1" t="s">
        <v>148</v>
      </c>
      <c r="L867" s="1" t="s">
        <v>15687</v>
      </c>
      <c r="M867" s="1" t="s">
        <v>81</v>
      </c>
      <c r="N867" s="1" t="s">
        <v>241</v>
      </c>
      <c r="O867" s="1"/>
      <c r="P867" s="1" t="s">
        <v>1323</v>
      </c>
      <c r="Q867" s="1" t="s">
        <v>15688</v>
      </c>
      <c r="R867" s="1" t="s">
        <v>15689</v>
      </c>
      <c r="S867" s="1">
        <v>8173002222</v>
      </c>
      <c r="T867" s="1" t="s">
        <v>15690</v>
      </c>
      <c r="U867" s="1" t="s">
        <v>15691</v>
      </c>
      <c r="V867" s="1">
        <v>9454837411</v>
      </c>
      <c r="W867" s="1" t="s">
        <v>273</v>
      </c>
      <c r="X867" s="1" t="s">
        <v>15692</v>
      </c>
      <c r="Y867" s="1" t="s">
        <v>1911</v>
      </c>
      <c r="Z867" s="1" t="s">
        <v>1355</v>
      </c>
      <c r="AA867" s="1" t="s">
        <v>15692</v>
      </c>
      <c r="AB867" s="1" t="s">
        <v>1911</v>
      </c>
      <c r="AC867" s="1" t="s">
        <v>1355</v>
      </c>
      <c r="AD867" s="1">
        <v>8.48</v>
      </c>
      <c r="AE867" s="1" t="s">
        <v>93</v>
      </c>
      <c r="AF867" s="1" t="s">
        <v>15693</v>
      </c>
      <c r="AG867" s="1" t="s">
        <v>15694</v>
      </c>
      <c r="AH867" s="1" t="s">
        <v>477</v>
      </c>
      <c r="AI867" s="1" t="s">
        <v>131</v>
      </c>
      <c r="AJ867" s="1">
        <v>66.5</v>
      </c>
      <c r="AK867" s="1">
        <v>7</v>
      </c>
      <c r="AL867" s="1" t="s">
        <v>15693</v>
      </c>
      <c r="AM867" s="1" t="s">
        <v>15694</v>
      </c>
      <c r="AN867" s="1" t="s">
        <v>527</v>
      </c>
      <c r="AO867" s="1" t="s">
        <v>479</v>
      </c>
      <c r="AP867" s="1">
        <v>56.2</v>
      </c>
      <c r="AQ867" s="1">
        <v>0</v>
      </c>
      <c r="AR867" s="1"/>
      <c r="AS867" s="1"/>
      <c r="AT867" s="1"/>
      <c r="AU867" s="1"/>
      <c r="AV867" s="1"/>
      <c r="AW867" s="1"/>
      <c r="AX867" s="1" t="s">
        <v>4550</v>
      </c>
      <c r="AY867" s="1" t="s">
        <v>4550</v>
      </c>
      <c r="AZ867" s="1" t="s">
        <v>636</v>
      </c>
      <c r="BA867" s="1" t="s">
        <v>682</v>
      </c>
      <c r="BB867" s="1">
        <v>71.7</v>
      </c>
      <c r="BC867" s="1">
        <v>7.17</v>
      </c>
      <c r="BD867" s="1"/>
      <c r="BE867" s="1"/>
      <c r="BF867" s="1"/>
      <c r="BG867" s="1"/>
      <c r="BH867" s="1"/>
      <c r="BI867" s="1"/>
      <c r="BJ867" s="1" t="s">
        <v>15695</v>
      </c>
      <c r="BK867" s="1"/>
      <c r="BL867" s="1"/>
      <c r="BM867" s="1" t="s">
        <v>15696</v>
      </c>
      <c r="BN867" s="1">
        <v>86</v>
      </c>
      <c r="BO867" s="1" t="s">
        <v>15697</v>
      </c>
      <c r="BP867" s="1" t="str">
        <f>HYPERLINK("https://nconnect.nicmar.ac.in/storage/profile/ProfilePhoto_P25702081_536981.jpg","Download")</f>
        <v>0</v>
      </c>
      <c r="BQ867" s="3"/>
      <c r="BR867" s="3"/>
    </row>
    <row r="868" spans="1:70">
      <c r="A868" s="1" t="s">
        <v>441</v>
      </c>
      <c r="B868" s="1" t="s">
        <v>1269</v>
      </c>
      <c r="C868" s="1" t="s">
        <v>15698</v>
      </c>
      <c r="D868" s="1" t="s">
        <v>2892</v>
      </c>
      <c r="E868" s="1" t="s">
        <v>5393</v>
      </c>
      <c r="F868" s="1" t="s">
        <v>15699</v>
      </c>
      <c r="G868" s="1" t="s">
        <v>15700</v>
      </c>
      <c r="H868" s="1" t="s">
        <v>15701</v>
      </c>
      <c r="I868" s="1" t="s">
        <v>15702</v>
      </c>
      <c r="J868" s="1">
        <v>9653285798</v>
      </c>
      <c r="K868" s="1" t="s">
        <v>79</v>
      </c>
      <c r="L868" s="1" t="s">
        <v>15335</v>
      </c>
      <c r="M868" s="1" t="s">
        <v>81</v>
      </c>
      <c r="N868" s="1" t="s">
        <v>12662</v>
      </c>
      <c r="O868" s="1"/>
      <c r="P868" s="1" t="s">
        <v>1298</v>
      </c>
      <c r="Q868" s="1" t="s">
        <v>15703</v>
      </c>
      <c r="R868" s="1" t="s">
        <v>15704</v>
      </c>
      <c r="S868" s="1">
        <v>9969873060</v>
      </c>
      <c r="T868" s="1" t="s">
        <v>120</v>
      </c>
      <c r="U868" s="1" t="s">
        <v>15705</v>
      </c>
      <c r="V868" s="1">
        <v>9869169166</v>
      </c>
      <c r="W868" s="1" t="s">
        <v>156</v>
      </c>
      <c r="X868" s="1" t="s">
        <v>15706</v>
      </c>
      <c r="Y868" s="1" t="s">
        <v>1623</v>
      </c>
      <c r="Z868" s="1" t="s">
        <v>92</v>
      </c>
      <c r="AA868" s="1" t="s">
        <v>15706</v>
      </c>
      <c r="AB868" s="1" t="s">
        <v>1623</v>
      </c>
      <c r="AC868" s="1" t="s">
        <v>92</v>
      </c>
      <c r="AD868" s="1">
        <v>8.5</v>
      </c>
      <c r="AE868" s="1" t="s">
        <v>93</v>
      </c>
      <c r="AF868" s="1" t="s">
        <v>15707</v>
      </c>
      <c r="AG868" s="1" t="s">
        <v>160</v>
      </c>
      <c r="AH868" s="1" t="s">
        <v>97</v>
      </c>
      <c r="AI868" s="1" t="s">
        <v>456</v>
      </c>
      <c r="AJ868" s="1">
        <v>75.4</v>
      </c>
      <c r="AK868" s="1"/>
      <c r="AL868" s="1"/>
      <c r="AM868" s="1"/>
      <c r="AN868" s="1"/>
      <c r="AO868" s="1"/>
      <c r="AP868" s="1"/>
      <c r="AQ868" s="1"/>
      <c r="AR868" s="1" t="s">
        <v>98</v>
      </c>
      <c r="AS868" s="1" t="s">
        <v>15708</v>
      </c>
      <c r="AT868" s="1" t="s">
        <v>134</v>
      </c>
      <c r="AU868" s="1" t="s">
        <v>433</v>
      </c>
      <c r="AV868" s="1">
        <v>73.27</v>
      </c>
      <c r="AW868" s="1"/>
      <c r="AX868" s="1" t="s">
        <v>253</v>
      </c>
      <c r="AY868" s="1" t="s">
        <v>15709</v>
      </c>
      <c r="AZ868" s="1" t="s">
        <v>201</v>
      </c>
      <c r="BA868" s="1" t="s">
        <v>1090</v>
      </c>
      <c r="BB868" s="1">
        <v>68.75</v>
      </c>
      <c r="BC868" s="1">
        <v>7.66</v>
      </c>
      <c r="BD868" s="1"/>
      <c r="BE868" s="1"/>
      <c r="BF868" s="1"/>
      <c r="BG868" s="1"/>
      <c r="BH868" s="1"/>
      <c r="BI868" s="1"/>
      <c r="BJ868" s="1" t="s">
        <v>15710</v>
      </c>
      <c r="BK868" s="1" t="s">
        <v>15711</v>
      </c>
      <c r="BL868" s="1" t="s">
        <v>4917</v>
      </c>
      <c r="BM868" s="1" t="s">
        <v>15712</v>
      </c>
      <c r="BN868" s="1">
        <v>21</v>
      </c>
      <c r="BO868" s="1"/>
      <c r="BP868" s="1" t="str">
        <f>HYPERLINK("https://nconnect.nicmar.ac.in/storage/profile/ProfilePhoto_P25702082_524391.jpg","Download")</f>
        <v>0</v>
      </c>
      <c r="BQ868" s="3"/>
      <c r="BR868" s="3"/>
    </row>
    <row r="869" spans="1:70">
      <c r="A869" s="1" t="s">
        <v>441</v>
      </c>
      <c r="B869" s="1" t="s">
        <v>1269</v>
      </c>
      <c r="C869" s="1" t="s">
        <v>15713</v>
      </c>
      <c r="D869" s="1" t="s">
        <v>7321</v>
      </c>
      <c r="E869" s="1" t="s">
        <v>6074</v>
      </c>
      <c r="F869" s="1" t="s">
        <v>3201</v>
      </c>
      <c r="G869" s="1" t="s">
        <v>15714</v>
      </c>
      <c r="H869" s="1" t="s">
        <v>15715</v>
      </c>
      <c r="I869" s="1" t="s">
        <v>15716</v>
      </c>
      <c r="J869" s="1">
        <v>9687262577</v>
      </c>
      <c r="K869" s="1" t="s">
        <v>79</v>
      </c>
      <c r="L869" s="1" t="s">
        <v>15717</v>
      </c>
      <c r="M869" s="1" t="s">
        <v>81</v>
      </c>
      <c r="N869" s="1" t="s">
        <v>7326</v>
      </c>
      <c r="O869" s="1"/>
      <c r="P869" s="1" t="s">
        <v>1323</v>
      </c>
      <c r="Q869" s="1" t="s">
        <v>15718</v>
      </c>
      <c r="R869" s="1" t="s">
        <v>15719</v>
      </c>
      <c r="S869" s="1">
        <v>9925038307</v>
      </c>
      <c r="T869" s="1" t="s">
        <v>496</v>
      </c>
      <c r="U869" s="1" t="s">
        <v>15720</v>
      </c>
      <c r="V869" s="1">
        <v>9898011250</v>
      </c>
      <c r="W869" s="1" t="s">
        <v>156</v>
      </c>
      <c r="X869" s="1" t="s">
        <v>15721</v>
      </c>
      <c r="Y869" s="1" t="s">
        <v>3680</v>
      </c>
      <c r="Z869" s="1" t="s">
        <v>1468</v>
      </c>
      <c r="AA869" s="1" t="s">
        <v>15722</v>
      </c>
      <c r="AB869" s="1" t="s">
        <v>3680</v>
      </c>
      <c r="AC869" s="1" t="s">
        <v>1468</v>
      </c>
      <c r="AD869" s="1" t="s">
        <v>93</v>
      </c>
      <c r="AE869" s="1" t="s">
        <v>93</v>
      </c>
      <c r="AF869" s="1" t="s">
        <v>15503</v>
      </c>
      <c r="AG869" s="1" t="s">
        <v>15723</v>
      </c>
      <c r="AH869" s="1" t="s">
        <v>409</v>
      </c>
      <c r="AI869" s="1" t="s">
        <v>941</v>
      </c>
      <c r="AJ869" s="1">
        <v>77</v>
      </c>
      <c r="AK869" s="1"/>
      <c r="AL869" s="1" t="s">
        <v>15724</v>
      </c>
      <c r="AM869" s="1" t="s">
        <v>15723</v>
      </c>
      <c r="AN869" s="1" t="s">
        <v>504</v>
      </c>
      <c r="AO869" s="1" t="s">
        <v>2687</v>
      </c>
      <c r="AP869" s="1">
        <v>79.2</v>
      </c>
      <c r="AQ869" s="1"/>
      <c r="AR869" s="1"/>
      <c r="AS869" s="1"/>
      <c r="AT869" s="1"/>
      <c r="AU869" s="1"/>
      <c r="AV869" s="1"/>
      <c r="AW869" s="1"/>
      <c r="AX869" s="1" t="s">
        <v>15725</v>
      </c>
      <c r="AY869" s="1" t="s">
        <v>15726</v>
      </c>
      <c r="AZ869" s="1" t="s">
        <v>481</v>
      </c>
      <c r="BA869" s="1" t="s">
        <v>1714</v>
      </c>
      <c r="BB869" s="1">
        <v>78.7</v>
      </c>
      <c r="BC869" s="1">
        <v>7.87</v>
      </c>
      <c r="BD869" s="1"/>
      <c r="BE869" s="1"/>
      <c r="BF869" s="1"/>
      <c r="BG869" s="1"/>
      <c r="BH869" s="1"/>
      <c r="BI869" s="1"/>
      <c r="BJ869" s="1" t="s">
        <v>15727</v>
      </c>
      <c r="BK869" s="1"/>
      <c r="BL869" s="1"/>
      <c r="BM869" s="1" t="s">
        <v>15728</v>
      </c>
      <c r="BN869" s="1">
        <v>5</v>
      </c>
      <c r="BO869" s="1"/>
      <c r="BP869" s="1" t="str">
        <f>HYPERLINK("https://nconnect.nicmar.ac.in/storage/profile/ProfilePhoto_P25702083_496513.jpg","Download")</f>
        <v>0</v>
      </c>
      <c r="BQ869" s="3"/>
      <c r="BR869" s="3"/>
    </row>
    <row r="870" spans="1:70">
      <c r="A870" s="1" t="s">
        <v>441</v>
      </c>
      <c r="B870" s="1" t="s">
        <v>1269</v>
      </c>
      <c r="C870" s="1" t="s">
        <v>15729</v>
      </c>
      <c r="D870" s="1" t="s">
        <v>533</v>
      </c>
      <c r="E870" s="1" t="s">
        <v>444</v>
      </c>
      <c r="F870" s="1" t="s">
        <v>15730</v>
      </c>
      <c r="G870" s="1" t="s">
        <v>15731</v>
      </c>
      <c r="H870" s="1" t="s">
        <v>15732</v>
      </c>
      <c r="I870" s="1" t="s">
        <v>15733</v>
      </c>
      <c r="J870" s="1">
        <v>7020575432</v>
      </c>
      <c r="K870" s="1" t="s">
        <v>79</v>
      </c>
      <c r="L870" s="1" t="s">
        <v>15734</v>
      </c>
      <c r="M870" s="1" t="s">
        <v>81</v>
      </c>
      <c r="N870" s="1" t="s">
        <v>3229</v>
      </c>
      <c r="O870" s="1"/>
      <c r="P870" s="1" t="s">
        <v>1323</v>
      </c>
      <c r="Q870" s="1" t="s">
        <v>15735</v>
      </c>
      <c r="R870" s="1" t="s">
        <v>15736</v>
      </c>
      <c r="S870" s="1">
        <v>7276982972</v>
      </c>
      <c r="T870" s="1" t="s">
        <v>15737</v>
      </c>
      <c r="U870" s="1" t="s">
        <v>15738</v>
      </c>
      <c r="V870" s="1">
        <v>9260306852</v>
      </c>
      <c r="W870" s="1" t="s">
        <v>122</v>
      </c>
      <c r="X870" s="1" t="s">
        <v>15739</v>
      </c>
      <c r="Y870" s="1" t="s">
        <v>5064</v>
      </c>
      <c r="Z870" s="1" t="s">
        <v>92</v>
      </c>
      <c r="AA870" s="1" t="s">
        <v>15739</v>
      </c>
      <c r="AB870" s="1" t="s">
        <v>5064</v>
      </c>
      <c r="AC870" s="1" t="s">
        <v>92</v>
      </c>
      <c r="AD870" s="1" t="s">
        <v>93</v>
      </c>
      <c r="AE870" s="1" t="s">
        <v>93</v>
      </c>
      <c r="AF870" s="1" t="s">
        <v>15740</v>
      </c>
      <c r="AG870" s="1" t="s">
        <v>160</v>
      </c>
      <c r="AH870" s="1" t="s">
        <v>165</v>
      </c>
      <c r="AI870" s="1" t="s">
        <v>281</v>
      </c>
      <c r="AJ870" s="1">
        <v>71.6</v>
      </c>
      <c r="AK870" s="1"/>
      <c r="AL870" s="1"/>
      <c r="AM870" s="1"/>
      <c r="AN870" s="1"/>
      <c r="AO870" s="1"/>
      <c r="AP870" s="1"/>
      <c r="AQ870" s="1"/>
      <c r="AR870" s="1" t="s">
        <v>98</v>
      </c>
      <c r="AS870" s="1" t="s">
        <v>15741</v>
      </c>
      <c r="AT870" s="1" t="s">
        <v>636</v>
      </c>
      <c r="AU870" s="1" t="s">
        <v>436</v>
      </c>
      <c r="AV870" s="1">
        <v>81.63</v>
      </c>
      <c r="AW870" s="1"/>
      <c r="AX870" s="1" t="s">
        <v>1024</v>
      </c>
      <c r="AY870" s="1" t="s">
        <v>15741</v>
      </c>
      <c r="AZ870" s="1" t="s">
        <v>897</v>
      </c>
      <c r="BA870" s="1" t="s">
        <v>1938</v>
      </c>
      <c r="BB870" s="1">
        <v>63.2</v>
      </c>
      <c r="BC870" s="1">
        <v>6.92</v>
      </c>
      <c r="BD870" s="1"/>
      <c r="BE870" s="1"/>
      <c r="BF870" s="1"/>
      <c r="BG870" s="1"/>
      <c r="BH870" s="1"/>
      <c r="BI870" s="1"/>
      <c r="BJ870" s="1" t="s">
        <v>4102</v>
      </c>
      <c r="BK870" s="1"/>
      <c r="BL870" s="1"/>
      <c r="BM870" s="1"/>
      <c r="BN870" s="1"/>
      <c r="BO870" s="1"/>
      <c r="BP870" s="1" t="str">
        <f>HYPERLINK("https://nconnect.nicmar.ac.in/storage/profile/ProfilePhoto_P25702084_327986.jpg","Download")</f>
        <v>0</v>
      </c>
      <c r="BQ870" s="3"/>
      <c r="BR870" s="3"/>
    </row>
    <row r="871" spans="1:70">
      <c r="A871" s="1" t="s">
        <v>441</v>
      </c>
      <c r="B871" s="1" t="s">
        <v>1269</v>
      </c>
      <c r="C871" s="1" t="s">
        <v>15742</v>
      </c>
      <c r="D871" s="1" t="s">
        <v>417</v>
      </c>
      <c r="E871" s="1" t="s">
        <v>5072</v>
      </c>
      <c r="F871" s="1" t="s">
        <v>142</v>
      </c>
      <c r="G871" s="1" t="s">
        <v>15743</v>
      </c>
      <c r="H871" s="1" t="s">
        <v>15744</v>
      </c>
      <c r="I871" s="1" t="s">
        <v>15744</v>
      </c>
      <c r="J871" s="1">
        <v>8879771220</v>
      </c>
      <c r="K871" s="1" t="s">
        <v>148</v>
      </c>
      <c r="L871" s="1" t="s">
        <v>15745</v>
      </c>
      <c r="M871" s="1" t="s">
        <v>81</v>
      </c>
      <c r="N871" s="1" t="s">
        <v>13603</v>
      </c>
      <c r="O871" s="1" t="s">
        <v>15746</v>
      </c>
      <c r="P871" s="1" t="s">
        <v>1323</v>
      </c>
      <c r="Q871" s="1" t="s">
        <v>15747</v>
      </c>
      <c r="R871" s="1" t="s">
        <v>5072</v>
      </c>
      <c r="S871" s="1">
        <v>9423264634</v>
      </c>
      <c r="T871" s="1" t="s">
        <v>496</v>
      </c>
      <c r="U871" s="1" t="s">
        <v>8565</v>
      </c>
      <c r="V871" s="1">
        <v>8421282434</v>
      </c>
      <c r="W871" s="1" t="s">
        <v>156</v>
      </c>
      <c r="X871" s="1" t="s">
        <v>15748</v>
      </c>
      <c r="Y871" s="1" t="s">
        <v>5915</v>
      </c>
      <c r="Z871" s="1" t="s">
        <v>92</v>
      </c>
      <c r="AA871" s="1" t="s">
        <v>15748</v>
      </c>
      <c r="AB871" s="1" t="s">
        <v>5915</v>
      </c>
      <c r="AC871" s="1" t="s">
        <v>92</v>
      </c>
      <c r="AD871" s="1">
        <v>8.06</v>
      </c>
      <c r="AE871" s="1" t="s">
        <v>93</v>
      </c>
      <c r="AF871" s="1" t="s">
        <v>15658</v>
      </c>
      <c r="AG871" s="1" t="s">
        <v>160</v>
      </c>
      <c r="AH871" s="1" t="s">
        <v>96</v>
      </c>
      <c r="AI871" s="1" t="s">
        <v>456</v>
      </c>
      <c r="AJ871" s="1">
        <v>89.2</v>
      </c>
      <c r="AK871" s="1"/>
      <c r="AL871" s="1" t="s">
        <v>15749</v>
      </c>
      <c r="AM871" s="1" t="s">
        <v>15750</v>
      </c>
      <c r="AN871" s="1" t="s">
        <v>134</v>
      </c>
      <c r="AO871" s="1" t="s">
        <v>457</v>
      </c>
      <c r="AP871" s="1">
        <v>75.08</v>
      </c>
      <c r="AQ871" s="1"/>
      <c r="AR871" s="1"/>
      <c r="AS871" s="1"/>
      <c r="AT871" s="1"/>
      <c r="AU871" s="1"/>
      <c r="AV871" s="1"/>
      <c r="AW871" s="1"/>
      <c r="AX871" s="1" t="s">
        <v>253</v>
      </c>
      <c r="AY871" s="1" t="s">
        <v>15751</v>
      </c>
      <c r="AZ871" s="1" t="s">
        <v>636</v>
      </c>
      <c r="BA871" s="1" t="s">
        <v>229</v>
      </c>
      <c r="BB871" s="1">
        <v>69.35</v>
      </c>
      <c r="BC871" s="1">
        <v>7.75</v>
      </c>
      <c r="BD871" s="1"/>
      <c r="BE871" s="1"/>
      <c r="BF871" s="1"/>
      <c r="BG871" s="1"/>
      <c r="BH871" s="1"/>
      <c r="BI871" s="1"/>
      <c r="BJ871" s="1" t="s">
        <v>255</v>
      </c>
      <c r="BK871" s="1" t="s">
        <v>15752</v>
      </c>
      <c r="BL871" s="1" t="s">
        <v>619</v>
      </c>
      <c r="BM871" s="1" t="s">
        <v>15753</v>
      </c>
      <c r="BN871" s="1">
        <v>20</v>
      </c>
      <c r="BO871" s="1"/>
      <c r="BP871" s="1" t="str">
        <f>HYPERLINK("https://nconnect.nicmar.ac.in/storage/profile/ProfilePhoto_P25702085_675194.jpg","Download")</f>
        <v>0</v>
      </c>
      <c r="BQ871" s="3"/>
      <c r="BR871" s="3"/>
    </row>
    <row r="872" spans="1:70">
      <c r="A872" s="1" t="s">
        <v>441</v>
      </c>
      <c r="B872" s="1" t="s">
        <v>1269</v>
      </c>
      <c r="C872" s="1" t="s">
        <v>15754</v>
      </c>
      <c r="D872" s="1" t="s">
        <v>15755</v>
      </c>
      <c r="E872" s="1"/>
      <c r="F872" s="1" t="s">
        <v>7137</v>
      </c>
      <c r="G872" s="1" t="s">
        <v>15756</v>
      </c>
      <c r="H872" s="1" t="s">
        <v>15757</v>
      </c>
      <c r="I872" s="1" t="s">
        <v>15758</v>
      </c>
      <c r="J872" s="1">
        <v>6381918916</v>
      </c>
      <c r="K872" s="1" t="s">
        <v>79</v>
      </c>
      <c r="L872" s="1" t="s">
        <v>7362</v>
      </c>
      <c r="M872" s="1" t="s">
        <v>81</v>
      </c>
      <c r="N872" s="1" t="s">
        <v>15759</v>
      </c>
      <c r="O872" s="1" t="s">
        <v>15760</v>
      </c>
      <c r="P872" s="1" t="s">
        <v>1323</v>
      </c>
      <c r="Q872" s="1" t="s">
        <v>15761</v>
      </c>
      <c r="R872" s="1" t="s">
        <v>15762</v>
      </c>
      <c r="S872" s="1">
        <v>9842219755</v>
      </c>
      <c r="T872" s="1" t="s">
        <v>87</v>
      </c>
      <c r="U872" s="1" t="s">
        <v>15763</v>
      </c>
      <c r="V872" s="1">
        <v>9865919755</v>
      </c>
      <c r="W872" s="1" t="s">
        <v>89</v>
      </c>
      <c r="X872" s="1" t="s">
        <v>15764</v>
      </c>
      <c r="Y872" s="1" t="s">
        <v>2925</v>
      </c>
      <c r="Z872" s="1" t="s">
        <v>1377</v>
      </c>
      <c r="AA872" s="1" t="s">
        <v>15764</v>
      </c>
      <c r="AB872" s="1" t="s">
        <v>2925</v>
      </c>
      <c r="AC872" s="1" t="s">
        <v>1377</v>
      </c>
      <c r="AD872" s="1">
        <v>9.03</v>
      </c>
      <c r="AE872" s="1" t="s">
        <v>93</v>
      </c>
      <c r="AF872" s="1" t="s">
        <v>15765</v>
      </c>
      <c r="AG872" s="1" t="s">
        <v>12087</v>
      </c>
      <c r="AH872" s="1" t="s">
        <v>162</v>
      </c>
      <c r="AI872" s="1" t="s">
        <v>195</v>
      </c>
      <c r="AJ872" s="1">
        <v>96.6</v>
      </c>
      <c r="AK872" s="1"/>
      <c r="AL872" s="1" t="s">
        <v>15766</v>
      </c>
      <c r="AM872" s="1" t="s">
        <v>9269</v>
      </c>
      <c r="AN872" s="1" t="s">
        <v>101</v>
      </c>
      <c r="AO872" s="1" t="s">
        <v>409</v>
      </c>
      <c r="AP872" s="1">
        <v>79</v>
      </c>
      <c r="AQ872" s="1"/>
      <c r="AR872" s="1"/>
      <c r="AS872" s="1"/>
      <c r="AT872" s="1"/>
      <c r="AU872" s="1"/>
      <c r="AV872" s="1"/>
      <c r="AW872" s="1"/>
      <c r="AX872" s="1" t="s">
        <v>7665</v>
      </c>
      <c r="AY872" s="1" t="s">
        <v>15767</v>
      </c>
      <c r="AZ872" s="1" t="s">
        <v>310</v>
      </c>
      <c r="BA872" s="1" t="s">
        <v>413</v>
      </c>
      <c r="BB872" s="1">
        <v>80</v>
      </c>
      <c r="BC872" s="1">
        <v>8</v>
      </c>
      <c r="BD872" s="1"/>
      <c r="BE872" s="1"/>
      <c r="BF872" s="1"/>
      <c r="BG872" s="1"/>
      <c r="BH872" s="1"/>
      <c r="BI872" s="1"/>
      <c r="BJ872" s="1" t="s">
        <v>15768</v>
      </c>
      <c r="BK872" s="1" t="s">
        <v>15769</v>
      </c>
      <c r="BL872" s="1" t="s">
        <v>619</v>
      </c>
      <c r="BM872" s="1" t="s">
        <v>15770</v>
      </c>
      <c r="BN872" s="1">
        <v>26</v>
      </c>
      <c r="BO872" s="1" t="s">
        <v>15771</v>
      </c>
      <c r="BP872" s="1" t="str">
        <f>HYPERLINK("https://nconnect.nicmar.ac.in/storage/profile/ProfilePhoto_P25702086_972613.jpg","Download")</f>
        <v>0</v>
      </c>
      <c r="BQ872" s="3"/>
      <c r="BR872" s="3"/>
    </row>
    <row r="873" spans="1:70">
      <c r="A873" s="1" t="s">
        <v>441</v>
      </c>
      <c r="B873" s="1" t="s">
        <v>1269</v>
      </c>
      <c r="C873" s="1" t="s">
        <v>15772</v>
      </c>
      <c r="D873" s="1" t="s">
        <v>15773</v>
      </c>
      <c r="E873" s="1" t="s">
        <v>15774</v>
      </c>
      <c r="F873" s="1" t="s">
        <v>15775</v>
      </c>
      <c r="G873" s="1" t="s">
        <v>15776</v>
      </c>
      <c r="H873" s="1" t="s">
        <v>15777</v>
      </c>
      <c r="I873" s="1" t="s">
        <v>15778</v>
      </c>
      <c r="J873" s="1">
        <v>9113903085</v>
      </c>
      <c r="K873" s="1" t="s">
        <v>79</v>
      </c>
      <c r="L873" s="1" t="s">
        <v>15734</v>
      </c>
      <c r="M873" s="1" t="s">
        <v>81</v>
      </c>
      <c r="N873" s="1" t="s">
        <v>11597</v>
      </c>
      <c r="O873" s="1"/>
      <c r="P873" s="1" t="s">
        <v>1323</v>
      </c>
      <c r="Q873" s="1" t="s">
        <v>15779</v>
      </c>
      <c r="R873" s="1" t="s">
        <v>15780</v>
      </c>
      <c r="S873" s="1">
        <v>9448250479</v>
      </c>
      <c r="T873" s="1" t="s">
        <v>496</v>
      </c>
      <c r="U873" s="1" t="s">
        <v>15781</v>
      </c>
      <c r="V873" s="1">
        <v>8762585479</v>
      </c>
      <c r="W873" s="1" t="s">
        <v>273</v>
      </c>
      <c r="X873" s="1" t="s">
        <v>15782</v>
      </c>
      <c r="Y873" s="1" t="s">
        <v>13937</v>
      </c>
      <c r="Z873" s="1" t="s">
        <v>1084</v>
      </c>
      <c r="AA873" s="1" t="s">
        <v>15782</v>
      </c>
      <c r="AB873" s="1" t="s">
        <v>13937</v>
      </c>
      <c r="AC873" s="1" t="s">
        <v>1084</v>
      </c>
      <c r="AD873" s="1">
        <v>8.45</v>
      </c>
      <c r="AE873" s="1" t="s">
        <v>93</v>
      </c>
      <c r="AF873" s="1" t="s">
        <v>15783</v>
      </c>
      <c r="AG873" s="1" t="s">
        <v>15784</v>
      </c>
      <c r="AH873" s="1" t="s">
        <v>1332</v>
      </c>
      <c r="AI873" s="1" t="s">
        <v>166</v>
      </c>
      <c r="AJ873" s="1">
        <v>79.68</v>
      </c>
      <c r="AK873" s="1"/>
      <c r="AL873" s="1" t="s">
        <v>15785</v>
      </c>
      <c r="AM873" s="1" t="s">
        <v>15786</v>
      </c>
      <c r="AN873" s="1" t="s">
        <v>359</v>
      </c>
      <c r="AO873" s="1" t="s">
        <v>173</v>
      </c>
      <c r="AP873" s="1">
        <v>68.83</v>
      </c>
      <c r="AQ873" s="1"/>
      <c r="AR873" s="1"/>
      <c r="AS873" s="1"/>
      <c r="AT873" s="1"/>
      <c r="AU873" s="1"/>
      <c r="AV873" s="1"/>
      <c r="AW873" s="1"/>
      <c r="AX873" s="1" t="s">
        <v>15787</v>
      </c>
      <c r="AY873" s="1" t="s">
        <v>15788</v>
      </c>
      <c r="AZ873" s="1" t="s">
        <v>228</v>
      </c>
      <c r="BA873" s="1" t="s">
        <v>202</v>
      </c>
      <c r="BB873" s="1">
        <v>54.9</v>
      </c>
      <c r="BC873" s="1">
        <v>6.24</v>
      </c>
      <c r="BD873" s="1"/>
      <c r="BE873" s="1"/>
      <c r="BF873" s="1"/>
      <c r="BG873" s="1"/>
      <c r="BH873" s="1"/>
      <c r="BI873" s="1"/>
      <c r="BJ873" s="1" t="s">
        <v>364</v>
      </c>
      <c r="BK873" s="1" t="s">
        <v>15789</v>
      </c>
      <c r="BL873" s="1" t="s">
        <v>2910</v>
      </c>
      <c r="BM873" s="1"/>
      <c r="BN873" s="1"/>
      <c r="BO873" s="1" t="s">
        <v>15790</v>
      </c>
      <c r="BP873" s="1" t="str">
        <f>HYPERLINK("https://nconnect.nicmar.ac.in/storage/profile/ProfilePhoto_P25702089_483152.jpg","Download")</f>
        <v>0</v>
      </c>
      <c r="BQ873" s="3"/>
      <c r="BR873" s="3"/>
    </row>
    <row r="874" spans="1:70">
      <c r="A874" s="1" t="s">
        <v>441</v>
      </c>
      <c r="B874" s="1" t="s">
        <v>1269</v>
      </c>
      <c r="C874" s="1" t="s">
        <v>15791</v>
      </c>
      <c r="D874" s="1" t="s">
        <v>533</v>
      </c>
      <c r="E874" s="1" t="s">
        <v>1455</v>
      </c>
      <c r="F874" s="1" t="s">
        <v>15792</v>
      </c>
      <c r="G874" s="1" t="s">
        <v>15793</v>
      </c>
      <c r="H874" s="1" t="s">
        <v>15794</v>
      </c>
      <c r="I874" s="1" t="s">
        <v>15795</v>
      </c>
      <c r="J874" s="1">
        <v>8600638499</v>
      </c>
      <c r="K874" s="1" t="s">
        <v>79</v>
      </c>
      <c r="L874" s="1" t="s">
        <v>15796</v>
      </c>
      <c r="M874" s="1" t="s">
        <v>81</v>
      </c>
      <c r="N874" s="1" t="s">
        <v>2008</v>
      </c>
      <c r="O874" s="1" t="s">
        <v>15797</v>
      </c>
      <c r="P874" s="1" t="s">
        <v>1278</v>
      </c>
      <c r="Q874" s="1" t="s">
        <v>15798</v>
      </c>
      <c r="R874" s="1" t="s">
        <v>15799</v>
      </c>
      <c r="S874" s="1">
        <v>9922928232</v>
      </c>
      <c r="T874" s="1" t="s">
        <v>87</v>
      </c>
      <c r="U874" s="1" t="s">
        <v>15800</v>
      </c>
      <c r="V874" s="1">
        <v>9823699253</v>
      </c>
      <c r="W874" s="1" t="s">
        <v>674</v>
      </c>
      <c r="X874" s="1" t="s">
        <v>15801</v>
      </c>
      <c r="Y874" s="1" t="s">
        <v>405</v>
      </c>
      <c r="Z874" s="1" t="s">
        <v>92</v>
      </c>
      <c r="AA874" s="1" t="s">
        <v>15801</v>
      </c>
      <c r="AB874" s="1" t="s">
        <v>405</v>
      </c>
      <c r="AC874" s="1" t="s">
        <v>92</v>
      </c>
      <c r="AD874" s="1">
        <v>8.0</v>
      </c>
      <c r="AE874" s="1" t="s">
        <v>93</v>
      </c>
      <c r="AF874" s="1" t="s">
        <v>15802</v>
      </c>
      <c r="AG874" s="1" t="s">
        <v>939</v>
      </c>
      <c r="AH874" s="1" t="s">
        <v>96</v>
      </c>
      <c r="AI874" s="1" t="s">
        <v>131</v>
      </c>
      <c r="AJ874" s="1">
        <v>68.4</v>
      </c>
      <c r="AK874" s="1">
        <v>7.2</v>
      </c>
      <c r="AL874" s="1" t="s">
        <v>15803</v>
      </c>
      <c r="AM874" s="1" t="s">
        <v>160</v>
      </c>
      <c r="AN874" s="1" t="s">
        <v>134</v>
      </c>
      <c r="AO874" s="1" t="s">
        <v>165</v>
      </c>
      <c r="AP874" s="1">
        <v>52.15</v>
      </c>
      <c r="AQ874" s="1"/>
      <c r="AR874" s="1" t="s">
        <v>98</v>
      </c>
      <c r="AS874" s="1" t="s">
        <v>15804</v>
      </c>
      <c r="AT874" s="1" t="s">
        <v>165</v>
      </c>
      <c r="AU874" s="1" t="s">
        <v>5484</v>
      </c>
      <c r="AV874" s="1">
        <v>55.64</v>
      </c>
      <c r="AW874" s="1"/>
      <c r="AX874" s="1" t="s">
        <v>15805</v>
      </c>
      <c r="AY874" s="1" t="s">
        <v>15806</v>
      </c>
      <c r="AZ874" s="1" t="s">
        <v>173</v>
      </c>
      <c r="BA874" s="1" t="s">
        <v>682</v>
      </c>
      <c r="BB874" s="1">
        <v>59.2</v>
      </c>
      <c r="BC874" s="1">
        <v>6.2</v>
      </c>
      <c r="BD874" s="1"/>
      <c r="BE874" s="1"/>
      <c r="BF874" s="1"/>
      <c r="BG874" s="1"/>
      <c r="BH874" s="1"/>
      <c r="BI874" s="1"/>
      <c r="BJ874" s="1" t="s">
        <v>15807</v>
      </c>
      <c r="BK874" s="1"/>
      <c r="BL874" s="1"/>
      <c r="BM874" s="1"/>
      <c r="BN874" s="1"/>
      <c r="BO874" s="1"/>
      <c r="BP874" s="1" t="str">
        <f>HYPERLINK("https://nconnect.nicmar.ac.in/storage/profile/ProfilePhoto_P25702090_671284.jpg","Download")</f>
        <v>0</v>
      </c>
      <c r="BQ874" s="3"/>
      <c r="BR874" s="3"/>
    </row>
    <row r="875" spans="1:70">
      <c r="A875" s="1" t="s">
        <v>441</v>
      </c>
      <c r="B875" s="1" t="s">
        <v>1269</v>
      </c>
      <c r="C875" s="1" t="s">
        <v>15808</v>
      </c>
      <c r="D875" s="1" t="s">
        <v>7424</v>
      </c>
      <c r="E875" s="1" t="s">
        <v>15809</v>
      </c>
      <c r="F875" s="1" t="s">
        <v>7321</v>
      </c>
      <c r="G875" s="1" t="s">
        <v>15810</v>
      </c>
      <c r="H875" s="1" t="s">
        <v>15811</v>
      </c>
      <c r="I875" s="1" t="s">
        <v>15812</v>
      </c>
      <c r="J875" s="1">
        <v>9898221423</v>
      </c>
      <c r="K875" s="1" t="s">
        <v>79</v>
      </c>
      <c r="L875" s="1" t="s">
        <v>1703</v>
      </c>
      <c r="M875" s="1" t="s">
        <v>81</v>
      </c>
      <c r="N875" s="1" t="s">
        <v>1144</v>
      </c>
      <c r="O875" s="1"/>
      <c r="P875" s="1" t="s">
        <v>1323</v>
      </c>
      <c r="Q875" s="1" t="s">
        <v>15813</v>
      </c>
      <c r="R875" s="1" t="s">
        <v>15814</v>
      </c>
      <c r="S875" s="1">
        <v>9545703000</v>
      </c>
      <c r="T875" s="1" t="s">
        <v>496</v>
      </c>
      <c r="U875" s="1" t="s">
        <v>15815</v>
      </c>
      <c r="V875" s="1">
        <v>9028733666</v>
      </c>
      <c r="W875" s="1" t="s">
        <v>273</v>
      </c>
      <c r="X875" s="1" t="s">
        <v>15816</v>
      </c>
      <c r="Y875" s="1" t="s">
        <v>191</v>
      </c>
      <c r="Z875" s="1" t="s">
        <v>92</v>
      </c>
      <c r="AA875" s="1" t="s">
        <v>15816</v>
      </c>
      <c r="AB875" s="1" t="s">
        <v>191</v>
      </c>
      <c r="AC875" s="1" t="s">
        <v>92</v>
      </c>
      <c r="AD875" s="1">
        <v>7.32</v>
      </c>
      <c r="AE875" s="1" t="s">
        <v>93</v>
      </c>
      <c r="AF875" s="1" t="s">
        <v>15817</v>
      </c>
      <c r="AG875" s="1" t="s">
        <v>307</v>
      </c>
      <c r="AH875" s="1" t="s">
        <v>1307</v>
      </c>
      <c r="AI875" s="1" t="s">
        <v>308</v>
      </c>
      <c r="AJ875" s="1">
        <v>73.8</v>
      </c>
      <c r="AK875" s="1"/>
      <c r="AL875" s="1" t="s">
        <v>15818</v>
      </c>
      <c r="AM875" s="1" t="s">
        <v>160</v>
      </c>
      <c r="AN875" s="1" t="s">
        <v>699</v>
      </c>
      <c r="AO875" s="1" t="s">
        <v>436</v>
      </c>
      <c r="AP875" s="1">
        <v>73.83</v>
      </c>
      <c r="AQ875" s="1"/>
      <c r="AR875" s="1"/>
      <c r="AS875" s="1"/>
      <c r="AT875" s="1"/>
      <c r="AU875" s="1"/>
      <c r="AV875" s="1"/>
      <c r="AW875" s="1"/>
      <c r="AX875" s="1" t="s">
        <v>361</v>
      </c>
      <c r="AY875" s="1" t="s">
        <v>15819</v>
      </c>
      <c r="AZ875" s="1" t="s">
        <v>1051</v>
      </c>
      <c r="BA875" s="1" t="s">
        <v>202</v>
      </c>
      <c r="BB875" s="1">
        <v>68.4</v>
      </c>
      <c r="BC875" s="1">
        <v>7.6</v>
      </c>
      <c r="BD875" s="1"/>
      <c r="BE875" s="1"/>
      <c r="BF875" s="1"/>
      <c r="BG875" s="1"/>
      <c r="BH875" s="1"/>
      <c r="BI875" s="1"/>
      <c r="BJ875" s="1" t="s">
        <v>15820</v>
      </c>
      <c r="BK875" s="1"/>
      <c r="BL875" s="1"/>
      <c r="BM875" s="1" t="s">
        <v>15821</v>
      </c>
      <c r="BN875" s="1">
        <v>26</v>
      </c>
      <c r="BO875" s="1" t="s">
        <v>15822</v>
      </c>
      <c r="BP875" s="1" t="str">
        <f>HYPERLINK("https://nconnect.nicmar.ac.in/storage/profile/ProfilePhoto_P25702091_429168.jpg","Download")</f>
        <v>0</v>
      </c>
      <c r="BQ875" s="3"/>
      <c r="BR875" s="3"/>
    </row>
    <row r="876" spans="1:70">
      <c r="A876" s="1" t="s">
        <v>441</v>
      </c>
      <c r="B876" s="1" t="s">
        <v>1269</v>
      </c>
      <c r="C876" s="1" t="s">
        <v>15823</v>
      </c>
      <c r="D876" s="1" t="s">
        <v>15824</v>
      </c>
      <c r="E876" s="1"/>
      <c r="F876" s="1" t="s">
        <v>15825</v>
      </c>
      <c r="G876" s="1" t="s">
        <v>15826</v>
      </c>
      <c r="H876" s="1" t="s">
        <v>15827</v>
      </c>
      <c r="I876" s="1" t="s">
        <v>15827</v>
      </c>
      <c r="J876" s="1"/>
      <c r="K876" s="1"/>
      <c r="L876" s="1"/>
      <c r="M876" s="1"/>
      <c r="N876" s="1"/>
      <c r="O876" s="1"/>
      <c r="P876" s="1"/>
      <c r="Q876" s="1"/>
      <c r="R876" s="1"/>
      <c r="S876" s="1"/>
      <c r="T876" s="1"/>
      <c r="U876" s="1"/>
      <c r="V876" s="1"/>
      <c r="W876" s="1"/>
      <c r="X876" s="1"/>
      <c r="Y876" s="1"/>
      <c r="Z876" s="1"/>
      <c r="AA876" s="1"/>
      <c r="AB876" s="1"/>
      <c r="AC876" s="1"/>
      <c r="AD876" s="1" t="s">
        <v>93</v>
      </c>
      <c r="AE876" s="1" t="s">
        <v>93</v>
      </c>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t="s">
        <v>1037</v>
      </c>
      <c r="BQ876" s="3"/>
      <c r="BR876" s="3"/>
    </row>
    <row r="877" spans="1:70">
      <c r="A877" s="1" t="s">
        <v>441</v>
      </c>
      <c r="B877" s="1" t="s">
        <v>1269</v>
      </c>
      <c r="C877" s="1" t="s">
        <v>15828</v>
      </c>
      <c r="D877" s="1" t="s">
        <v>9036</v>
      </c>
      <c r="E877" s="1" t="s">
        <v>15829</v>
      </c>
      <c r="F877" s="1" t="s">
        <v>15830</v>
      </c>
      <c r="G877" s="1" t="s">
        <v>15831</v>
      </c>
      <c r="H877" s="1" t="s">
        <v>15832</v>
      </c>
      <c r="I877" s="1" t="s">
        <v>15833</v>
      </c>
      <c r="J877" s="1">
        <v>8625847667</v>
      </c>
      <c r="K877" s="1" t="s">
        <v>79</v>
      </c>
      <c r="L877" s="1" t="s">
        <v>15834</v>
      </c>
      <c r="M877" s="1" t="s">
        <v>81</v>
      </c>
      <c r="N877" s="1" t="s">
        <v>13844</v>
      </c>
      <c r="O877" s="1" t="s">
        <v>15835</v>
      </c>
      <c r="P877" s="1" t="s">
        <v>1298</v>
      </c>
      <c r="Q877" s="1" t="s">
        <v>15836</v>
      </c>
      <c r="R877" s="1" t="s">
        <v>15829</v>
      </c>
      <c r="S877" s="1">
        <v>9637429888</v>
      </c>
      <c r="T877" s="1" t="s">
        <v>910</v>
      </c>
      <c r="U877" s="1" t="s">
        <v>9823</v>
      </c>
      <c r="V877" s="1">
        <v>7875231148</v>
      </c>
      <c r="W877" s="1" t="s">
        <v>156</v>
      </c>
      <c r="X877" s="1" t="s">
        <v>15837</v>
      </c>
      <c r="Y877" s="1" t="s">
        <v>191</v>
      </c>
      <c r="Z877" s="1" t="s">
        <v>92</v>
      </c>
      <c r="AA877" s="1" t="s">
        <v>15837</v>
      </c>
      <c r="AB877" s="1" t="s">
        <v>191</v>
      </c>
      <c r="AC877" s="1" t="s">
        <v>92</v>
      </c>
      <c r="AD877" s="1">
        <v>8.19</v>
      </c>
      <c r="AE877" s="1" t="s">
        <v>93</v>
      </c>
      <c r="AF877" s="1" t="s">
        <v>5735</v>
      </c>
      <c r="AG877" s="1" t="s">
        <v>307</v>
      </c>
      <c r="AH877" s="1" t="s">
        <v>479</v>
      </c>
      <c r="AI877" s="1" t="s">
        <v>166</v>
      </c>
      <c r="AJ877" s="1">
        <v>68.5</v>
      </c>
      <c r="AK877" s="1"/>
      <c r="AL877" s="1" t="s">
        <v>14074</v>
      </c>
      <c r="AM877" s="1" t="s">
        <v>160</v>
      </c>
      <c r="AN877" s="1" t="s">
        <v>433</v>
      </c>
      <c r="AO877" s="1" t="s">
        <v>360</v>
      </c>
      <c r="AP877" s="1">
        <v>54.77</v>
      </c>
      <c r="AQ877" s="1"/>
      <c r="AR877" s="1"/>
      <c r="AS877" s="1"/>
      <c r="AT877" s="1"/>
      <c r="AU877" s="1"/>
      <c r="AV877" s="1"/>
      <c r="AW877" s="1"/>
      <c r="AX877" s="1" t="s">
        <v>361</v>
      </c>
      <c r="AY877" s="1" t="s">
        <v>15838</v>
      </c>
      <c r="AZ877" s="1" t="s">
        <v>412</v>
      </c>
      <c r="BA877" s="1" t="s">
        <v>413</v>
      </c>
      <c r="BB877" s="1">
        <v>63.65</v>
      </c>
      <c r="BC877" s="1">
        <v>7.48</v>
      </c>
      <c r="BD877" s="1"/>
      <c r="BE877" s="1"/>
      <c r="BF877" s="1"/>
      <c r="BG877" s="1"/>
      <c r="BH877" s="1"/>
      <c r="BI877" s="1"/>
      <c r="BJ877" s="1" t="s">
        <v>1383</v>
      </c>
      <c r="BK877" s="1"/>
      <c r="BL877" s="1"/>
      <c r="BM877" s="1" t="s">
        <v>15839</v>
      </c>
      <c r="BN877" s="1">
        <v>3</v>
      </c>
      <c r="BO877" s="1" t="s">
        <v>1715</v>
      </c>
      <c r="BP877" s="1" t="str">
        <f>HYPERLINK("https://nconnect.nicmar.ac.in/storage/profile/ProfilePhoto_P25702093_491532.jpg","Download")</f>
        <v>0</v>
      </c>
      <c r="BQ877" s="3"/>
      <c r="BR877" s="3"/>
    </row>
    <row r="878" spans="1:70">
      <c r="A878" s="1" t="s">
        <v>441</v>
      </c>
      <c r="B878" s="1" t="s">
        <v>1269</v>
      </c>
      <c r="C878" s="1" t="s">
        <v>15840</v>
      </c>
      <c r="D878" s="1" t="s">
        <v>5942</v>
      </c>
      <c r="E878" s="1" t="s">
        <v>4981</v>
      </c>
      <c r="F878" s="1" t="s">
        <v>2024</v>
      </c>
      <c r="G878" s="1" t="s">
        <v>15841</v>
      </c>
      <c r="H878" s="1" t="s">
        <v>15842</v>
      </c>
      <c r="I878" s="1" t="s">
        <v>15843</v>
      </c>
      <c r="J878" s="1">
        <v>9325137212</v>
      </c>
      <c r="K878" s="1" t="s">
        <v>79</v>
      </c>
      <c r="L878" s="1" t="s">
        <v>15844</v>
      </c>
      <c r="M878" s="1" t="s">
        <v>81</v>
      </c>
      <c r="N878" s="1" t="s">
        <v>2008</v>
      </c>
      <c r="O878" s="1"/>
      <c r="P878" s="1" t="s">
        <v>1298</v>
      </c>
      <c r="Q878" s="1" t="s">
        <v>15845</v>
      </c>
      <c r="R878" s="1" t="s">
        <v>15846</v>
      </c>
      <c r="S878" s="1">
        <v>9420453499</v>
      </c>
      <c r="T878" s="1" t="s">
        <v>154</v>
      </c>
      <c r="U878" s="1" t="s">
        <v>15847</v>
      </c>
      <c r="V878" s="1">
        <v>9325137212</v>
      </c>
      <c r="W878" s="1" t="s">
        <v>89</v>
      </c>
      <c r="X878" s="1" t="s">
        <v>15848</v>
      </c>
      <c r="Y878" s="1" t="s">
        <v>1886</v>
      </c>
      <c r="Z878" s="1" t="s">
        <v>92</v>
      </c>
      <c r="AA878" s="1" t="s">
        <v>15848</v>
      </c>
      <c r="AB878" s="1" t="s">
        <v>1886</v>
      </c>
      <c r="AC878" s="1" t="s">
        <v>92</v>
      </c>
      <c r="AD878" s="1">
        <v>7.56</v>
      </c>
      <c r="AE878" s="1" t="s">
        <v>93</v>
      </c>
      <c r="AF878" s="1" t="s">
        <v>15849</v>
      </c>
      <c r="AG878" s="1" t="s">
        <v>160</v>
      </c>
      <c r="AH878" s="1" t="s">
        <v>165</v>
      </c>
      <c r="AI878" s="1" t="s">
        <v>281</v>
      </c>
      <c r="AJ878" s="1">
        <v>68</v>
      </c>
      <c r="AK878" s="1"/>
      <c r="AL878" s="1" t="s">
        <v>15850</v>
      </c>
      <c r="AM878" s="1" t="s">
        <v>160</v>
      </c>
      <c r="AN878" s="1" t="s">
        <v>433</v>
      </c>
      <c r="AO878" s="1" t="s">
        <v>360</v>
      </c>
      <c r="AP878" s="1">
        <v>55.08</v>
      </c>
      <c r="AQ878" s="1"/>
      <c r="AR878" s="1"/>
      <c r="AS878" s="1"/>
      <c r="AT878" s="1"/>
      <c r="AU878" s="1"/>
      <c r="AV878" s="1"/>
      <c r="AW878" s="1"/>
      <c r="AX878" s="1" t="s">
        <v>15851</v>
      </c>
      <c r="AY878" s="1" t="s">
        <v>15852</v>
      </c>
      <c r="AZ878" s="1" t="s">
        <v>681</v>
      </c>
      <c r="BA878" s="1" t="s">
        <v>202</v>
      </c>
      <c r="BB878" s="1">
        <v>62.1</v>
      </c>
      <c r="BC878" s="1">
        <v>6.71</v>
      </c>
      <c r="BD878" s="1"/>
      <c r="BE878" s="1"/>
      <c r="BF878" s="1"/>
      <c r="BG878" s="1"/>
      <c r="BH878" s="1"/>
      <c r="BI878" s="1"/>
      <c r="BJ878" s="1" t="s">
        <v>15853</v>
      </c>
      <c r="BK878" s="1"/>
      <c r="BL878" s="1"/>
      <c r="BM878" s="1" t="s">
        <v>15854</v>
      </c>
      <c r="BN878" s="1">
        <v>69</v>
      </c>
      <c r="BO878" s="1" t="s">
        <v>15855</v>
      </c>
      <c r="BP878" s="1" t="str">
        <f>HYPERLINK("https://nconnect.nicmar.ac.in/storage/profile/ProfilePhoto_P25702094_982716.jpg","Download")</f>
        <v>0</v>
      </c>
      <c r="BQ878" s="3"/>
      <c r="BR878" s="3"/>
    </row>
    <row r="879" spans="1:70">
      <c r="A879" s="1" t="s">
        <v>441</v>
      </c>
      <c r="B879" s="1" t="s">
        <v>1269</v>
      </c>
      <c r="C879" s="1" t="s">
        <v>15856</v>
      </c>
      <c r="D879" s="1" t="s">
        <v>15857</v>
      </c>
      <c r="E879" s="1" t="s">
        <v>6853</v>
      </c>
      <c r="F879" s="1" t="s">
        <v>345</v>
      </c>
      <c r="G879" s="1" t="s">
        <v>15858</v>
      </c>
      <c r="H879" s="1" t="s">
        <v>15859</v>
      </c>
      <c r="I879" s="1" t="s">
        <v>15860</v>
      </c>
      <c r="J879" s="1">
        <v>9000026104</v>
      </c>
      <c r="K879" s="1" t="s">
        <v>79</v>
      </c>
      <c r="L879" s="1" t="s">
        <v>15861</v>
      </c>
      <c r="M879" s="1" t="s">
        <v>81</v>
      </c>
      <c r="N879" s="1" t="s">
        <v>8985</v>
      </c>
      <c r="O879" s="1"/>
      <c r="P879" s="1" t="s">
        <v>1766</v>
      </c>
      <c r="Q879" s="1" t="s">
        <v>15862</v>
      </c>
      <c r="R879" s="1" t="s">
        <v>15863</v>
      </c>
      <c r="S879" s="1">
        <v>9000616104</v>
      </c>
      <c r="T879" s="1" t="s">
        <v>496</v>
      </c>
      <c r="U879" s="1" t="s">
        <v>15864</v>
      </c>
      <c r="V879" s="1">
        <v>9700006104</v>
      </c>
      <c r="W879" s="1" t="s">
        <v>651</v>
      </c>
      <c r="X879" s="1" t="s">
        <v>15865</v>
      </c>
      <c r="Y879" s="1" t="s">
        <v>608</v>
      </c>
      <c r="Z879" s="1" t="s">
        <v>609</v>
      </c>
      <c r="AA879" s="1" t="s">
        <v>15865</v>
      </c>
      <c r="AB879" s="1" t="s">
        <v>608</v>
      </c>
      <c r="AC879" s="1" t="s">
        <v>609</v>
      </c>
      <c r="AD879" s="1">
        <v>8.84</v>
      </c>
      <c r="AE879" s="1" t="s">
        <v>93</v>
      </c>
      <c r="AF879" s="1" t="s">
        <v>15866</v>
      </c>
      <c r="AG879" s="1" t="s">
        <v>307</v>
      </c>
      <c r="AH879" s="1" t="s">
        <v>101</v>
      </c>
      <c r="AI879" s="1" t="s">
        <v>409</v>
      </c>
      <c r="AJ879" s="1">
        <v>90.6</v>
      </c>
      <c r="AK879" s="1"/>
      <c r="AL879" s="1" t="s">
        <v>15867</v>
      </c>
      <c r="AM879" s="1" t="s">
        <v>613</v>
      </c>
      <c r="AN879" s="1" t="s">
        <v>433</v>
      </c>
      <c r="AO879" s="1" t="s">
        <v>1712</v>
      </c>
      <c r="AP879" s="1">
        <v>93.8</v>
      </c>
      <c r="AQ879" s="1"/>
      <c r="AR879" s="1"/>
      <c r="AS879" s="1"/>
      <c r="AT879" s="1"/>
      <c r="AU879" s="1"/>
      <c r="AV879" s="1"/>
      <c r="AW879" s="1"/>
      <c r="AX879" s="1" t="s">
        <v>7665</v>
      </c>
      <c r="AY879" s="1" t="s">
        <v>15868</v>
      </c>
      <c r="AZ879" s="1" t="s">
        <v>1051</v>
      </c>
      <c r="BA879" s="1" t="s">
        <v>413</v>
      </c>
      <c r="BB879" s="1">
        <v>83.3</v>
      </c>
      <c r="BC879" s="1"/>
      <c r="BD879" s="1"/>
      <c r="BE879" s="1"/>
      <c r="BF879" s="1"/>
      <c r="BG879" s="1"/>
      <c r="BH879" s="1"/>
      <c r="BI879" s="1"/>
      <c r="BJ879" s="1" t="s">
        <v>15869</v>
      </c>
      <c r="BK879" s="1"/>
      <c r="BL879" s="1"/>
      <c r="BM879" s="1" t="s">
        <v>15870</v>
      </c>
      <c r="BN879" s="1">
        <v>42</v>
      </c>
      <c r="BO879" s="1" t="s">
        <v>15871</v>
      </c>
      <c r="BP879" s="1" t="str">
        <f>HYPERLINK("https://nconnect.nicmar.ac.in/storage/profile/ProfilePhoto_P25702095_238745.jpg","Download")</f>
        <v>0</v>
      </c>
      <c r="BQ879" s="3"/>
      <c r="BR879" s="3"/>
    </row>
    <row r="880" spans="1:70">
      <c r="A880" s="1" t="s">
        <v>441</v>
      </c>
      <c r="B880" s="1" t="s">
        <v>1269</v>
      </c>
      <c r="C880" s="1" t="s">
        <v>15872</v>
      </c>
      <c r="D880" s="1" t="s">
        <v>15873</v>
      </c>
      <c r="E880" s="1" t="s">
        <v>1632</v>
      </c>
      <c r="F880" s="1" t="s">
        <v>15874</v>
      </c>
      <c r="G880" s="1" t="s">
        <v>15875</v>
      </c>
      <c r="H880" s="1" t="s">
        <v>15876</v>
      </c>
      <c r="I880" s="1" t="s">
        <v>15877</v>
      </c>
      <c r="J880" s="1">
        <v>7248974990</v>
      </c>
      <c r="K880" s="1" t="s">
        <v>148</v>
      </c>
      <c r="L880" s="1" t="s">
        <v>5113</v>
      </c>
      <c r="M880" s="1" t="s">
        <v>81</v>
      </c>
      <c r="N880" s="1" t="s">
        <v>2008</v>
      </c>
      <c r="O880" s="1" t="s">
        <v>15878</v>
      </c>
      <c r="P880" s="1" t="s">
        <v>1298</v>
      </c>
      <c r="Q880" s="1" t="s">
        <v>15879</v>
      </c>
      <c r="R880" s="1" t="s">
        <v>15880</v>
      </c>
      <c r="S880" s="1">
        <v>9673701506</v>
      </c>
      <c r="T880" s="1" t="s">
        <v>15881</v>
      </c>
      <c r="U880" s="1" t="s">
        <v>15882</v>
      </c>
      <c r="V880" s="1">
        <v>9823789122</v>
      </c>
      <c r="W880" s="1" t="s">
        <v>651</v>
      </c>
      <c r="X880" s="1" t="s">
        <v>15883</v>
      </c>
      <c r="Y880" s="1" t="s">
        <v>405</v>
      </c>
      <c r="Z880" s="1" t="s">
        <v>92</v>
      </c>
      <c r="AA880" s="1" t="s">
        <v>15883</v>
      </c>
      <c r="AB880" s="1" t="s">
        <v>405</v>
      </c>
      <c r="AC880" s="1" t="s">
        <v>92</v>
      </c>
      <c r="AD880" s="1">
        <v>8.63</v>
      </c>
      <c r="AE880" s="1" t="s">
        <v>93</v>
      </c>
      <c r="AF880" s="1" t="s">
        <v>15884</v>
      </c>
      <c r="AG880" s="1" t="s">
        <v>15885</v>
      </c>
      <c r="AH880" s="1" t="s">
        <v>733</v>
      </c>
      <c r="AI880" s="1" t="s">
        <v>195</v>
      </c>
      <c r="AJ880" s="1">
        <v>68.3</v>
      </c>
      <c r="AK880" s="1">
        <v>0</v>
      </c>
      <c r="AL880" s="1" t="s">
        <v>15886</v>
      </c>
      <c r="AM880" s="1" t="s">
        <v>6182</v>
      </c>
      <c r="AN880" s="1" t="s">
        <v>678</v>
      </c>
      <c r="AO880" s="1" t="s">
        <v>173</v>
      </c>
      <c r="AP880" s="1">
        <v>58.6</v>
      </c>
      <c r="AQ880" s="1">
        <v>0</v>
      </c>
      <c r="AR880" s="1"/>
      <c r="AS880" s="1"/>
      <c r="AT880" s="1"/>
      <c r="AU880" s="1"/>
      <c r="AV880" s="1"/>
      <c r="AW880" s="1"/>
      <c r="AX880" s="1" t="s">
        <v>15887</v>
      </c>
      <c r="AY880" s="1" t="s">
        <v>15888</v>
      </c>
      <c r="AZ880" s="1" t="s">
        <v>681</v>
      </c>
      <c r="BA880" s="1" t="s">
        <v>1584</v>
      </c>
      <c r="BB880" s="1">
        <v>73</v>
      </c>
      <c r="BC880" s="1">
        <v>7.8</v>
      </c>
      <c r="BD880" s="1"/>
      <c r="BE880" s="1"/>
      <c r="BF880" s="1"/>
      <c r="BG880" s="1"/>
      <c r="BH880" s="1"/>
      <c r="BI880" s="1"/>
      <c r="BJ880" s="1" t="s">
        <v>15889</v>
      </c>
      <c r="BK880" s="1"/>
      <c r="BL880" s="1"/>
      <c r="BM880" s="1" t="s">
        <v>15890</v>
      </c>
      <c r="BN880" s="1">
        <v>433</v>
      </c>
      <c r="BO880" s="1" t="s">
        <v>15891</v>
      </c>
      <c r="BP880" s="1" t="str">
        <f>HYPERLINK("https://nconnect.nicmar.ac.in/storage/profile/ProfilePhoto_P25702096_761253.jpg","Download")</f>
        <v>0</v>
      </c>
      <c r="BQ880" s="3"/>
      <c r="BR880" s="3"/>
    </row>
    <row r="881" spans="1:70">
      <c r="A881" s="1" t="s">
        <v>441</v>
      </c>
      <c r="B881" s="1" t="s">
        <v>1269</v>
      </c>
      <c r="C881" s="1" t="s">
        <v>15892</v>
      </c>
      <c r="D881" s="1" t="s">
        <v>2023</v>
      </c>
      <c r="E881" s="1" t="s">
        <v>15893</v>
      </c>
      <c r="F881" s="1" t="s">
        <v>13859</v>
      </c>
      <c r="G881" s="1" t="s">
        <v>15894</v>
      </c>
      <c r="H881" s="1" t="s">
        <v>15895</v>
      </c>
      <c r="I881" s="1" t="s">
        <v>15896</v>
      </c>
      <c r="J881" s="1">
        <v>7776097575</v>
      </c>
      <c r="K881" s="1" t="s">
        <v>79</v>
      </c>
      <c r="L881" s="1" t="s">
        <v>15897</v>
      </c>
      <c r="M881" s="1" t="s">
        <v>81</v>
      </c>
      <c r="N881" s="1" t="s">
        <v>15898</v>
      </c>
      <c r="O881" s="1" t="s">
        <v>15899</v>
      </c>
      <c r="P881" s="1" t="s">
        <v>1323</v>
      </c>
      <c r="Q881" s="1" t="s">
        <v>15900</v>
      </c>
      <c r="R881" s="1" t="s">
        <v>15901</v>
      </c>
      <c r="S881" s="1">
        <v>9420762536</v>
      </c>
      <c r="T881" s="1" t="s">
        <v>93</v>
      </c>
      <c r="U881" s="1" t="s">
        <v>15902</v>
      </c>
      <c r="V881" s="1">
        <v>8010625138</v>
      </c>
      <c r="W881" s="1" t="s">
        <v>651</v>
      </c>
      <c r="X881" s="1" t="s">
        <v>15903</v>
      </c>
      <c r="Y881" s="1" t="s">
        <v>158</v>
      </c>
      <c r="Z881" s="1" t="s">
        <v>92</v>
      </c>
      <c r="AA881" s="1" t="s">
        <v>15903</v>
      </c>
      <c r="AB881" s="1" t="s">
        <v>158</v>
      </c>
      <c r="AC881" s="1" t="s">
        <v>92</v>
      </c>
      <c r="AD881" s="1">
        <v>7.95</v>
      </c>
      <c r="AE881" s="1" t="s">
        <v>93</v>
      </c>
      <c r="AF881" s="1" t="s">
        <v>15904</v>
      </c>
      <c r="AG881" s="1" t="s">
        <v>3853</v>
      </c>
      <c r="AH881" s="1" t="s">
        <v>1240</v>
      </c>
      <c r="AI881" s="1" t="s">
        <v>332</v>
      </c>
      <c r="AJ881" s="1">
        <v>90.55</v>
      </c>
      <c r="AK881" s="1"/>
      <c r="AL881" s="1" t="s">
        <v>15905</v>
      </c>
      <c r="AM881" s="1" t="s">
        <v>3853</v>
      </c>
      <c r="AN881" s="1" t="s">
        <v>128</v>
      </c>
      <c r="AO881" s="1" t="s">
        <v>129</v>
      </c>
      <c r="AP881" s="1">
        <v>59</v>
      </c>
      <c r="AQ881" s="1"/>
      <c r="AR881" s="1"/>
      <c r="AS881" s="1"/>
      <c r="AT881" s="1"/>
      <c r="AU881" s="1"/>
      <c r="AV881" s="1"/>
      <c r="AW881" s="1"/>
      <c r="AX881" s="1" t="s">
        <v>4491</v>
      </c>
      <c r="AY881" s="1" t="s">
        <v>15906</v>
      </c>
      <c r="AZ881" s="1" t="s">
        <v>998</v>
      </c>
      <c r="BA881" s="1" t="s">
        <v>2996</v>
      </c>
      <c r="BB881" s="1">
        <v>55.06</v>
      </c>
      <c r="BC881" s="1"/>
      <c r="BD881" s="1"/>
      <c r="BE881" s="1"/>
      <c r="BF881" s="1"/>
      <c r="BG881" s="1"/>
      <c r="BH881" s="1"/>
      <c r="BI881" s="1"/>
      <c r="BJ881" s="1" t="s">
        <v>364</v>
      </c>
      <c r="BK881" s="1"/>
      <c r="BL881" s="1"/>
      <c r="BM881" s="1"/>
      <c r="BN881" s="1"/>
      <c r="BO881" s="1" t="s">
        <v>15907</v>
      </c>
      <c r="BP881" s="1" t="str">
        <f>HYPERLINK("https://nconnect.nicmar.ac.in/storage/profile/ProfilePhoto_P25702097_962518.jpg","Download")</f>
        <v>0</v>
      </c>
      <c r="BQ881" s="3"/>
      <c r="BR881" s="3"/>
    </row>
    <row r="882" spans="1:70">
      <c r="A882" s="1" t="s">
        <v>441</v>
      </c>
      <c r="B882" s="1" t="s">
        <v>1269</v>
      </c>
      <c r="C882" s="1" t="s">
        <v>15908</v>
      </c>
      <c r="D882" s="1" t="s">
        <v>13088</v>
      </c>
      <c r="E882" s="1"/>
      <c r="F882" s="1" t="s">
        <v>1226</v>
      </c>
      <c r="G882" s="1" t="s">
        <v>15909</v>
      </c>
      <c r="H882" s="1" t="s">
        <v>15910</v>
      </c>
      <c r="I882" s="1" t="s">
        <v>15911</v>
      </c>
      <c r="J882" s="1">
        <v>8727800095</v>
      </c>
      <c r="K882" s="1" t="s">
        <v>79</v>
      </c>
      <c r="L882" s="1" t="s">
        <v>7083</v>
      </c>
      <c r="M882" s="1" t="s">
        <v>81</v>
      </c>
      <c r="N882" s="1" t="s">
        <v>15912</v>
      </c>
      <c r="O882" s="1"/>
      <c r="P882" s="1"/>
      <c r="Q882" s="1" t="s">
        <v>15913</v>
      </c>
      <c r="R882" s="1" t="s">
        <v>15914</v>
      </c>
      <c r="S882" s="1">
        <v>8219084282</v>
      </c>
      <c r="T882" s="1" t="s">
        <v>842</v>
      </c>
      <c r="U882" s="1" t="s">
        <v>15915</v>
      </c>
      <c r="V882" s="1">
        <v>8727800095</v>
      </c>
      <c r="W882" s="1" t="s">
        <v>122</v>
      </c>
      <c r="X882" s="1" t="s">
        <v>15916</v>
      </c>
      <c r="Y882" s="1" t="s">
        <v>15917</v>
      </c>
      <c r="Z882" s="1" t="s">
        <v>3419</v>
      </c>
      <c r="AA882" s="1" t="s">
        <v>15916</v>
      </c>
      <c r="AB882" s="1" t="s">
        <v>15917</v>
      </c>
      <c r="AC882" s="1" t="s">
        <v>3419</v>
      </c>
      <c r="AD882" s="1">
        <v>9.32</v>
      </c>
      <c r="AE882" s="1" t="s">
        <v>93</v>
      </c>
      <c r="AF882" s="1" t="s">
        <v>15918</v>
      </c>
      <c r="AG882" s="1" t="s">
        <v>307</v>
      </c>
      <c r="AH882" s="1" t="s">
        <v>457</v>
      </c>
      <c r="AI882" s="1" t="s">
        <v>308</v>
      </c>
      <c r="AJ882" s="1">
        <v>89.6</v>
      </c>
      <c r="AK882" s="1"/>
      <c r="AL882" s="1" t="s">
        <v>15918</v>
      </c>
      <c r="AM882" s="1" t="s">
        <v>307</v>
      </c>
      <c r="AN882" s="1" t="s">
        <v>360</v>
      </c>
      <c r="AO882" s="1" t="s">
        <v>506</v>
      </c>
      <c r="AP882" s="1">
        <v>95</v>
      </c>
      <c r="AQ882" s="1"/>
      <c r="AR882" s="1"/>
      <c r="AS882" s="1"/>
      <c r="AT882" s="1"/>
      <c r="AU882" s="1"/>
      <c r="AV882" s="1"/>
      <c r="AW882" s="1"/>
      <c r="AX882" s="1" t="s">
        <v>15919</v>
      </c>
      <c r="AY882" s="1" t="s">
        <v>15920</v>
      </c>
      <c r="AZ882" s="1" t="s">
        <v>1051</v>
      </c>
      <c r="BA882" s="1" t="s">
        <v>1584</v>
      </c>
      <c r="BB882" s="1">
        <v>86.4</v>
      </c>
      <c r="BC882" s="1">
        <v>8.64</v>
      </c>
      <c r="BD882" s="1"/>
      <c r="BE882" s="1"/>
      <c r="BF882" s="1"/>
      <c r="BG882" s="1"/>
      <c r="BH882" s="1"/>
      <c r="BI882" s="1"/>
      <c r="BJ882" s="1" t="s">
        <v>15921</v>
      </c>
      <c r="BK882" s="1"/>
      <c r="BL882" s="1"/>
      <c r="BM882" s="1" t="s">
        <v>15922</v>
      </c>
      <c r="BN882" s="1">
        <v>30</v>
      </c>
      <c r="BO882" s="1" t="s">
        <v>15923</v>
      </c>
      <c r="BP882" s="1" t="str">
        <f>HYPERLINK("https://nconnect.nicmar.ac.in/storage/profile/ProfilePhoto_P25702098_927635.jpg","Download")</f>
        <v>0</v>
      </c>
      <c r="BQ882" s="3"/>
      <c r="BR882" s="3"/>
    </row>
    <row r="883" spans="1:70">
      <c r="A883" s="1" t="s">
        <v>441</v>
      </c>
      <c r="B883" s="1" t="s">
        <v>1269</v>
      </c>
      <c r="C883" s="1" t="s">
        <v>15924</v>
      </c>
      <c r="D883" s="1" t="s">
        <v>15925</v>
      </c>
      <c r="E883" s="1" t="s">
        <v>392</v>
      </c>
      <c r="F883" s="1" t="s">
        <v>6907</v>
      </c>
      <c r="G883" s="1" t="s">
        <v>15926</v>
      </c>
      <c r="H883" s="1" t="s">
        <v>15927</v>
      </c>
      <c r="I883" s="1" t="s">
        <v>15928</v>
      </c>
      <c r="J883" s="1">
        <v>8888569767</v>
      </c>
      <c r="K883" s="1" t="s">
        <v>79</v>
      </c>
      <c r="L883" s="1" t="s">
        <v>15929</v>
      </c>
      <c r="M883" s="1" t="s">
        <v>81</v>
      </c>
      <c r="N883" s="1" t="s">
        <v>3075</v>
      </c>
      <c r="O883" s="1" t="s">
        <v>15930</v>
      </c>
      <c r="P883" s="1" t="s">
        <v>1298</v>
      </c>
      <c r="Q883" s="1" t="s">
        <v>15931</v>
      </c>
      <c r="R883" s="1" t="s">
        <v>15932</v>
      </c>
      <c r="S883" s="1">
        <v>9422232781</v>
      </c>
      <c r="T883" s="1" t="s">
        <v>15933</v>
      </c>
      <c r="U883" s="1" t="s">
        <v>15934</v>
      </c>
      <c r="V883" s="1">
        <v>9422737392</v>
      </c>
      <c r="W883" s="1" t="s">
        <v>15935</v>
      </c>
      <c r="X883" s="1" t="s">
        <v>15936</v>
      </c>
      <c r="Y883" s="1" t="s">
        <v>191</v>
      </c>
      <c r="Z883" s="1" t="s">
        <v>92</v>
      </c>
      <c r="AA883" s="1" t="s">
        <v>15936</v>
      </c>
      <c r="AB883" s="1" t="s">
        <v>191</v>
      </c>
      <c r="AC883" s="1" t="s">
        <v>92</v>
      </c>
      <c r="AD883" s="1" t="s">
        <v>93</v>
      </c>
      <c r="AE883" s="1" t="s">
        <v>93</v>
      </c>
      <c r="AF883" s="1" t="s">
        <v>15937</v>
      </c>
      <c r="AG883" s="1" t="s">
        <v>15938</v>
      </c>
      <c r="AH883" s="1" t="s">
        <v>161</v>
      </c>
      <c r="AI883" s="1" t="s">
        <v>456</v>
      </c>
      <c r="AJ883" s="1">
        <v>58.2</v>
      </c>
      <c r="AK883" s="1">
        <v>0</v>
      </c>
      <c r="AL883" s="1" t="s">
        <v>15939</v>
      </c>
      <c r="AM883" s="1" t="s">
        <v>15940</v>
      </c>
      <c r="AN883" s="1" t="s">
        <v>169</v>
      </c>
      <c r="AO883" s="1" t="s">
        <v>198</v>
      </c>
      <c r="AP883" s="1">
        <v>57.08</v>
      </c>
      <c r="AQ883" s="1">
        <v>0</v>
      </c>
      <c r="AR883" s="1" t="s">
        <v>11325</v>
      </c>
      <c r="AS883" s="1" t="s">
        <v>15941</v>
      </c>
      <c r="AT883" s="1" t="s">
        <v>409</v>
      </c>
      <c r="AU883" s="1" t="s">
        <v>1712</v>
      </c>
      <c r="AV883" s="1">
        <v>73.32</v>
      </c>
      <c r="AW883" s="1">
        <v>0</v>
      </c>
      <c r="AX883" s="1" t="s">
        <v>361</v>
      </c>
      <c r="AY883" s="1" t="s">
        <v>15942</v>
      </c>
      <c r="AZ883" s="1" t="s">
        <v>436</v>
      </c>
      <c r="BA883" s="1" t="s">
        <v>8398</v>
      </c>
      <c r="BB883" s="1">
        <v>59.96</v>
      </c>
      <c r="BC883" s="1">
        <v>6.64</v>
      </c>
      <c r="BD883" s="1"/>
      <c r="BE883" s="1"/>
      <c r="BF883" s="1"/>
      <c r="BG883" s="1"/>
      <c r="BH883" s="1"/>
      <c r="BI883" s="1"/>
      <c r="BJ883" s="1" t="s">
        <v>1383</v>
      </c>
      <c r="BK883" s="1"/>
      <c r="BL883" s="1"/>
      <c r="BM883" s="1" t="s">
        <v>15943</v>
      </c>
      <c r="BN883" s="1">
        <v>2</v>
      </c>
      <c r="BO883" s="1"/>
      <c r="BP883" s="1" t="str">
        <f>HYPERLINK("https://nconnect.nicmar.ac.in/storage/profile/ProfilePhoto_P25702099_245678.jpg","Download")</f>
        <v>0</v>
      </c>
      <c r="BQ883" s="3"/>
      <c r="BR883" s="3"/>
    </row>
    <row r="884" spans="1:70">
      <c r="A884" s="1" t="s">
        <v>441</v>
      </c>
      <c r="B884" s="1" t="s">
        <v>1269</v>
      </c>
      <c r="C884" s="1" t="s">
        <v>15944</v>
      </c>
      <c r="D884" s="1" t="s">
        <v>12704</v>
      </c>
      <c r="E884" s="1" t="s">
        <v>15945</v>
      </c>
      <c r="F884" s="1" t="s">
        <v>7440</v>
      </c>
      <c r="G884" s="1" t="s">
        <v>15946</v>
      </c>
      <c r="H884" s="1" t="s">
        <v>15947</v>
      </c>
      <c r="I884" s="1" t="s">
        <v>15948</v>
      </c>
      <c r="J884" s="1">
        <v>8421641749</v>
      </c>
      <c r="K884" s="1" t="s">
        <v>148</v>
      </c>
      <c r="L884" s="1" t="s">
        <v>15949</v>
      </c>
      <c r="M884" s="1" t="s">
        <v>81</v>
      </c>
      <c r="N884" s="1" t="s">
        <v>7292</v>
      </c>
      <c r="O884" s="1" t="s">
        <v>15950</v>
      </c>
      <c r="P884" s="1" t="s">
        <v>1323</v>
      </c>
      <c r="Q884" s="1" t="s">
        <v>15951</v>
      </c>
      <c r="R884" s="1" t="s">
        <v>15952</v>
      </c>
      <c r="S884" s="1">
        <v>9423204032</v>
      </c>
      <c r="T884" s="1" t="s">
        <v>15953</v>
      </c>
      <c r="U884" s="1" t="s">
        <v>4132</v>
      </c>
      <c r="V884" s="1">
        <v>9422979261</v>
      </c>
      <c r="W884" s="1" t="s">
        <v>15953</v>
      </c>
      <c r="X884" s="1" t="s">
        <v>15954</v>
      </c>
      <c r="Y884" s="1" t="s">
        <v>304</v>
      </c>
      <c r="Z884" s="1" t="s">
        <v>92</v>
      </c>
      <c r="AA884" s="1" t="s">
        <v>15954</v>
      </c>
      <c r="AB884" s="1" t="s">
        <v>304</v>
      </c>
      <c r="AC884" s="1" t="s">
        <v>92</v>
      </c>
      <c r="AD884" s="1">
        <v>8.69</v>
      </c>
      <c r="AE884" s="1" t="s">
        <v>93</v>
      </c>
      <c r="AF884" s="1" t="s">
        <v>15955</v>
      </c>
      <c r="AG884" s="1" t="s">
        <v>3853</v>
      </c>
      <c r="AH884" s="1" t="s">
        <v>161</v>
      </c>
      <c r="AI884" s="1" t="s">
        <v>162</v>
      </c>
      <c r="AJ884" s="1">
        <v>91.2</v>
      </c>
      <c r="AK884" s="1"/>
      <c r="AL884" s="1" t="s">
        <v>15956</v>
      </c>
      <c r="AM884" s="1" t="s">
        <v>3853</v>
      </c>
      <c r="AN884" s="1" t="s">
        <v>165</v>
      </c>
      <c r="AO884" s="1" t="s">
        <v>166</v>
      </c>
      <c r="AP884" s="1">
        <v>68.92</v>
      </c>
      <c r="AQ884" s="1"/>
      <c r="AR884" s="1"/>
      <c r="AS884" s="1"/>
      <c r="AT884" s="1"/>
      <c r="AU884" s="1"/>
      <c r="AV884" s="1"/>
      <c r="AW884" s="1"/>
      <c r="AX884" s="1" t="s">
        <v>3065</v>
      </c>
      <c r="AY884" s="1" t="s">
        <v>15957</v>
      </c>
      <c r="AZ884" s="1" t="s">
        <v>310</v>
      </c>
      <c r="BA884" s="1" t="s">
        <v>174</v>
      </c>
      <c r="BB884" s="1">
        <v>81.6</v>
      </c>
      <c r="BC884" s="1">
        <v>8.91</v>
      </c>
      <c r="BD884" s="1"/>
      <c r="BE884" s="1"/>
      <c r="BF884" s="1"/>
      <c r="BG884" s="1"/>
      <c r="BH884" s="1"/>
      <c r="BI884" s="1"/>
      <c r="BJ884" s="1" t="s">
        <v>15958</v>
      </c>
      <c r="BK884" s="1"/>
      <c r="BL884" s="1"/>
      <c r="BM884" s="1" t="s">
        <v>15959</v>
      </c>
      <c r="BN884" s="1">
        <v>62</v>
      </c>
      <c r="BO884" s="1" t="s">
        <v>15960</v>
      </c>
      <c r="BP884" s="1" t="str">
        <f>HYPERLINK("https://nconnect.nicmar.ac.in/storage/profile/ProfilePhoto_P25702101_631897.jpg","Download")</f>
        <v>0</v>
      </c>
      <c r="BQ884" s="3"/>
      <c r="BR884" s="3"/>
    </row>
    <row r="885" spans="1:70">
      <c r="A885" s="1" t="s">
        <v>441</v>
      </c>
      <c r="B885" s="1" t="s">
        <v>1269</v>
      </c>
      <c r="C885" s="1" t="s">
        <v>15961</v>
      </c>
      <c r="D885" s="1" t="s">
        <v>15962</v>
      </c>
      <c r="E885" s="1" t="s">
        <v>2483</v>
      </c>
      <c r="F885" s="1" t="s">
        <v>8472</v>
      </c>
      <c r="G885" s="1" t="s">
        <v>15963</v>
      </c>
      <c r="H885" s="1" t="s">
        <v>15964</v>
      </c>
      <c r="I885" s="1" t="s">
        <v>15965</v>
      </c>
      <c r="J885" s="1">
        <v>8779643880</v>
      </c>
      <c r="K885" s="1" t="s">
        <v>79</v>
      </c>
      <c r="L885" s="1" t="s">
        <v>15966</v>
      </c>
      <c r="M885" s="1" t="s">
        <v>81</v>
      </c>
      <c r="N885" s="1" t="s">
        <v>15967</v>
      </c>
      <c r="O885" s="1"/>
      <c r="P885" s="1" t="s">
        <v>1298</v>
      </c>
      <c r="Q885" s="1" t="s">
        <v>15968</v>
      </c>
      <c r="R885" s="1" t="s">
        <v>15969</v>
      </c>
      <c r="S885" s="1">
        <v>9820835616</v>
      </c>
      <c r="T885" s="1" t="s">
        <v>842</v>
      </c>
      <c r="U885" s="1" t="s">
        <v>15970</v>
      </c>
      <c r="V885" s="1">
        <v>9702057199</v>
      </c>
      <c r="W885" s="1" t="s">
        <v>156</v>
      </c>
      <c r="X885" s="1" t="s">
        <v>15971</v>
      </c>
      <c r="Y885" s="1"/>
      <c r="Z885" s="1" t="s">
        <v>92</v>
      </c>
      <c r="AA885" s="1" t="s">
        <v>15971</v>
      </c>
      <c r="AB885" s="1"/>
      <c r="AC885" s="1" t="s">
        <v>92</v>
      </c>
      <c r="AD885" s="1">
        <v>9.0</v>
      </c>
      <c r="AE885" s="1" t="s">
        <v>93</v>
      </c>
      <c r="AF885" s="1" t="s">
        <v>15972</v>
      </c>
      <c r="AG885" s="1" t="s">
        <v>15973</v>
      </c>
      <c r="AH885" s="1" t="s">
        <v>3912</v>
      </c>
      <c r="AI885" s="1" t="s">
        <v>165</v>
      </c>
      <c r="AJ885" s="1">
        <v>93.4</v>
      </c>
      <c r="AK885" s="1"/>
      <c r="AL885" s="1" t="s">
        <v>15974</v>
      </c>
      <c r="AM885" s="1" t="s">
        <v>15975</v>
      </c>
      <c r="AN885" s="1" t="s">
        <v>383</v>
      </c>
      <c r="AO885" s="1" t="s">
        <v>433</v>
      </c>
      <c r="AP885" s="1">
        <v>75.08</v>
      </c>
      <c r="AQ885" s="1"/>
      <c r="AR885" s="1"/>
      <c r="AS885" s="1"/>
      <c r="AT885" s="1"/>
      <c r="AU885" s="1"/>
      <c r="AV885" s="1"/>
      <c r="AW885" s="1"/>
      <c r="AX885" s="1" t="s">
        <v>1024</v>
      </c>
      <c r="AY885" s="1" t="s">
        <v>15976</v>
      </c>
      <c r="AZ885" s="1" t="s">
        <v>201</v>
      </c>
      <c r="BA885" s="1" t="s">
        <v>413</v>
      </c>
      <c r="BB885" s="1">
        <v>69.57</v>
      </c>
      <c r="BC885" s="1">
        <v>7.78</v>
      </c>
      <c r="BD885" s="1"/>
      <c r="BE885" s="1"/>
      <c r="BF885" s="1"/>
      <c r="BG885" s="1"/>
      <c r="BH885" s="1"/>
      <c r="BI885" s="1"/>
      <c r="BJ885" s="1" t="s">
        <v>15977</v>
      </c>
      <c r="BK885" s="1" t="s">
        <v>15978</v>
      </c>
      <c r="BL885" s="1" t="s">
        <v>1919</v>
      </c>
      <c r="BM885" s="1" t="s">
        <v>15979</v>
      </c>
      <c r="BN885" s="1">
        <v>8</v>
      </c>
      <c r="BO885" s="1" t="s">
        <v>15980</v>
      </c>
      <c r="BP885" s="1" t="str">
        <f>HYPERLINK("https://nconnect.nicmar.ac.in/storage/profile/ProfilePhoto_P25702102_857932.jpg","Download")</f>
        <v>0</v>
      </c>
      <c r="BQ885" s="3"/>
      <c r="BR885" s="3"/>
    </row>
    <row r="886" spans="1:70">
      <c r="A886" s="1" t="s">
        <v>441</v>
      </c>
      <c r="B886" s="1" t="s">
        <v>1269</v>
      </c>
      <c r="C886" s="1" t="s">
        <v>15981</v>
      </c>
      <c r="D886" s="1" t="s">
        <v>15982</v>
      </c>
      <c r="E886" s="1" t="s">
        <v>5092</v>
      </c>
      <c r="F886" s="1" t="s">
        <v>369</v>
      </c>
      <c r="G886" s="1" t="s">
        <v>15983</v>
      </c>
      <c r="H886" s="1" t="s">
        <v>15984</v>
      </c>
      <c r="I886" s="1" t="s">
        <v>15985</v>
      </c>
      <c r="J886" s="1">
        <v>8999404755</v>
      </c>
      <c r="K886" s="1" t="s">
        <v>79</v>
      </c>
      <c r="L886" s="1" t="s">
        <v>15986</v>
      </c>
      <c r="M886" s="1" t="s">
        <v>81</v>
      </c>
      <c r="N886" s="1" t="s">
        <v>15987</v>
      </c>
      <c r="O886" s="1" t="s">
        <v>15988</v>
      </c>
      <c r="P886" s="1" t="s">
        <v>1323</v>
      </c>
      <c r="Q886" s="1" t="s">
        <v>15989</v>
      </c>
      <c r="R886" s="1" t="s">
        <v>15990</v>
      </c>
      <c r="S886" s="1">
        <v>9423045614</v>
      </c>
      <c r="T886" s="1" t="s">
        <v>674</v>
      </c>
      <c r="U886" s="1" t="s">
        <v>15991</v>
      </c>
      <c r="V886" s="1">
        <v>7588934727</v>
      </c>
      <c r="W886" s="1" t="s">
        <v>674</v>
      </c>
      <c r="X886" s="1" t="s">
        <v>15992</v>
      </c>
      <c r="Y886" s="1" t="s">
        <v>3474</v>
      </c>
      <c r="Z886" s="1" t="s">
        <v>92</v>
      </c>
      <c r="AA886" s="1" t="s">
        <v>15992</v>
      </c>
      <c r="AB886" s="1" t="s">
        <v>3474</v>
      </c>
      <c r="AC886" s="1" t="s">
        <v>92</v>
      </c>
      <c r="AD886" s="1">
        <v>9.47</v>
      </c>
      <c r="AE886" s="1" t="s">
        <v>93</v>
      </c>
      <c r="AF886" s="1" t="s">
        <v>15993</v>
      </c>
      <c r="AG886" s="1" t="s">
        <v>15994</v>
      </c>
      <c r="AH886" s="1" t="s">
        <v>96</v>
      </c>
      <c r="AI886" s="1" t="s">
        <v>173</v>
      </c>
      <c r="AJ886" s="1">
        <v>87.6</v>
      </c>
      <c r="AK886" s="1"/>
      <c r="AL886" s="1" t="s">
        <v>15995</v>
      </c>
      <c r="AM886" s="1" t="s">
        <v>15996</v>
      </c>
      <c r="AN886" s="1" t="s">
        <v>920</v>
      </c>
      <c r="AO886" s="1" t="s">
        <v>2687</v>
      </c>
      <c r="AP886" s="1">
        <v>82.17</v>
      </c>
      <c r="AQ886" s="1"/>
      <c r="AR886" s="1"/>
      <c r="AS886" s="1"/>
      <c r="AT886" s="1"/>
      <c r="AU886" s="1"/>
      <c r="AV886" s="1"/>
      <c r="AW886" s="1"/>
      <c r="AX886" s="1" t="s">
        <v>15997</v>
      </c>
      <c r="AY886" s="1" t="s">
        <v>15998</v>
      </c>
      <c r="AZ886" s="1" t="s">
        <v>481</v>
      </c>
      <c r="BA886" s="1" t="s">
        <v>9301</v>
      </c>
      <c r="BB886" s="1">
        <v>71.76</v>
      </c>
      <c r="BC886" s="1">
        <v>3.11</v>
      </c>
      <c r="BD886" s="1"/>
      <c r="BE886" s="1"/>
      <c r="BF886" s="1"/>
      <c r="BG886" s="1"/>
      <c r="BH886" s="1"/>
      <c r="BI886" s="1"/>
      <c r="BJ886" s="1" t="s">
        <v>15999</v>
      </c>
      <c r="BK886" s="1"/>
      <c r="BL886" s="1"/>
      <c r="BM886" s="1" t="s">
        <v>16000</v>
      </c>
      <c r="BN886" s="1">
        <v>16</v>
      </c>
      <c r="BO886" s="1" t="s">
        <v>16001</v>
      </c>
      <c r="BP886" s="1" t="str">
        <f>HYPERLINK("https://nconnect.nicmar.ac.in/storage/profile/ProfilePhoto_P25702103_359467.jpg","Download")</f>
        <v>0</v>
      </c>
      <c r="BQ886" s="3"/>
      <c r="BR886" s="3"/>
    </row>
    <row r="887" spans="1:70">
      <c r="A887" s="1" t="s">
        <v>441</v>
      </c>
      <c r="B887" s="1" t="s">
        <v>1269</v>
      </c>
      <c r="C887" s="1" t="s">
        <v>16002</v>
      </c>
      <c r="D887" s="1" t="s">
        <v>16003</v>
      </c>
      <c r="E887" s="1" t="s">
        <v>4497</v>
      </c>
      <c r="F887" s="1" t="s">
        <v>16004</v>
      </c>
      <c r="G887" s="1" t="s">
        <v>16005</v>
      </c>
      <c r="H887" s="1" t="s">
        <v>16006</v>
      </c>
      <c r="I887" s="1" t="s">
        <v>16007</v>
      </c>
      <c r="J887" s="1">
        <v>8762107107</v>
      </c>
      <c r="K887" s="1" t="s">
        <v>79</v>
      </c>
      <c r="L887" s="1" t="s">
        <v>16008</v>
      </c>
      <c r="M887" s="1" t="s">
        <v>81</v>
      </c>
      <c r="N887" s="1" t="s">
        <v>8903</v>
      </c>
      <c r="O887" s="1" t="s">
        <v>16009</v>
      </c>
      <c r="P887" s="1" t="s">
        <v>1298</v>
      </c>
      <c r="Q887" s="1" t="s">
        <v>16010</v>
      </c>
      <c r="R887" s="1" t="s">
        <v>4497</v>
      </c>
      <c r="S887" s="1">
        <v>9448236222</v>
      </c>
      <c r="T887" s="1" t="s">
        <v>16011</v>
      </c>
      <c r="U887" s="1" t="s">
        <v>353</v>
      </c>
      <c r="V887" s="1">
        <v>9480234555</v>
      </c>
      <c r="W887" s="1" t="s">
        <v>16011</v>
      </c>
      <c r="X887" s="1" t="s">
        <v>16012</v>
      </c>
      <c r="Y887" s="1" t="s">
        <v>191</v>
      </c>
      <c r="Z887" s="1" t="s">
        <v>92</v>
      </c>
      <c r="AA887" s="1" t="s">
        <v>16013</v>
      </c>
      <c r="AB887" s="1" t="s">
        <v>4508</v>
      </c>
      <c r="AC887" s="1" t="s">
        <v>1084</v>
      </c>
      <c r="AD887" s="1">
        <v>8.98</v>
      </c>
      <c r="AE887" s="1" t="s">
        <v>93</v>
      </c>
      <c r="AF887" s="1" t="s">
        <v>16014</v>
      </c>
      <c r="AG887" s="1" t="s">
        <v>16015</v>
      </c>
      <c r="AH887" s="1" t="s">
        <v>162</v>
      </c>
      <c r="AI887" s="1" t="s">
        <v>165</v>
      </c>
      <c r="AJ887" s="1">
        <v>81.7</v>
      </c>
      <c r="AK887" s="1">
        <v>8.6</v>
      </c>
      <c r="AL887" s="1" t="s">
        <v>16016</v>
      </c>
      <c r="AM887" s="1" t="s">
        <v>16017</v>
      </c>
      <c r="AN887" s="1" t="s">
        <v>636</v>
      </c>
      <c r="AO887" s="1" t="s">
        <v>201</v>
      </c>
      <c r="AP887" s="1">
        <v>59.66</v>
      </c>
      <c r="AQ887" s="1">
        <v>0</v>
      </c>
      <c r="AR887" s="1"/>
      <c r="AS887" s="1"/>
      <c r="AT887" s="1"/>
      <c r="AU887" s="1"/>
      <c r="AV887" s="1"/>
      <c r="AW887" s="1"/>
      <c r="AX887" s="1" t="s">
        <v>7354</v>
      </c>
      <c r="AY887" s="1" t="s">
        <v>16018</v>
      </c>
      <c r="AZ887" s="1" t="s">
        <v>201</v>
      </c>
      <c r="BA887" s="1" t="s">
        <v>1134</v>
      </c>
      <c r="BB887" s="1">
        <v>64.17</v>
      </c>
      <c r="BC887" s="1">
        <v>7.22</v>
      </c>
      <c r="BD887" s="1"/>
      <c r="BE887" s="1"/>
      <c r="BF887" s="1"/>
      <c r="BG887" s="1"/>
      <c r="BH887" s="1"/>
      <c r="BI887" s="1"/>
      <c r="BJ887" s="1" t="s">
        <v>16019</v>
      </c>
      <c r="BK887" s="1"/>
      <c r="BL887" s="1"/>
      <c r="BM887" s="1" t="s">
        <v>16020</v>
      </c>
      <c r="BN887" s="1">
        <v>12</v>
      </c>
      <c r="BO887" s="1" t="s">
        <v>15111</v>
      </c>
      <c r="BP887" s="1" t="str">
        <f>HYPERLINK("https://nconnect.nicmar.ac.in/storage/profile/ProfilePhoto_P25702104_392471.jpg","Download")</f>
        <v>0</v>
      </c>
      <c r="BQ887" s="3"/>
      <c r="BR887" s="3"/>
    </row>
    <row r="888" spans="1:70">
      <c r="A888" s="1" t="s">
        <v>441</v>
      </c>
      <c r="B888" s="1" t="s">
        <v>1269</v>
      </c>
      <c r="C888" s="1" t="s">
        <v>16021</v>
      </c>
      <c r="D888" s="1" t="s">
        <v>16022</v>
      </c>
      <c r="E888" s="1" t="s">
        <v>3858</v>
      </c>
      <c r="F888" s="1" t="s">
        <v>236</v>
      </c>
      <c r="G888" s="1" t="s">
        <v>16023</v>
      </c>
      <c r="H888" s="1" t="s">
        <v>16024</v>
      </c>
      <c r="I888" s="1" t="s">
        <v>16025</v>
      </c>
      <c r="J888" s="1">
        <v>7517474923</v>
      </c>
      <c r="K888" s="1" t="s">
        <v>148</v>
      </c>
      <c r="L888" s="1" t="s">
        <v>7477</v>
      </c>
      <c r="M888" s="1" t="s">
        <v>81</v>
      </c>
      <c r="N888" s="1" t="s">
        <v>1418</v>
      </c>
      <c r="O888" s="1"/>
      <c r="P888" s="1" t="s">
        <v>1462</v>
      </c>
      <c r="Q888" s="1" t="s">
        <v>16026</v>
      </c>
      <c r="R888" s="1" t="s">
        <v>16027</v>
      </c>
      <c r="S888" s="1">
        <v>9822947954</v>
      </c>
      <c r="T888" s="1" t="s">
        <v>1554</v>
      </c>
      <c r="U888" s="1" t="s">
        <v>16028</v>
      </c>
      <c r="V888" s="1">
        <v>8308888401</v>
      </c>
      <c r="W888" s="1" t="s">
        <v>763</v>
      </c>
      <c r="X888" s="1" t="s">
        <v>16029</v>
      </c>
      <c r="Y888" s="1" t="s">
        <v>246</v>
      </c>
      <c r="Z888" s="1" t="s">
        <v>92</v>
      </c>
      <c r="AA888" s="1" t="s">
        <v>16029</v>
      </c>
      <c r="AB888" s="1" t="s">
        <v>246</v>
      </c>
      <c r="AC888" s="1" t="s">
        <v>92</v>
      </c>
      <c r="AD888" s="1">
        <v>7.55</v>
      </c>
      <c r="AE888" s="1" t="s">
        <v>93</v>
      </c>
      <c r="AF888" s="1" t="s">
        <v>16030</v>
      </c>
      <c r="AG888" s="1" t="s">
        <v>16031</v>
      </c>
      <c r="AH888" s="1" t="s">
        <v>1065</v>
      </c>
      <c r="AI888" s="1" t="s">
        <v>308</v>
      </c>
      <c r="AJ888" s="1">
        <v>59.6</v>
      </c>
      <c r="AK888" s="1"/>
      <c r="AL888" s="1"/>
      <c r="AM888" s="1"/>
      <c r="AN888" s="1"/>
      <c r="AO888" s="1"/>
      <c r="AP888" s="1"/>
      <c r="AQ888" s="1"/>
      <c r="AR888" s="1" t="s">
        <v>98</v>
      </c>
      <c r="AS888" s="1" t="s">
        <v>16032</v>
      </c>
      <c r="AT888" s="1" t="s">
        <v>201</v>
      </c>
      <c r="AU888" s="1" t="s">
        <v>284</v>
      </c>
      <c r="AV888" s="1">
        <v>82.11</v>
      </c>
      <c r="AW888" s="1"/>
      <c r="AX888" s="1" t="s">
        <v>361</v>
      </c>
      <c r="AY888" s="1" t="s">
        <v>16033</v>
      </c>
      <c r="AZ888" s="1" t="s">
        <v>2690</v>
      </c>
      <c r="BA888" s="1" t="s">
        <v>1584</v>
      </c>
      <c r="BB888" s="1">
        <v>66.12</v>
      </c>
      <c r="BC888" s="1">
        <v>7.43</v>
      </c>
      <c r="BD888" s="1"/>
      <c r="BE888" s="1"/>
      <c r="BF888" s="1"/>
      <c r="BG888" s="1"/>
      <c r="BH888" s="1"/>
      <c r="BI888" s="1"/>
      <c r="BJ888" s="1" t="s">
        <v>16034</v>
      </c>
      <c r="BK888" s="1"/>
      <c r="BL888" s="1"/>
      <c r="BM888" s="1" t="s">
        <v>16035</v>
      </c>
      <c r="BN888" s="1">
        <v>4</v>
      </c>
      <c r="BO888" s="1"/>
      <c r="BP888" s="1" t="str">
        <f>HYPERLINK("https://nconnect.nicmar.ac.in/storage/profile/ProfilePhoto_P25702105_781956.jpg","Download")</f>
        <v>0</v>
      </c>
      <c r="BQ888" s="3"/>
      <c r="BR888" s="3"/>
    </row>
    <row r="889" spans="1:70">
      <c r="A889" s="1" t="s">
        <v>441</v>
      </c>
      <c r="B889" s="1" t="s">
        <v>1269</v>
      </c>
      <c r="C889" s="1" t="s">
        <v>16036</v>
      </c>
      <c r="D889" s="1" t="s">
        <v>16037</v>
      </c>
      <c r="E889" s="1" t="s">
        <v>443</v>
      </c>
      <c r="F889" s="1" t="s">
        <v>6874</v>
      </c>
      <c r="G889" s="1" t="s">
        <v>16038</v>
      </c>
      <c r="H889" s="1" t="s">
        <v>16039</v>
      </c>
      <c r="I889" s="1" t="s">
        <v>16040</v>
      </c>
      <c r="J889" s="1">
        <v>7770075006</v>
      </c>
      <c r="K889" s="1" t="s">
        <v>79</v>
      </c>
      <c r="L889" s="1" t="s">
        <v>10828</v>
      </c>
      <c r="M889" s="1" t="s">
        <v>81</v>
      </c>
      <c r="N889" s="1" t="s">
        <v>469</v>
      </c>
      <c r="O889" s="1"/>
      <c r="P889" s="1" t="s">
        <v>1298</v>
      </c>
      <c r="Q889" s="1" t="s">
        <v>16041</v>
      </c>
      <c r="R889" s="1" t="s">
        <v>16042</v>
      </c>
      <c r="S889" s="1">
        <v>9921475333</v>
      </c>
      <c r="T889" s="1" t="s">
        <v>16043</v>
      </c>
      <c r="U889" s="1" t="s">
        <v>16044</v>
      </c>
      <c r="V889" s="1">
        <v>7558438811</v>
      </c>
      <c r="W889" s="1" t="s">
        <v>16043</v>
      </c>
      <c r="X889" s="1" t="s">
        <v>16045</v>
      </c>
      <c r="Y889" s="1" t="s">
        <v>191</v>
      </c>
      <c r="Z889" s="1" t="s">
        <v>92</v>
      </c>
      <c r="AA889" s="1" t="s">
        <v>16046</v>
      </c>
      <c r="AB889" s="1" t="s">
        <v>158</v>
      </c>
      <c r="AC889" s="1" t="s">
        <v>92</v>
      </c>
      <c r="AD889" s="1">
        <v>7.56</v>
      </c>
      <c r="AE889" s="1" t="s">
        <v>93</v>
      </c>
      <c r="AF889" s="1" t="s">
        <v>16047</v>
      </c>
      <c r="AG889" s="1" t="s">
        <v>16048</v>
      </c>
      <c r="AH889" s="1" t="s">
        <v>162</v>
      </c>
      <c r="AI889" s="1" t="s">
        <v>281</v>
      </c>
      <c r="AJ889" s="1">
        <v>56.8</v>
      </c>
      <c r="AK889" s="1"/>
      <c r="AL889" s="1"/>
      <c r="AM889" s="1"/>
      <c r="AN889" s="1"/>
      <c r="AO889" s="1"/>
      <c r="AP889" s="1"/>
      <c r="AQ889" s="1"/>
      <c r="AR889" s="1" t="s">
        <v>434</v>
      </c>
      <c r="AS889" s="1" t="s">
        <v>16049</v>
      </c>
      <c r="AT889" s="1" t="s">
        <v>636</v>
      </c>
      <c r="AU889" s="1" t="s">
        <v>436</v>
      </c>
      <c r="AV889" s="1">
        <v>86.26</v>
      </c>
      <c r="AW889" s="1"/>
      <c r="AX889" s="1" t="s">
        <v>361</v>
      </c>
      <c r="AY889" s="1" t="s">
        <v>16050</v>
      </c>
      <c r="AZ889" s="1" t="s">
        <v>5467</v>
      </c>
      <c r="BA889" s="1" t="s">
        <v>1714</v>
      </c>
      <c r="BB889" s="1">
        <v>72.5</v>
      </c>
      <c r="BC889" s="1">
        <v>8.02</v>
      </c>
      <c r="BD889" s="1"/>
      <c r="BE889" s="1"/>
      <c r="BF889" s="1"/>
      <c r="BG889" s="1"/>
      <c r="BH889" s="1"/>
      <c r="BI889" s="1"/>
      <c r="BJ889" s="1" t="s">
        <v>255</v>
      </c>
      <c r="BK889" s="1"/>
      <c r="BL889" s="1"/>
      <c r="BM889" s="1"/>
      <c r="BN889" s="1"/>
      <c r="BO889" s="1"/>
      <c r="BP889" s="1" t="str">
        <f>HYPERLINK("https://nconnect.nicmar.ac.in/storage/profile/ProfilePhoto_P25702106_365247.jpg","Download")</f>
        <v>0</v>
      </c>
      <c r="BQ889" s="3"/>
      <c r="BR889" s="3"/>
    </row>
    <row r="890" spans="1:70">
      <c r="A890" s="1" t="s">
        <v>441</v>
      </c>
      <c r="B890" s="1" t="s">
        <v>1269</v>
      </c>
      <c r="C890" s="1" t="s">
        <v>16051</v>
      </c>
      <c r="D890" s="1" t="s">
        <v>834</v>
      </c>
      <c r="E890" s="1" t="s">
        <v>6294</v>
      </c>
      <c r="F890" s="1" t="s">
        <v>2024</v>
      </c>
      <c r="G890" s="1" t="s">
        <v>16052</v>
      </c>
      <c r="H890" s="1" t="s">
        <v>16053</v>
      </c>
      <c r="I890" s="1" t="s">
        <v>16054</v>
      </c>
      <c r="J890" s="1">
        <v>9975344294</v>
      </c>
      <c r="K890" s="1" t="s">
        <v>148</v>
      </c>
      <c r="L890" s="1" t="s">
        <v>16055</v>
      </c>
      <c r="M890" s="1" t="s">
        <v>81</v>
      </c>
      <c r="N890" s="1" t="s">
        <v>13482</v>
      </c>
      <c r="O890" s="1"/>
      <c r="P890" s="1" t="s">
        <v>1298</v>
      </c>
      <c r="Q890" s="1" t="s">
        <v>16056</v>
      </c>
      <c r="R890" s="1" t="s">
        <v>16057</v>
      </c>
      <c r="S890" s="1">
        <v>9890402716</v>
      </c>
      <c r="T890" s="1" t="s">
        <v>8533</v>
      </c>
      <c r="U890" s="1" t="s">
        <v>16058</v>
      </c>
      <c r="V890" s="1">
        <v>8329575850</v>
      </c>
      <c r="W890" s="1" t="s">
        <v>156</v>
      </c>
      <c r="X890" s="1" t="s">
        <v>16059</v>
      </c>
      <c r="Y890" s="1" t="s">
        <v>304</v>
      </c>
      <c r="Z890" s="1" t="s">
        <v>92</v>
      </c>
      <c r="AA890" s="1" t="s">
        <v>16059</v>
      </c>
      <c r="AB890" s="1" t="s">
        <v>304</v>
      </c>
      <c r="AC890" s="1" t="s">
        <v>92</v>
      </c>
      <c r="AD890" s="1">
        <v>7.48</v>
      </c>
      <c r="AE890" s="1" t="s">
        <v>93</v>
      </c>
      <c r="AF890" s="1" t="s">
        <v>16060</v>
      </c>
      <c r="AG890" s="1" t="s">
        <v>16061</v>
      </c>
      <c r="AH890" s="1" t="s">
        <v>101</v>
      </c>
      <c r="AI890" s="1" t="s">
        <v>433</v>
      </c>
      <c r="AJ890" s="1">
        <v>84.2</v>
      </c>
      <c r="AK890" s="1">
        <v>0</v>
      </c>
      <c r="AL890" s="1"/>
      <c r="AM890" s="1"/>
      <c r="AN890" s="1"/>
      <c r="AO890" s="1"/>
      <c r="AP890" s="1"/>
      <c r="AQ890" s="1"/>
      <c r="AR890" s="1" t="s">
        <v>98</v>
      </c>
      <c r="AS890" s="1" t="s">
        <v>16062</v>
      </c>
      <c r="AT890" s="1" t="s">
        <v>201</v>
      </c>
      <c r="AU890" s="1" t="s">
        <v>284</v>
      </c>
      <c r="AV890" s="1">
        <v>77</v>
      </c>
      <c r="AW890" s="1">
        <v>0</v>
      </c>
      <c r="AX890" s="1" t="s">
        <v>361</v>
      </c>
      <c r="AY890" s="1" t="s">
        <v>16063</v>
      </c>
      <c r="AZ890" s="1" t="s">
        <v>2690</v>
      </c>
      <c r="BA890" s="1" t="s">
        <v>1714</v>
      </c>
      <c r="BB890" s="1">
        <v>66.39</v>
      </c>
      <c r="BC890" s="1">
        <v>7.46</v>
      </c>
      <c r="BD890" s="1"/>
      <c r="BE890" s="1"/>
      <c r="BF890" s="1"/>
      <c r="BG890" s="1"/>
      <c r="BH890" s="1"/>
      <c r="BI890" s="1"/>
      <c r="BJ890" s="1" t="s">
        <v>364</v>
      </c>
      <c r="BK890" s="1"/>
      <c r="BL890" s="1"/>
      <c r="BM890" s="1" t="s">
        <v>16064</v>
      </c>
      <c r="BN890" s="1">
        <v>17</v>
      </c>
      <c r="BO890" s="1"/>
      <c r="BP890" s="1" t="str">
        <f>HYPERLINK("https://nconnect.nicmar.ac.in/storage/profile/ProfilePhoto_P25702108_273491.jpg","Download")</f>
        <v>0</v>
      </c>
      <c r="BQ890" s="3"/>
      <c r="BR890" s="3"/>
    </row>
    <row r="891" spans="1:70">
      <c r="A891" s="1" t="s">
        <v>441</v>
      </c>
      <c r="B891" s="1" t="s">
        <v>1269</v>
      </c>
      <c r="C891" s="1" t="s">
        <v>16065</v>
      </c>
      <c r="D891" s="1" t="s">
        <v>16066</v>
      </c>
      <c r="E891" s="1"/>
      <c r="F891" s="1" t="s">
        <v>950</v>
      </c>
      <c r="G891" s="1" t="s">
        <v>16067</v>
      </c>
      <c r="H891" s="1" t="s">
        <v>16068</v>
      </c>
      <c r="I891" s="1" t="s">
        <v>16069</v>
      </c>
      <c r="J891" s="1">
        <v>6261957387</v>
      </c>
      <c r="K891" s="1" t="s">
        <v>79</v>
      </c>
      <c r="L891" s="1" t="s">
        <v>6772</v>
      </c>
      <c r="M891" s="1" t="s">
        <v>81</v>
      </c>
      <c r="N891" s="1" t="s">
        <v>11898</v>
      </c>
      <c r="O891" s="1"/>
      <c r="P891" s="1" t="s">
        <v>1323</v>
      </c>
      <c r="Q891" s="1" t="s">
        <v>16070</v>
      </c>
      <c r="R891" s="1" t="s">
        <v>16071</v>
      </c>
      <c r="S891" s="1">
        <v>8966000863</v>
      </c>
      <c r="T891" s="1" t="s">
        <v>16072</v>
      </c>
      <c r="U891" s="1" t="s">
        <v>16073</v>
      </c>
      <c r="V891" s="1">
        <v>6261957387</v>
      </c>
      <c r="W891" s="1" t="s">
        <v>273</v>
      </c>
      <c r="X891" s="1" t="s">
        <v>16074</v>
      </c>
      <c r="Y891" s="1" t="s">
        <v>191</v>
      </c>
      <c r="Z891" s="1" t="s">
        <v>92</v>
      </c>
      <c r="AA891" s="1" t="s">
        <v>16075</v>
      </c>
      <c r="AB891" s="1" t="s">
        <v>12229</v>
      </c>
      <c r="AC891" s="1" t="s">
        <v>1237</v>
      </c>
      <c r="AD891" s="1">
        <v>7.82</v>
      </c>
      <c r="AE891" s="1" t="s">
        <v>93</v>
      </c>
      <c r="AF891" s="1" t="s">
        <v>16076</v>
      </c>
      <c r="AG891" s="1" t="s">
        <v>16077</v>
      </c>
      <c r="AH891" s="1" t="s">
        <v>479</v>
      </c>
      <c r="AI891" s="1" t="s">
        <v>166</v>
      </c>
      <c r="AJ891" s="1">
        <v>68</v>
      </c>
      <c r="AK891" s="1"/>
      <c r="AL891" s="1" t="s">
        <v>16078</v>
      </c>
      <c r="AM891" s="1" t="s">
        <v>16079</v>
      </c>
      <c r="AN891" s="1" t="s">
        <v>3663</v>
      </c>
      <c r="AO891" s="1" t="s">
        <v>2461</v>
      </c>
      <c r="AP891" s="1">
        <v>55</v>
      </c>
      <c r="AQ891" s="1"/>
      <c r="AR891" s="1"/>
      <c r="AS891" s="1"/>
      <c r="AT891" s="1"/>
      <c r="AU891" s="1"/>
      <c r="AV891" s="1"/>
      <c r="AW891" s="1"/>
      <c r="AX891" s="1" t="s">
        <v>16080</v>
      </c>
      <c r="AY891" s="1" t="s">
        <v>16081</v>
      </c>
      <c r="AZ891" s="1" t="s">
        <v>170</v>
      </c>
      <c r="BA891" s="1" t="s">
        <v>1977</v>
      </c>
      <c r="BB891" s="1">
        <v>69.82</v>
      </c>
      <c r="BC891" s="1">
        <v>7.49</v>
      </c>
      <c r="BD891" s="1"/>
      <c r="BE891" s="1"/>
      <c r="BF891" s="1"/>
      <c r="BG891" s="1"/>
      <c r="BH891" s="1"/>
      <c r="BI891" s="1"/>
      <c r="BJ891" s="1" t="s">
        <v>16082</v>
      </c>
      <c r="BK891" s="1"/>
      <c r="BL891" s="1"/>
      <c r="BM891" s="1" t="s">
        <v>16083</v>
      </c>
      <c r="BN891" s="1">
        <v>8</v>
      </c>
      <c r="BO891" s="1" t="s">
        <v>16084</v>
      </c>
      <c r="BP891" s="1" t="str">
        <f>HYPERLINK("https://nconnect.nicmar.ac.in/storage/profile/ProfilePhoto_P25702109_526438.jpg","Download")</f>
        <v>0</v>
      </c>
      <c r="BQ891" s="3"/>
      <c r="BR891" s="3"/>
    </row>
    <row r="892" spans="1:70">
      <c r="A892" s="1" t="s">
        <v>441</v>
      </c>
      <c r="B892" s="1" t="s">
        <v>1269</v>
      </c>
      <c r="C892" s="1" t="s">
        <v>16085</v>
      </c>
      <c r="D892" s="1" t="s">
        <v>7424</v>
      </c>
      <c r="E892" s="1" t="s">
        <v>16086</v>
      </c>
      <c r="F892" s="1" t="s">
        <v>7321</v>
      </c>
      <c r="G892" s="1" t="s">
        <v>16087</v>
      </c>
      <c r="H892" s="1" t="s">
        <v>16088</v>
      </c>
      <c r="I892" s="1" t="s">
        <v>16089</v>
      </c>
      <c r="J892" s="1">
        <v>9607704166</v>
      </c>
      <c r="K892" s="1" t="s">
        <v>79</v>
      </c>
      <c r="L892" s="1" t="s">
        <v>8795</v>
      </c>
      <c r="M892" s="1" t="s">
        <v>81</v>
      </c>
      <c r="N892" s="1" t="s">
        <v>16090</v>
      </c>
      <c r="O892" s="1"/>
      <c r="P892" s="1" t="s">
        <v>1278</v>
      </c>
      <c r="Q892" s="1" t="s">
        <v>16091</v>
      </c>
      <c r="R892" s="1" t="s">
        <v>16092</v>
      </c>
      <c r="S892" s="1">
        <v>7020572363</v>
      </c>
      <c r="T892" s="1" t="s">
        <v>496</v>
      </c>
      <c r="U892" s="1" t="s">
        <v>16093</v>
      </c>
      <c r="V892" s="1">
        <v>8600159908</v>
      </c>
      <c r="W892" s="1" t="s">
        <v>156</v>
      </c>
      <c r="X892" s="1" t="s">
        <v>16094</v>
      </c>
      <c r="Y892" s="1" t="s">
        <v>191</v>
      </c>
      <c r="Z892" s="1" t="s">
        <v>92</v>
      </c>
      <c r="AA892" s="1" t="s">
        <v>16094</v>
      </c>
      <c r="AB892" s="1" t="s">
        <v>191</v>
      </c>
      <c r="AC892" s="1" t="s">
        <v>92</v>
      </c>
      <c r="AD892" s="1" t="s">
        <v>93</v>
      </c>
      <c r="AE892" s="1" t="s">
        <v>93</v>
      </c>
      <c r="AF892" s="1" t="s">
        <v>16095</v>
      </c>
      <c r="AG892" s="1" t="s">
        <v>16096</v>
      </c>
      <c r="AH892" s="1" t="s">
        <v>165</v>
      </c>
      <c r="AI892" s="1" t="s">
        <v>166</v>
      </c>
      <c r="AJ892" s="1">
        <v>65.2</v>
      </c>
      <c r="AK892" s="1"/>
      <c r="AL892" s="1" t="s">
        <v>15455</v>
      </c>
      <c r="AM892" s="1" t="s">
        <v>16097</v>
      </c>
      <c r="AN892" s="1" t="s">
        <v>433</v>
      </c>
      <c r="AO892" s="1" t="s">
        <v>412</v>
      </c>
      <c r="AP892" s="1">
        <v>76.62</v>
      </c>
      <c r="AQ892" s="1"/>
      <c r="AR892" s="1"/>
      <c r="AS892" s="1"/>
      <c r="AT892" s="1"/>
      <c r="AU892" s="1"/>
      <c r="AV892" s="1"/>
      <c r="AW892" s="1"/>
      <c r="AX892" s="1" t="s">
        <v>361</v>
      </c>
      <c r="AY892" s="1" t="s">
        <v>16098</v>
      </c>
      <c r="AZ892" s="1" t="s">
        <v>681</v>
      </c>
      <c r="BA892" s="1" t="s">
        <v>174</v>
      </c>
      <c r="BB892" s="1">
        <v>77.36</v>
      </c>
      <c r="BC892" s="1">
        <v>8.79</v>
      </c>
      <c r="BD892" s="1"/>
      <c r="BE892" s="1"/>
      <c r="BF892" s="1"/>
      <c r="BG892" s="1"/>
      <c r="BH892" s="1"/>
      <c r="BI892" s="1"/>
      <c r="BJ892" s="1" t="s">
        <v>4102</v>
      </c>
      <c r="BK892" s="1"/>
      <c r="BL892" s="1"/>
      <c r="BM892" s="1"/>
      <c r="BN892" s="1"/>
      <c r="BO892" s="1"/>
      <c r="BP892" s="1" t="str">
        <f>HYPERLINK("https://nconnect.nicmar.ac.in/storage/profile/ProfilePhoto_P25702110_367925.jpg","Download")</f>
        <v>0</v>
      </c>
      <c r="BQ892" s="3"/>
      <c r="BR892" s="3"/>
    </row>
    <row r="893" spans="1:70">
      <c r="A893" s="1" t="s">
        <v>441</v>
      </c>
      <c r="B893" s="1" t="s">
        <v>1269</v>
      </c>
      <c r="C893" s="1" t="s">
        <v>16099</v>
      </c>
      <c r="D893" s="1" t="s">
        <v>12202</v>
      </c>
      <c r="E893" s="1"/>
      <c r="F893" s="1" t="s">
        <v>16100</v>
      </c>
      <c r="G893" s="1" t="s">
        <v>16101</v>
      </c>
      <c r="H893" s="1" t="s">
        <v>16102</v>
      </c>
      <c r="I893" s="1" t="s">
        <v>16103</v>
      </c>
      <c r="J893" s="1">
        <v>8839030791</v>
      </c>
      <c r="K893" s="1" t="s">
        <v>79</v>
      </c>
      <c r="L893" s="1" t="s">
        <v>16104</v>
      </c>
      <c r="M893" s="1" t="s">
        <v>81</v>
      </c>
      <c r="N893" s="1" t="s">
        <v>2008</v>
      </c>
      <c r="O893" s="1" t="s">
        <v>16105</v>
      </c>
      <c r="P893" s="1" t="s">
        <v>1278</v>
      </c>
      <c r="Q893" s="1" t="s">
        <v>16106</v>
      </c>
      <c r="R893" s="1" t="s">
        <v>16107</v>
      </c>
      <c r="S893" s="1">
        <v>8120004624</v>
      </c>
      <c r="T893" s="1" t="s">
        <v>16108</v>
      </c>
      <c r="U893" s="1" t="s">
        <v>16109</v>
      </c>
      <c r="V893" s="1">
        <v>9406022079</v>
      </c>
      <c r="W893" s="1" t="s">
        <v>3190</v>
      </c>
      <c r="X893" s="1" t="s">
        <v>16110</v>
      </c>
      <c r="Y893" s="1" t="s">
        <v>6065</v>
      </c>
      <c r="Z893" s="1" t="s">
        <v>1237</v>
      </c>
      <c r="AA893" s="1" t="s">
        <v>16110</v>
      </c>
      <c r="AB893" s="1" t="s">
        <v>6065</v>
      </c>
      <c r="AC893" s="1" t="s">
        <v>1237</v>
      </c>
      <c r="AD893" s="1">
        <v>9.53</v>
      </c>
      <c r="AE893" s="1" t="s">
        <v>93</v>
      </c>
      <c r="AF893" s="1" t="s">
        <v>16111</v>
      </c>
      <c r="AG893" s="1" t="s">
        <v>10120</v>
      </c>
      <c r="AH893" s="1" t="s">
        <v>678</v>
      </c>
      <c r="AI893" s="1" t="s">
        <v>166</v>
      </c>
      <c r="AJ893" s="1">
        <v>85.2</v>
      </c>
      <c r="AK893" s="1">
        <v>0</v>
      </c>
      <c r="AL893" s="1" t="s">
        <v>16111</v>
      </c>
      <c r="AM893" s="1" t="s">
        <v>10120</v>
      </c>
      <c r="AN893" s="1" t="s">
        <v>1065</v>
      </c>
      <c r="AO893" s="1" t="s">
        <v>173</v>
      </c>
      <c r="AP893" s="1">
        <v>93.2</v>
      </c>
      <c r="AQ893" s="1">
        <v>0</v>
      </c>
      <c r="AR893" s="1"/>
      <c r="AS893" s="1"/>
      <c r="AT893" s="1"/>
      <c r="AU893" s="1"/>
      <c r="AV893" s="1"/>
      <c r="AW893" s="1"/>
      <c r="AX893" s="1" t="s">
        <v>361</v>
      </c>
      <c r="AY893" s="1" t="s">
        <v>16112</v>
      </c>
      <c r="AZ893" s="1" t="s">
        <v>681</v>
      </c>
      <c r="BA893" s="1" t="s">
        <v>1714</v>
      </c>
      <c r="BB893" s="1">
        <v>67.37</v>
      </c>
      <c r="BC893" s="1">
        <v>7.57</v>
      </c>
      <c r="BD893" s="1"/>
      <c r="BE893" s="1"/>
      <c r="BF893" s="1"/>
      <c r="BG893" s="1"/>
      <c r="BH893" s="1"/>
      <c r="BI893" s="1"/>
      <c r="BJ893" s="1" t="s">
        <v>16113</v>
      </c>
      <c r="BK893" s="1"/>
      <c r="BL893" s="1"/>
      <c r="BM893" s="1" t="s">
        <v>16114</v>
      </c>
      <c r="BN893" s="1">
        <v>26</v>
      </c>
      <c r="BO893" s="1"/>
      <c r="BP893" s="1" t="str">
        <f>HYPERLINK("https://nconnect.nicmar.ac.in/storage/profile/ProfilePhoto_P25702111_231964.jpg","Download")</f>
        <v>0</v>
      </c>
      <c r="BQ893" s="3"/>
      <c r="BR893" s="3"/>
    </row>
    <row r="894" spans="1:70">
      <c r="A894" s="1" t="s">
        <v>441</v>
      </c>
      <c r="B894" s="1" t="s">
        <v>1269</v>
      </c>
      <c r="C894" s="1" t="s">
        <v>16115</v>
      </c>
      <c r="D894" s="1" t="s">
        <v>16116</v>
      </c>
      <c r="E894" s="1"/>
      <c r="F894" s="1" t="s">
        <v>16117</v>
      </c>
      <c r="G894" s="1" t="s">
        <v>16118</v>
      </c>
      <c r="H894" s="1" t="s">
        <v>16119</v>
      </c>
      <c r="I894" s="1" t="s">
        <v>16119</v>
      </c>
      <c r="J894" s="1">
        <v>7057577135</v>
      </c>
      <c r="K894" s="1" t="s">
        <v>148</v>
      </c>
      <c r="L894" s="1" t="s">
        <v>373</v>
      </c>
      <c r="M894" s="1" t="s">
        <v>81</v>
      </c>
      <c r="N894" s="1" t="s">
        <v>2008</v>
      </c>
      <c r="O894" s="1"/>
      <c r="P894" s="1" t="s">
        <v>1278</v>
      </c>
      <c r="Q894" s="1" t="s">
        <v>16120</v>
      </c>
      <c r="R894" s="1" t="s">
        <v>16121</v>
      </c>
      <c r="S894" s="1">
        <v>9049235887</v>
      </c>
      <c r="T894" s="1" t="s">
        <v>863</v>
      </c>
      <c r="U894" s="1" t="s">
        <v>16122</v>
      </c>
      <c r="V894" s="1">
        <v>9604932811</v>
      </c>
      <c r="W894" s="1" t="s">
        <v>651</v>
      </c>
      <c r="X894" s="1" t="s">
        <v>16123</v>
      </c>
      <c r="Y894" s="1" t="s">
        <v>191</v>
      </c>
      <c r="Z894" s="1" t="s">
        <v>92</v>
      </c>
      <c r="AA894" s="1" t="s">
        <v>16124</v>
      </c>
      <c r="AB894" s="1" t="s">
        <v>405</v>
      </c>
      <c r="AC894" s="1" t="s">
        <v>92</v>
      </c>
      <c r="AD894" s="1">
        <v>8.13</v>
      </c>
      <c r="AE894" s="1" t="s">
        <v>93</v>
      </c>
      <c r="AF894" s="1" t="s">
        <v>16125</v>
      </c>
      <c r="AG894" s="1" t="s">
        <v>160</v>
      </c>
      <c r="AH894" s="1" t="s">
        <v>161</v>
      </c>
      <c r="AI894" s="1" t="s">
        <v>456</v>
      </c>
      <c r="AJ894" s="1">
        <v>91.4</v>
      </c>
      <c r="AK894" s="1"/>
      <c r="AL894" s="1" t="s">
        <v>16126</v>
      </c>
      <c r="AM894" s="1" t="s">
        <v>160</v>
      </c>
      <c r="AN894" s="1" t="s">
        <v>162</v>
      </c>
      <c r="AO894" s="1" t="s">
        <v>457</v>
      </c>
      <c r="AP894" s="1">
        <v>72.77</v>
      </c>
      <c r="AQ894" s="1"/>
      <c r="AR894" s="1"/>
      <c r="AS894" s="1"/>
      <c r="AT894" s="1"/>
      <c r="AU894" s="1"/>
      <c r="AV894" s="1"/>
      <c r="AW894" s="1"/>
      <c r="AX894" s="1" t="s">
        <v>1852</v>
      </c>
      <c r="AY894" s="1" t="s">
        <v>11173</v>
      </c>
      <c r="AZ894" s="1" t="s">
        <v>169</v>
      </c>
      <c r="BA894" s="1" t="s">
        <v>1714</v>
      </c>
      <c r="BB894" s="1">
        <v>60.5</v>
      </c>
      <c r="BC894" s="1">
        <v>6.8</v>
      </c>
      <c r="BD894" s="1"/>
      <c r="BE894" s="1"/>
      <c r="BF894" s="1"/>
      <c r="BG894" s="1"/>
      <c r="BH894" s="1"/>
      <c r="BI894" s="1"/>
      <c r="BJ894" s="1" t="s">
        <v>16127</v>
      </c>
      <c r="BK894" s="1"/>
      <c r="BL894" s="1"/>
      <c r="BM894" s="1" t="s">
        <v>16128</v>
      </c>
      <c r="BN894" s="1">
        <v>42</v>
      </c>
      <c r="BO894" s="1" t="s">
        <v>16129</v>
      </c>
      <c r="BP894" s="1" t="str">
        <f>HYPERLINK("https://nconnect.nicmar.ac.in/storage/profile/ProfilePhoto_P25702113_891347.jpg","Download")</f>
        <v>0</v>
      </c>
      <c r="BQ894" s="3"/>
      <c r="BR894" s="3"/>
    </row>
    <row r="895" spans="1:70">
      <c r="A895" s="1" t="s">
        <v>441</v>
      </c>
      <c r="B895" s="1" t="s">
        <v>1269</v>
      </c>
      <c r="C895" s="1" t="s">
        <v>16130</v>
      </c>
      <c r="D895" s="1" t="s">
        <v>834</v>
      </c>
      <c r="E895" s="1"/>
      <c r="F895" s="1" t="s">
        <v>16131</v>
      </c>
      <c r="G895" s="1" t="s">
        <v>16132</v>
      </c>
      <c r="H895" s="1" t="s">
        <v>16133</v>
      </c>
      <c r="I895" s="1" t="s">
        <v>16134</v>
      </c>
      <c r="J895" s="1">
        <v>7073096373</v>
      </c>
      <c r="K895" s="1" t="s">
        <v>148</v>
      </c>
      <c r="L895" s="1" t="s">
        <v>16135</v>
      </c>
      <c r="M895" s="1" t="s">
        <v>81</v>
      </c>
      <c r="N895" s="1" t="s">
        <v>350</v>
      </c>
      <c r="O895" s="1"/>
      <c r="P895" s="1" t="s">
        <v>1298</v>
      </c>
      <c r="Q895" s="1" t="s">
        <v>16136</v>
      </c>
      <c r="R895" s="1" t="s">
        <v>16137</v>
      </c>
      <c r="S895" s="1">
        <v>8101515687</v>
      </c>
      <c r="T895" s="1" t="s">
        <v>842</v>
      </c>
      <c r="U895" s="1" t="s">
        <v>16138</v>
      </c>
      <c r="V895" s="1">
        <v>9933444303</v>
      </c>
      <c r="W895" s="1" t="s">
        <v>156</v>
      </c>
      <c r="X895" s="1" t="s">
        <v>16139</v>
      </c>
      <c r="Y895" s="1" t="s">
        <v>16140</v>
      </c>
      <c r="Z895" s="1" t="s">
        <v>783</v>
      </c>
      <c r="AA895" s="1" t="s">
        <v>16139</v>
      </c>
      <c r="AB895" s="1" t="s">
        <v>16140</v>
      </c>
      <c r="AC895" s="1" t="s">
        <v>783</v>
      </c>
      <c r="AD895" s="1">
        <v>8.5</v>
      </c>
      <c r="AE895" s="1" t="s">
        <v>93</v>
      </c>
      <c r="AF895" s="1" t="s">
        <v>16141</v>
      </c>
      <c r="AG895" s="1" t="s">
        <v>16142</v>
      </c>
      <c r="AH895" s="1" t="s">
        <v>477</v>
      </c>
      <c r="AI895" s="1" t="s">
        <v>527</v>
      </c>
      <c r="AJ895" s="1">
        <v>87.4</v>
      </c>
      <c r="AK895" s="1"/>
      <c r="AL895" s="1" t="s">
        <v>16143</v>
      </c>
      <c r="AM895" s="1" t="s">
        <v>11027</v>
      </c>
      <c r="AN895" s="1" t="s">
        <v>279</v>
      </c>
      <c r="AO895" s="1" t="s">
        <v>166</v>
      </c>
      <c r="AP895" s="1">
        <v>61.2</v>
      </c>
      <c r="AQ895" s="1">
        <v>6.44</v>
      </c>
      <c r="AR895" s="1"/>
      <c r="AS895" s="1"/>
      <c r="AT895" s="1"/>
      <c r="AU895" s="1"/>
      <c r="AV895" s="1"/>
      <c r="AW895" s="1"/>
      <c r="AX895" s="1" t="s">
        <v>16144</v>
      </c>
      <c r="AY895" s="1" t="s">
        <v>16145</v>
      </c>
      <c r="AZ895" s="1" t="s">
        <v>636</v>
      </c>
      <c r="BA895" s="1" t="s">
        <v>10140</v>
      </c>
      <c r="BB895" s="1">
        <v>69.5</v>
      </c>
      <c r="BC895" s="1">
        <v>7.45</v>
      </c>
      <c r="BD895" s="1"/>
      <c r="BE895" s="1"/>
      <c r="BF895" s="1"/>
      <c r="BG895" s="1"/>
      <c r="BH895" s="1"/>
      <c r="BI895" s="1"/>
      <c r="BJ895" s="1" t="s">
        <v>16146</v>
      </c>
      <c r="BK895" s="1" t="s">
        <v>16147</v>
      </c>
      <c r="BL895" s="1" t="s">
        <v>1028</v>
      </c>
      <c r="BM895" s="1" t="s">
        <v>16148</v>
      </c>
      <c r="BN895" s="1">
        <v>16</v>
      </c>
      <c r="BO895" s="1"/>
      <c r="BP895" s="1" t="str">
        <f>HYPERLINK("https://nconnect.nicmar.ac.in/storage/profile/ProfilePhoto_P25702114_395268.jpg","Download")</f>
        <v>0</v>
      </c>
      <c r="BQ895" s="3"/>
      <c r="BR895" s="3"/>
    </row>
    <row r="896" spans="1:70">
      <c r="A896" s="1" t="s">
        <v>441</v>
      </c>
      <c r="B896" s="1" t="s">
        <v>1269</v>
      </c>
      <c r="C896" s="1" t="s">
        <v>16149</v>
      </c>
      <c r="D896" s="1" t="s">
        <v>16150</v>
      </c>
      <c r="E896" s="1"/>
      <c r="F896" s="1" t="s">
        <v>16151</v>
      </c>
      <c r="G896" s="1" t="s">
        <v>16152</v>
      </c>
      <c r="H896" s="1" t="s">
        <v>16153</v>
      </c>
      <c r="I896" s="1" t="s">
        <v>16154</v>
      </c>
      <c r="J896" s="1">
        <v>7899368440</v>
      </c>
      <c r="K896" s="1" t="s">
        <v>79</v>
      </c>
      <c r="L896" s="1" t="s">
        <v>16155</v>
      </c>
      <c r="M896" s="1" t="s">
        <v>81</v>
      </c>
      <c r="N896" s="1" t="s">
        <v>5240</v>
      </c>
      <c r="O896" s="1"/>
      <c r="P896" s="1" t="s">
        <v>1278</v>
      </c>
      <c r="Q896" s="1" t="s">
        <v>16156</v>
      </c>
      <c r="R896" s="1" t="s">
        <v>16157</v>
      </c>
      <c r="S896" s="1">
        <v>8904003701</v>
      </c>
      <c r="T896" s="1" t="s">
        <v>271</v>
      </c>
      <c r="U896" s="1" t="s">
        <v>16158</v>
      </c>
      <c r="V896" s="1">
        <v>9148084701</v>
      </c>
      <c r="W896" s="1" t="s">
        <v>271</v>
      </c>
      <c r="X896" s="1" t="s">
        <v>16159</v>
      </c>
      <c r="Y896" s="1" t="s">
        <v>1083</v>
      </c>
      <c r="Z896" s="1" t="s">
        <v>1084</v>
      </c>
      <c r="AA896" s="1" t="s">
        <v>16159</v>
      </c>
      <c r="AB896" s="1" t="s">
        <v>1083</v>
      </c>
      <c r="AC896" s="1" t="s">
        <v>1084</v>
      </c>
      <c r="AD896" s="1">
        <v>8.11</v>
      </c>
      <c r="AE896" s="1" t="s">
        <v>93</v>
      </c>
      <c r="AF896" s="1" t="s">
        <v>16160</v>
      </c>
      <c r="AG896" s="1" t="s">
        <v>16161</v>
      </c>
      <c r="AH896" s="1" t="s">
        <v>337</v>
      </c>
      <c r="AI896" s="1" t="s">
        <v>279</v>
      </c>
      <c r="AJ896" s="1">
        <v>87.4</v>
      </c>
      <c r="AK896" s="1">
        <v>9.2</v>
      </c>
      <c r="AL896" s="1" t="s">
        <v>16162</v>
      </c>
      <c r="AM896" s="1" t="s">
        <v>16163</v>
      </c>
      <c r="AN896" s="1" t="s">
        <v>225</v>
      </c>
      <c r="AO896" s="1" t="s">
        <v>169</v>
      </c>
      <c r="AP896" s="1">
        <v>62</v>
      </c>
      <c r="AQ896" s="1"/>
      <c r="AR896" s="1"/>
      <c r="AS896" s="1"/>
      <c r="AT896" s="1"/>
      <c r="AU896" s="1"/>
      <c r="AV896" s="1"/>
      <c r="AW896" s="1"/>
      <c r="AX896" s="1" t="s">
        <v>3425</v>
      </c>
      <c r="AY896" s="1" t="s">
        <v>16164</v>
      </c>
      <c r="AZ896" s="1" t="s">
        <v>636</v>
      </c>
      <c r="BA896" s="1" t="s">
        <v>682</v>
      </c>
      <c r="BB896" s="1">
        <v>57.3</v>
      </c>
      <c r="BC896" s="1">
        <v>5.73</v>
      </c>
      <c r="BD896" s="1"/>
      <c r="BE896" s="1"/>
      <c r="BF896" s="1"/>
      <c r="BG896" s="1"/>
      <c r="BH896" s="1"/>
      <c r="BI896" s="1"/>
      <c r="BJ896" s="1" t="s">
        <v>16165</v>
      </c>
      <c r="BK896" s="1" t="s">
        <v>16166</v>
      </c>
      <c r="BL896" s="1" t="s">
        <v>2382</v>
      </c>
      <c r="BM896" s="1" t="s">
        <v>16167</v>
      </c>
      <c r="BN896" s="1">
        <v>27</v>
      </c>
      <c r="BO896" s="1" t="s">
        <v>16168</v>
      </c>
      <c r="BP896" s="1" t="str">
        <f>HYPERLINK("https://nconnect.nicmar.ac.in/storage/profile/ProfilePhoto_P25702115_316582.jpg","Download")</f>
        <v>0</v>
      </c>
      <c r="BQ896" s="3"/>
      <c r="BR896" s="3"/>
    </row>
    <row r="897" spans="1:70">
      <c r="A897" s="1" t="s">
        <v>441</v>
      </c>
      <c r="B897" s="1" t="s">
        <v>1269</v>
      </c>
      <c r="C897" s="1" t="s">
        <v>16169</v>
      </c>
      <c r="D897" s="1" t="s">
        <v>2577</v>
      </c>
      <c r="E897" s="1" t="s">
        <v>1566</v>
      </c>
      <c r="F897" s="1" t="s">
        <v>15568</v>
      </c>
      <c r="G897" s="1" t="s">
        <v>16170</v>
      </c>
      <c r="H897" s="1" t="s">
        <v>16171</v>
      </c>
      <c r="I897" s="1" t="s">
        <v>16172</v>
      </c>
      <c r="J897" s="1">
        <v>8379986813</v>
      </c>
      <c r="K897" s="1" t="s">
        <v>79</v>
      </c>
      <c r="L897" s="1" t="s">
        <v>16173</v>
      </c>
      <c r="M897" s="1" t="s">
        <v>81</v>
      </c>
      <c r="N897" s="1" t="s">
        <v>2008</v>
      </c>
      <c r="O897" s="1"/>
      <c r="P897" s="1" t="s">
        <v>1278</v>
      </c>
      <c r="Q897" s="1" t="s">
        <v>16174</v>
      </c>
      <c r="R897" s="1" t="s">
        <v>16175</v>
      </c>
      <c r="S897" s="1">
        <v>9420333127</v>
      </c>
      <c r="T897" s="1" t="s">
        <v>16176</v>
      </c>
      <c r="U897" s="1" t="s">
        <v>16177</v>
      </c>
      <c r="V897" s="1">
        <v>9146896804</v>
      </c>
      <c r="W897" s="1" t="s">
        <v>89</v>
      </c>
      <c r="X897" s="1" t="s">
        <v>16178</v>
      </c>
      <c r="Y897" s="1" t="s">
        <v>429</v>
      </c>
      <c r="Z897" s="1" t="s">
        <v>92</v>
      </c>
      <c r="AA897" s="1" t="s">
        <v>16178</v>
      </c>
      <c r="AB897" s="1" t="s">
        <v>429</v>
      </c>
      <c r="AC897" s="1" t="s">
        <v>92</v>
      </c>
      <c r="AD897" s="1">
        <v>8.24</v>
      </c>
      <c r="AE897" s="1" t="s">
        <v>93</v>
      </c>
      <c r="AF897" s="1" t="s">
        <v>16179</v>
      </c>
      <c r="AG897" s="1" t="s">
        <v>307</v>
      </c>
      <c r="AH897" s="1" t="s">
        <v>165</v>
      </c>
      <c r="AI897" s="1" t="s">
        <v>166</v>
      </c>
      <c r="AJ897" s="1">
        <v>84.3</v>
      </c>
      <c r="AK897" s="1"/>
      <c r="AL897" s="1" t="s">
        <v>16180</v>
      </c>
      <c r="AM897" s="1" t="s">
        <v>476</v>
      </c>
      <c r="AN897" s="1" t="s">
        <v>101</v>
      </c>
      <c r="AO897" s="1" t="s">
        <v>360</v>
      </c>
      <c r="AP897" s="1">
        <v>66.62</v>
      </c>
      <c r="AQ897" s="1"/>
      <c r="AR897" s="1"/>
      <c r="AS897" s="1"/>
      <c r="AT897" s="1"/>
      <c r="AU897" s="1"/>
      <c r="AV897" s="1"/>
      <c r="AW897" s="1"/>
      <c r="AX897" s="1" t="s">
        <v>361</v>
      </c>
      <c r="AY897" s="1" t="s">
        <v>8731</v>
      </c>
      <c r="AZ897" s="1" t="s">
        <v>173</v>
      </c>
      <c r="BA897" s="1" t="s">
        <v>413</v>
      </c>
      <c r="BB897" s="1">
        <v>76.45</v>
      </c>
      <c r="BC897" s="1">
        <v>8.6</v>
      </c>
      <c r="BD897" s="1"/>
      <c r="BE897" s="1"/>
      <c r="BF897" s="1"/>
      <c r="BG897" s="1"/>
      <c r="BH897" s="1"/>
      <c r="BI897" s="1"/>
      <c r="BJ897" s="1" t="s">
        <v>4102</v>
      </c>
      <c r="BK897" s="1"/>
      <c r="BL897" s="1"/>
      <c r="BM897" s="1"/>
      <c r="BN897" s="1"/>
      <c r="BO897" s="1"/>
      <c r="BP897" s="1" t="str">
        <f>HYPERLINK("https://nconnect.nicmar.ac.in/storage/profile/ProfilePhoto_P25702116_867945.jpg","Download")</f>
        <v>0</v>
      </c>
      <c r="BQ897" s="3"/>
      <c r="BR897" s="3"/>
    </row>
    <row r="898" spans="1:70">
      <c r="A898" s="1" t="s">
        <v>441</v>
      </c>
      <c r="B898" s="1" t="s">
        <v>1269</v>
      </c>
      <c r="C898" s="1" t="s">
        <v>16181</v>
      </c>
      <c r="D898" s="1" t="s">
        <v>417</v>
      </c>
      <c r="E898" s="1"/>
      <c r="F898" s="1" t="s">
        <v>16182</v>
      </c>
      <c r="G898" s="1" t="s">
        <v>16183</v>
      </c>
      <c r="H898" s="1" t="s">
        <v>16184</v>
      </c>
      <c r="I898" s="1" t="s">
        <v>16185</v>
      </c>
      <c r="J898" s="1">
        <v>9146032642</v>
      </c>
      <c r="K898" s="1" t="s">
        <v>148</v>
      </c>
      <c r="L898" s="1" t="s">
        <v>4749</v>
      </c>
      <c r="M898" s="1" t="s">
        <v>150</v>
      </c>
      <c r="N898" s="1" t="s">
        <v>16186</v>
      </c>
      <c r="O898" s="1"/>
      <c r="P898" s="1" t="s">
        <v>1323</v>
      </c>
      <c r="Q898" s="1" t="s">
        <v>16187</v>
      </c>
      <c r="R898" s="1" t="s">
        <v>16188</v>
      </c>
      <c r="S898" s="1">
        <v>9422220793</v>
      </c>
      <c r="T898" s="1" t="s">
        <v>496</v>
      </c>
      <c r="U898" s="1" t="s">
        <v>16189</v>
      </c>
      <c r="V898" s="1">
        <v>7276430246</v>
      </c>
      <c r="W898" s="1" t="s">
        <v>89</v>
      </c>
      <c r="X898" s="1" t="s">
        <v>16190</v>
      </c>
      <c r="Y898" s="1" t="s">
        <v>191</v>
      </c>
      <c r="Z898" s="1" t="s">
        <v>92</v>
      </c>
      <c r="AA898" s="1" t="s">
        <v>16190</v>
      </c>
      <c r="AB898" s="1" t="s">
        <v>191</v>
      </c>
      <c r="AC898" s="1" t="s">
        <v>92</v>
      </c>
      <c r="AD898" s="1">
        <v>8.16</v>
      </c>
      <c r="AE898" s="1" t="s">
        <v>93</v>
      </c>
      <c r="AF898" s="1" t="s">
        <v>16191</v>
      </c>
      <c r="AG898" s="1" t="s">
        <v>307</v>
      </c>
      <c r="AH898" s="1" t="s">
        <v>14297</v>
      </c>
      <c r="AI898" s="1" t="s">
        <v>165</v>
      </c>
      <c r="AJ898" s="1">
        <v>83.6</v>
      </c>
      <c r="AK898" s="1">
        <v>8.8</v>
      </c>
      <c r="AL898" s="1" t="s">
        <v>16192</v>
      </c>
      <c r="AM898" s="1" t="s">
        <v>160</v>
      </c>
      <c r="AN898" s="1" t="s">
        <v>383</v>
      </c>
      <c r="AO898" s="1" t="s">
        <v>308</v>
      </c>
      <c r="AP898" s="1">
        <v>70</v>
      </c>
      <c r="AQ898" s="1">
        <v>7.37</v>
      </c>
      <c r="AR898" s="1"/>
      <c r="AS898" s="1"/>
      <c r="AT898" s="1"/>
      <c r="AU898" s="1"/>
      <c r="AV898" s="1"/>
      <c r="AW898" s="1"/>
      <c r="AX898" s="1" t="s">
        <v>361</v>
      </c>
      <c r="AY898" s="1" t="s">
        <v>16193</v>
      </c>
      <c r="AZ898" s="1" t="s">
        <v>201</v>
      </c>
      <c r="BA898" s="1" t="s">
        <v>202</v>
      </c>
      <c r="BB898" s="1">
        <v>64.79</v>
      </c>
      <c r="BC898" s="1">
        <v>7.28</v>
      </c>
      <c r="BD898" s="1"/>
      <c r="BE898" s="1"/>
      <c r="BF898" s="1"/>
      <c r="BG898" s="1"/>
      <c r="BH898" s="1"/>
      <c r="BI898" s="1"/>
      <c r="BJ898" s="1" t="s">
        <v>16194</v>
      </c>
      <c r="BK898" s="1" t="s">
        <v>16195</v>
      </c>
      <c r="BL898" s="1" t="s">
        <v>2888</v>
      </c>
      <c r="BM898" s="1" t="s">
        <v>16196</v>
      </c>
      <c r="BN898" s="1">
        <v>20</v>
      </c>
      <c r="BO898" s="1"/>
      <c r="BP898" s="1" t="str">
        <f>HYPERLINK("https://nconnect.nicmar.ac.in/storage/profile/ProfilePhoto_P25702117_738624.jpg","Download")</f>
        <v>0</v>
      </c>
      <c r="BQ898" s="3"/>
      <c r="BR898" s="3"/>
    </row>
    <row r="899" spans="1:70">
      <c r="A899" s="1" t="s">
        <v>441</v>
      </c>
      <c r="B899" s="1" t="s">
        <v>1269</v>
      </c>
      <c r="C899" s="1" t="s">
        <v>16197</v>
      </c>
      <c r="D899" s="1" t="s">
        <v>16198</v>
      </c>
      <c r="E899" s="1"/>
      <c r="F899" s="1" t="s">
        <v>16199</v>
      </c>
      <c r="G899" s="1" t="s">
        <v>16200</v>
      </c>
      <c r="H899" s="1" t="s">
        <v>16201</v>
      </c>
      <c r="I899" s="1" t="s">
        <v>16201</v>
      </c>
      <c r="J899" s="1"/>
      <c r="K899" s="1"/>
      <c r="L899" s="1"/>
      <c r="M899" s="1"/>
      <c r="N899" s="1"/>
      <c r="O899" s="1"/>
      <c r="P899" s="1"/>
      <c r="Q899" s="1"/>
      <c r="R899" s="1"/>
      <c r="S899" s="1"/>
      <c r="T899" s="1"/>
      <c r="U899" s="1"/>
      <c r="V899" s="1"/>
      <c r="W899" s="1"/>
      <c r="X899" s="1"/>
      <c r="Y899" s="1"/>
      <c r="Z899" s="1"/>
      <c r="AA899" s="1"/>
      <c r="AB899" s="1"/>
      <c r="AC899" s="1"/>
      <c r="AD899" s="1" t="s">
        <v>93</v>
      </c>
      <c r="AE899" s="1" t="s">
        <v>93</v>
      </c>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t="s">
        <v>1037</v>
      </c>
      <c r="BQ899" s="3"/>
      <c r="BR899" s="3"/>
    </row>
    <row r="900" spans="1:70">
      <c r="A900" s="1" t="s">
        <v>441</v>
      </c>
      <c r="B900" s="1" t="s">
        <v>1269</v>
      </c>
      <c r="C900" s="1" t="s">
        <v>16202</v>
      </c>
      <c r="D900" s="1" t="s">
        <v>16203</v>
      </c>
      <c r="E900" s="1" t="s">
        <v>9766</v>
      </c>
      <c r="F900" s="1" t="s">
        <v>6075</v>
      </c>
      <c r="G900" s="1" t="s">
        <v>16204</v>
      </c>
      <c r="H900" s="1" t="s">
        <v>16205</v>
      </c>
      <c r="I900" s="1" t="s">
        <v>16206</v>
      </c>
      <c r="J900" s="1">
        <v>9022661537</v>
      </c>
      <c r="K900" s="1" t="s">
        <v>79</v>
      </c>
      <c r="L900" s="1" t="s">
        <v>16207</v>
      </c>
      <c r="M900" s="1" t="s">
        <v>81</v>
      </c>
      <c r="N900" s="1" t="s">
        <v>2008</v>
      </c>
      <c r="O900" s="1"/>
      <c r="P900" s="1" t="s">
        <v>1323</v>
      </c>
      <c r="Q900" s="1" t="s">
        <v>16208</v>
      </c>
      <c r="R900" s="1" t="s">
        <v>9766</v>
      </c>
      <c r="S900" s="1">
        <v>9146029745</v>
      </c>
      <c r="T900" s="1" t="s">
        <v>763</v>
      </c>
      <c r="U900" s="1" t="s">
        <v>16209</v>
      </c>
      <c r="V900" s="1">
        <v>9359001993</v>
      </c>
      <c r="W900" s="1" t="s">
        <v>763</v>
      </c>
      <c r="X900" s="1" t="s">
        <v>16210</v>
      </c>
      <c r="Y900" s="1" t="s">
        <v>405</v>
      </c>
      <c r="Z900" s="1" t="s">
        <v>92</v>
      </c>
      <c r="AA900" s="1" t="s">
        <v>16210</v>
      </c>
      <c r="AB900" s="1" t="s">
        <v>405</v>
      </c>
      <c r="AC900" s="1" t="s">
        <v>92</v>
      </c>
      <c r="AD900" s="1" t="s">
        <v>93</v>
      </c>
      <c r="AE900" s="1" t="s">
        <v>93</v>
      </c>
      <c r="AF900" s="1" t="s">
        <v>16211</v>
      </c>
      <c r="AG900" s="1" t="s">
        <v>160</v>
      </c>
      <c r="AH900" s="1" t="s">
        <v>101</v>
      </c>
      <c r="AI900" s="1" t="s">
        <v>409</v>
      </c>
      <c r="AJ900" s="1">
        <v>79</v>
      </c>
      <c r="AK900" s="1"/>
      <c r="AL900" s="1"/>
      <c r="AM900" s="1"/>
      <c r="AN900" s="1"/>
      <c r="AO900" s="1"/>
      <c r="AP900" s="1"/>
      <c r="AQ900" s="1"/>
      <c r="AR900" s="1" t="s">
        <v>16212</v>
      </c>
      <c r="AS900" s="1" t="s">
        <v>16213</v>
      </c>
      <c r="AT900" s="1" t="s">
        <v>433</v>
      </c>
      <c r="AU900" s="1" t="s">
        <v>105</v>
      </c>
      <c r="AV900" s="1">
        <v>80.21</v>
      </c>
      <c r="AW900" s="1"/>
      <c r="AX900" s="1" t="s">
        <v>410</v>
      </c>
      <c r="AY900" s="1" t="s">
        <v>16214</v>
      </c>
      <c r="AZ900" s="1" t="s">
        <v>2690</v>
      </c>
      <c r="BA900" s="1" t="s">
        <v>1584</v>
      </c>
      <c r="BB900" s="1">
        <v>59.7</v>
      </c>
      <c r="BC900" s="1">
        <v>6.67</v>
      </c>
      <c r="BD900" s="1"/>
      <c r="BE900" s="1"/>
      <c r="BF900" s="1"/>
      <c r="BG900" s="1"/>
      <c r="BH900" s="1"/>
      <c r="BI900" s="1"/>
      <c r="BJ900" s="1" t="s">
        <v>4162</v>
      </c>
      <c r="BK900" s="1"/>
      <c r="BL900" s="1"/>
      <c r="BM900" s="1"/>
      <c r="BN900" s="1"/>
      <c r="BO900" s="1"/>
      <c r="BP900" s="1" t="str">
        <f>HYPERLINK("https://nconnect.nicmar.ac.in/storage/profile/ProfilePhoto_P25702119_651389.jpg","Download")</f>
        <v>0</v>
      </c>
      <c r="BQ900" s="3"/>
      <c r="BR900" s="3"/>
    </row>
    <row r="901" spans="1:70">
      <c r="A901" s="1" t="s">
        <v>441</v>
      </c>
      <c r="B901" s="1" t="s">
        <v>1269</v>
      </c>
      <c r="C901" s="1" t="s">
        <v>16215</v>
      </c>
      <c r="D901" s="1" t="s">
        <v>16216</v>
      </c>
      <c r="E901" s="1"/>
      <c r="F901" s="1" t="s">
        <v>3031</v>
      </c>
      <c r="G901" s="1" t="s">
        <v>16217</v>
      </c>
      <c r="H901" s="1" t="s">
        <v>16218</v>
      </c>
      <c r="I901" s="1" t="s">
        <v>16219</v>
      </c>
      <c r="J901" s="1">
        <v>7000302186</v>
      </c>
      <c r="K901" s="1" t="s">
        <v>148</v>
      </c>
      <c r="L901" s="1" t="s">
        <v>16220</v>
      </c>
      <c r="M901" s="1" t="s">
        <v>81</v>
      </c>
      <c r="N901" s="1" t="s">
        <v>241</v>
      </c>
      <c r="O901" s="1" t="s">
        <v>16221</v>
      </c>
      <c r="P901" s="1" t="s">
        <v>1323</v>
      </c>
      <c r="Q901" s="1" t="s">
        <v>16222</v>
      </c>
      <c r="R901" s="1" t="s">
        <v>9838</v>
      </c>
      <c r="S901" s="1">
        <v>9425311503</v>
      </c>
      <c r="T901" s="1" t="s">
        <v>16223</v>
      </c>
      <c r="U901" s="1" t="s">
        <v>16224</v>
      </c>
      <c r="V901" s="1">
        <v>9039344720</v>
      </c>
      <c r="W901" s="1" t="s">
        <v>2094</v>
      </c>
      <c r="X901" s="1" t="s">
        <v>16225</v>
      </c>
      <c r="Y901" s="1" t="s">
        <v>6358</v>
      </c>
      <c r="Z901" s="1" t="s">
        <v>936</v>
      </c>
      <c r="AA901" s="1" t="s">
        <v>16225</v>
      </c>
      <c r="AB901" s="1" t="s">
        <v>6358</v>
      </c>
      <c r="AC901" s="1" t="s">
        <v>936</v>
      </c>
      <c r="AD901" s="1">
        <v>9.55</v>
      </c>
      <c r="AE901" s="1" t="s">
        <v>93</v>
      </c>
      <c r="AF901" s="1" t="s">
        <v>16226</v>
      </c>
      <c r="AG901" s="1" t="s">
        <v>307</v>
      </c>
      <c r="AH901" s="1" t="s">
        <v>279</v>
      </c>
      <c r="AI901" s="1" t="s">
        <v>165</v>
      </c>
      <c r="AJ901" s="1">
        <v>87.4</v>
      </c>
      <c r="AK901" s="1">
        <v>9.2</v>
      </c>
      <c r="AL901" s="1" t="s">
        <v>16226</v>
      </c>
      <c r="AM901" s="1" t="s">
        <v>307</v>
      </c>
      <c r="AN901" s="1" t="s">
        <v>1307</v>
      </c>
      <c r="AO901" s="1" t="s">
        <v>308</v>
      </c>
      <c r="AP901" s="1">
        <v>79.4</v>
      </c>
      <c r="AQ901" s="1">
        <v>0</v>
      </c>
      <c r="AR901" s="1"/>
      <c r="AS901" s="1"/>
      <c r="AT901" s="1"/>
      <c r="AU901" s="1"/>
      <c r="AV901" s="1"/>
      <c r="AW901" s="1"/>
      <c r="AX901" s="1" t="s">
        <v>16227</v>
      </c>
      <c r="AY901" s="1" t="s">
        <v>16228</v>
      </c>
      <c r="AZ901" s="1" t="s">
        <v>310</v>
      </c>
      <c r="BA901" s="1" t="s">
        <v>3158</v>
      </c>
      <c r="BB901" s="1">
        <v>82.5</v>
      </c>
      <c r="BC901" s="1">
        <v>8.25</v>
      </c>
      <c r="BD901" s="1"/>
      <c r="BE901" s="1"/>
      <c r="BF901" s="1"/>
      <c r="BG901" s="1"/>
      <c r="BH901" s="1"/>
      <c r="BI901" s="1"/>
      <c r="BJ901" s="1" t="s">
        <v>16229</v>
      </c>
      <c r="BK901" s="1" t="s">
        <v>16230</v>
      </c>
      <c r="BL901" s="1" t="s">
        <v>639</v>
      </c>
      <c r="BM901" s="1" t="s">
        <v>16231</v>
      </c>
      <c r="BN901" s="1">
        <v>30</v>
      </c>
      <c r="BO901" s="1"/>
      <c r="BP901" s="1" t="str">
        <f>HYPERLINK("https://nconnect.nicmar.ac.in/storage/profile/ProfilePhoto_P25702120_279461.jpg","Download")</f>
        <v>0</v>
      </c>
      <c r="BQ901" s="3"/>
      <c r="BR901" s="3"/>
    </row>
    <row r="902" spans="1:70">
      <c r="A902" s="1" t="s">
        <v>441</v>
      </c>
      <c r="B902" s="1" t="s">
        <v>1269</v>
      </c>
      <c r="C902" s="1" t="s">
        <v>16232</v>
      </c>
      <c r="D902" s="1" t="s">
        <v>16233</v>
      </c>
      <c r="E902" s="1"/>
      <c r="F902" s="1" t="s">
        <v>111</v>
      </c>
      <c r="G902" s="1" t="s">
        <v>16234</v>
      </c>
      <c r="H902" s="1" t="s">
        <v>16235</v>
      </c>
      <c r="I902" s="1" t="s">
        <v>16236</v>
      </c>
      <c r="J902" s="1">
        <v>7559095521</v>
      </c>
      <c r="K902" s="1" t="s">
        <v>79</v>
      </c>
      <c r="L902" s="1" t="s">
        <v>16237</v>
      </c>
      <c r="M902" s="1" t="s">
        <v>81</v>
      </c>
      <c r="N902" s="1" t="s">
        <v>16238</v>
      </c>
      <c r="O902" s="1"/>
      <c r="P902" s="1" t="s">
        <v>1278</v>
      </c>
      <c r="Q902" s="1" t="s">
        <v>16239</v>
      </c>
      <c r="R902" s="1" t="s">
        <v>16240</v>
      </c>
      <c r="S902" s="1">
        <v>9562551369</v>
      </c>
      <c r="T902" s="1" t="s">
        <v>16241</v>
      </c>
      <c r="U902" s="1" t="s">
        <v>16242</v>
      </c>
      <c r="V902" s="1">
        <v>9544378971</v>
      </c>
      <c r="W902" s="1" t="s">
        <v>16243</v>
      </c>
      <c r="X902" s="1" t="s">
        <v>16244</v>
      </c>
      <c r="Y902" s="1" t="s">
        <v>5659</v>
      </c>
      <c r="Z902" s="1" t="s">
        <v>125</v>
      </c>
      <c r="AA902" s="1" t="s">
        <v>16245</v>
      </c>
      <c r="AB902" s="1" t="s">
        <v>5659</v>
      </c>
      <c r="AC902" s="1" t="s">
        <v>125</v>
      </c>
      <c r="AD902" s="1">
        <v>8.45</v>
      </c>
      <c r="AE902" s="1" t="s">
        <v>93</v>
      </c>
      <c r="AF902" s="1" t="s">
        <v>16246</v>
      </c>
      <c r="AG902" s="1" t="s">
        <v>16247</v>
      </c>
      <c r="AH902" s="1" t="s">
        <v>162</v>
      </c>
      <c r="AI902" s="1" t="s">
        <v>479</v>
      </c>
      <c r="AJ902" s="1">
        <v>90</v>
      </c>
      <c r="AK902" s="1">
        <v>0</v>
      </c>
      <c r="AL902" s="1" t="s">
        <v>16248</v>
      </c>
      <c r="AM902" s="1" t="s">
        <v>16249</v>
      </c>
      <c r="AN902" s="1" t="s">
        <v>383</v>
      </c>
      <c r="AO902" s="1" t="s">
        <v>308</v>
      </c>
      <c r="AP902" s="1">
        <v>93.6</v>
      </c>
      <c r="AQ902" s="1">
        <v>0</v>
      </c>
      <c r="AR902" s="1"/>
      <c r="AS902" s="1"/>
      <c r="AT902" s="1"/>
      <c r="AU902" s="1"/>
      <c r="AV902" s="1"/>
      <c r="AW902" s="1"/>
      <c r="AX902" s="1" t="s">
        <v>132</v>
      </c>
      <c r="AY902" s="1" t="s">
        <v>16250</v>
      </c>
      <c r="AZ902" s="1" t="s">
        <v>170</v>
      </c>
      <c r="BA902" s="1" t="s">
        <v>1408</v>
      </c>
      <c r="BB902" s="1">
        <v>78.6</v>
      </c>
      <c r="BC902" s="1">
        <v>7.86</v>
      </c>
      <c r="BD902" s="1"/>
      <c r="BE902" s="1"/>
      <c r="BF902" s="1"/>
      <c r="BG902" s="1"/>
      <c r="BH902" s="1"/>
      <c r="BI902" s="1"/>
      <c r="BJ902" s="1" t="s">
        <v>16251</v>
      </c>
      <c r="BK902" s="1"/>
      <c r="BL902" s="1"/>
      <c r="BM902" s="1" t="s">
        <v>16252</v>
      </c>
      <c r="BN902" s="1">
        <v>30</v>
      </c>
      <c r="BO902" s="1"/>
      <c r="BP902" s="1" t="str">
        <f>HYPERLINK("https://nconnect.nicmar.ac.in/storage/profile/ProfilePhoto_P25702121_187593.jpg","Download")</f>
        <v>0</v>
      </c>
      <c r="BQ902" s="3"/>
      <c r="BR902" s="3"/>
    </row>
    <row r="903" spans="1:70">
      <c r="A903" s="1" t="s">
        <v>441</v>
      </c>
      <c r="B903" s="1" t="s">
        <v>1269</v>
      </c>
      <c r="C903" s="1" t="s">
        <v>16253</v>
      </c>
      <c r="D903" s="1" t="s">
        <v>16254</v>
      </c>
      <c r="E903" s="1" t="s">
        <v>1874</v>
      </c>
      <c r="F903" s="1" t="s">
        <v>144</v>
      </c>
      <c r="G903" s="1" t="s">
        <v>16255</v>
      </c>
      <c r="H903" s="1" t="s">
        <v>16256</v>
      </c>
      <c r="I903" s="1" t="s">
        <v>16257</v>
      </c>
      <c r="J903" s="1">
        <v>9075578064</v>
      </c>
      <c r="K903" s="1" t="s">
        <v>79</v>
      </c>
      <c r="L903" s="1" t="s">
        <v>2678</v>
      </c>
      <c r="M903" s="1" t="s">
        <v>81</v>
      </c>
      <c r="N903" s="1" t="s">
        <v>6792</v>
      </c>
      <c r="O903" s="1"/>
      <c r="P903" s="1" t="s">
        <v>1462</v>
      </c>
      <c r="Q903" s="1" t="s">
        <v>16258</v>
      </c>
      <c r="R903" s="1" t="s">
        <v>144</v>
      </c>
      <c r="S903" s="1">
        <v>9822768663</v>
      </c>
      <c r="T903" s="1" t="s">
        <v>496</v>
      </c>
      <c r="U903" s="1" t="s">
        <v>3807</v>
      </c>
      <c r="V903" s="1">
        <v>9822768663</v>
      </c>
      <c r="W903" s="1" t="s">
        <v>156</v>
      </c>
      <c r="X903" s="1" t="s">
        <v>16259</v>
      </c>
      <c r="Y903" s="1" t="s">
        <v>191</v>
      </c>
      <c r="Z903" s="1" t="s">
        <v>92</v>
      </c>
      <c r="AA903" s="1" t="s">
        <v>16259</v>
      </c>
      <c r="AB903" s="1" t="s">
        <v>191</v>
      </c>
      <c r="AC903" s="1" t="s">
        <v>92</v>
      </c>
      <c r="AD903" s="1">
        <v>8.29</v>
      </c>
      <c r="AE903" s="1" t="s">
        <v>93</v>
      </c>
      <c r="AF903" s="1" t="s">
        <v>16260</v>
      </c>
      <c r="AG903" s="1" t="s">
        <v>16261</v>
      </c>
      <c r="AH903" s="1" t="s">
        <v>101</v>
      </c>
      <c r="AI903" s="1" t="s">
        <v>409</v>
      </c>
      <c r="AJ903" s="1">
        <v>66.6</v>
      </c>
      <c r="AK903" s="1">
        <v>0</v>
      </c>
      <c r="AL903" s="1"/>
      <c r="AM903" s="1"/>
      <c r="AN903" s="1"/>
      <c r="AO903" s="1"/>
      <c r="AP903" s="1"/>
      <c r="AQ903" s="1"/>
      <c r="AR903" s="1" t="s">
        <v>98</v>
      </c>
      <c r="AS903" s="1" t="s">
        <v>16262</v>
      </c>
      <c r="AT903" s="1" t="s">
        <v>433</v>
      </c>
      <c r="AU903" s="1" t="s">
        <v>575</v>
      </c>
      <c r="AV903" s="1">
        <v>79.42</v>
      </c>
      <c r="AW903" s="1">
        <v>0</v>
      </c>
      <c r="AX903" s="1" t="s">
        <v>361</v>
      </c>
      <c r="AY903" s="1" t="s">
        <v>16263</v>
      </c>
      <c r="AZ903" s="1" t="s">
        <v>284</v>
      </c>
      <c r="BA903" s="1" t="s">
        <v>1714</v>
      </c>
      <c r="BB903" s="1">
        <v>59.75</v>
      </c>
      <c r="BC903" s="1">
        <v>6.7</v>
      </c>
      <c r="BD903" s="1"/>
      <c r="BE903" s="1"/>
      <c r="BF903" s="1"/>
      <c r="BG903" s="1"/>
      <c r="BH903" s="1"/>
      <c r="BI903" s="1"/>
      <c r="BJ903" s="1" t="s">
        <v>14540</v>
      </c>
      <c r="BK903" s="1"/>
      <c r="BL903" s="1"/>
      <c r="BM903" s="1" t="s">
        <v>16264</v>
      </c>
      <c r="BN903" s="1">
        <v>17</v>
      </c>
      <c r="BO903" s="1"/>
      <c r="BP903" s="1" t="str">
        <f>HYPERLINK("https://nconnect.nicmar.ac.in/storage/profile/ProfilePhoto_P25702122_472139.jpg","Download")</f>
        <v>0</v>
      </c>
      <c r="BQ903" s="3"/>
      <c r="BR903" s="3"/>
    </row>
    <row r="904" spans="1:70">
      <c r="A904" s="1" t="s">
        <v>441</v>
      </c>
      <c r="B904" s="1" t="s">
        <v>1269</v>
      </c>
      <c r="C904" s="1" t="s">
        <v>16265</v>
      </c>
      <c r="D904" s="1" t="s">
        <v>1117</v>
      </c>
      <c r="E904" s="1"/>
      <c r="F904" s="1" t="s">
        <v>6701</v>
      </c>
      <c r="G904" s="1" t="s">
        <v>16266</v>
      </c>
      <c r="H904" s="1" t="s">
        <v>16267</v>
      </c>
      <c r="I904" s="1" t="s">
        <v>16268</v>
      </c>
      <c r="J904" s="1">
        <v>7089106717</v>
      </c>
      <c r="K904" s="1" t="s">
        <v>79</v>
      </c>
      <c r="L904" s="1" t="s">
        <v>16269</v>
      </c>
      <c r="M904" s="1" t="s">
        <v>81</v>
      </c>
      <c r="N904" s="1" t="s">
        <v>241</v>
      </c>
      <c r="O904" s="1"/>
      <c r="P904" s="1" t="s">
        <v>1323</v>
      </c>
      <c r="Q904" s="1" t="s">
        <v>16270</v>
      </c>
      <c r="R904" s="1" t="s">
        <v>16271</v>
      </c>
      <c r="S904" s="1">
        <v>7049806717</v>
      </c>
      <c r="T904" s="1" t="s">
        <v>16272</v>
      </c>
      <c r="U904" s="1" t="s">
        <v>16273</v>
      </c>
      <c r="V904" s="1">
        <v>9406834977</v>
      </c>
      <c r="W904" s="1" t="s">
        <v>273</v>
      </c>
      <c r="X904" s="1" t="s">
        <v>16274</v>
      </c>
      <c r="Y904" s="1" t="s">
        <v>6358</v>
      </c>
      <c r="Z904" s="1" t="s">
        <v>936</v>
      </c>
      <c r="AA904" s="1" t="s">
        <v>16274</v>
      </c>
      <c r="AB904" s="1" t="s">
        <v>6358</v>
      </c>
      <c r="AC904" s="1" t="s">
        <v>936</v>
      </c>
      <c r="AD904" s="1" t="s">
        <v>93</v>
      </c>
      <c r="AE904" s="1" t="s">
        <v>93</v>
      </c>
      <c r="AF904" s="1" t="s">
        <v>16275</v>
      </c>
      <c r="AG904" s="1" t="s">
        <v>939</v>
      </c>
      <c r="AH904" s="1" t="s">
        <v>658</v>
      </c>
      <c r="AI904" s="1" t="s">
        <v>129</v>
      </c>
      <c r="AJ904" s="1">
        <v>55.1</v>
      </c>
      <c r="AK904" s="1">
        <v>5.8</v>
      </c>
      <c r="AL904" s="1" t="s">
        <v>16276</v>
      </c>
      <c r="AM904" s="1" t="s">
        <v>16277</v>
      </c>
      <c r="AN904" s="1" t="s">
        <v>131</v>
      </c>
      <c r="AO904" s="1" t="s">
        <v>527</v>
      </c>
      <c r="AP904" s="1">
        <v>67.6</v>
      </c>
      <c r="AQ904" s="1">
        <v>7.12</v>
      </c>
      <c r="AR904" s="1"/>
      <c r="AS904" s="1"/>
      <c r="AT904" s="1"/>
      <c r="AU904" s="1"/>
      <c r="AV904" s="1"/>
      <c r="AW904" s="1"/>
      <c r="AX904" s="1" t="s">
        <v>1834</v>
      </c>
      <c r="AY904" s="1" t="s">
        <v>16278</v>
      </c>
      <c r="AZ904" s="1" t="s">
        <v>733</v>
      </c>
      <c r="BA904" s="1" t="s">
        <v>506</v>
      </c>
      <c r="BB904" s="1">
        <v>58.5</v>
      </c>
      <c r="BC904" s="1">
        <v>5.85</v>
      </c>
      <c r="BD904" s="1"/>
      <c r="BE904" s="1"/>
      <c r="BF904" s="1"/>
      <c r="BG904" s="1"/>
      <c r="BH904" s="1"/>
      <c r="BI904" s="1"/>
      <c r="BJ904" s="1" t="s">
        <v>16279</v>
      </c>
      <c r="BK904" s="1" t="s">
        <v>16280</v>
      </c>
      <c r="BL904" s="1" t="s">
        <v>2652</v>
      </c>
      <c r="BM904" s="1" t="s">
        <v>16281</v>
      </c>
      <c r="BN904" s="1">
        <v>32</v>
      </c>
      <c r="BO904" s="1"/>
      <c r="BP904" s="1" t="str">
        <f>HYPERLINK("https://nconnect.nicmar.ac.in/storage/profile/ProfilePhoto_P25702123_324697.jpg","Download")</f>
        <v>0</v>
      </c>
      <c r="BQ904" s="3"/>
      <c r="BR904" s="3"/>
    </row>
    <row r="905" spans="1:70">
      <c r="A905" s="1" t="s">
        <v>441</v>
      </c>
      <c r="B905" s="1" t="s">
        <v>1269</v>
      </c>
      <c r="C905" s="1" t="s">
        <v>16282</v>
      </c>
      <c r="D905" s="1" t="s">
        <v>6574</v>
      </c>
      <c r="E905" s="1"/>
      <c r="F905" s="1" t="s">
        <v>16283</v>
      </c>
      <c r="G905" s="1" t="s">
        <v>16284</v>
      </c>
      <c r="H905" s="1" t="s">
        <v>16285</v>
      </c>
      <c r="I905" s="1" t="s">
        <v>16286</v>
      </c>
      <c r="J905" s="1">
        <v>9497512916</v>
      </c>
      <c r="K905" s="1" t="s">
        <v>79</v>
      </c>
      <c r="L905" s="1" t="s">
        <v>16287</v>
      </c>
      <c r="M905" s="1" t="s">
        <v>81</v>
      </c>
      <c r="N905" s="1" t="s">
        <v>16288</v>
      </c>
      <c r="O905" s="1"/>
      <c r="P905" s="1" t="s">
        <v>1298</v>
      </c>
      <c r="Q905" s="1" t="s">
        <v>16289</v>
      </c>
      <c r="R905" s="1" t="s">
        <v>16290</v>
      </c>
      <c r="S905" s="1">
        <v>9446511291</v>
      </c>
      <c r="T905" s="1" t="s">
        <v>6726</v>
      </c>
      <c r="U905" s="1" t="s">
        <v>16291</v>
      </c>
      <c r="V905" s="1">
        <v>9496549541</v>
      </c>
      <c r="W905" s="1" t="s">
        <v>16292</v>
      </c>
      <c r="X905" s="1" t="s">
        <v>16293</v>
      </c>
      <c r="Y905" s="1" t="s">
        <v>3988</v>
      </c>
      <c r="Z905" s="1" t="s">
        <v>125</v>
      </c>
      <c r="AA905" s="1" t="s">
        <v>16293</v>
      </c>
      <c r="AB905" s="1" t="s">
        <v>3988</v>
      </c>
      <c r="AC905" s="1" t="s">
        <v>125</v>
      </c>
      <c r="AD905" s="1">
        <v>8.4</v>
      </c>
      <c r="AE905" s="1" t="s">
        <v>93</v>
      </c>
      <c r="AF905" s="1" t="s">
        <v>16294</v>
      </c>
      <c r="AG905" s="1" t="s">
        <v>939</v>
      </c>
      <c r="AH905" s="1" t="s">
        <v>332</v>
      </c>
      <c r="AI905" s="1" t="s">
        <v>1242</v>
      </c>
      <c r="AJ905" s="1">
        <v>85.5</v>
      </c>
      <c r="AK905" s="1">
        <v>9</v>
      </c>
      <c r="AL905" s="1" t="s">
        <v>16295</v>
      </c>
      <c r="AM905" s="1" t="s">
        <v>16296</v>
      </c>
      <c r="AN905" s="1" t="s">
        <v>998</v>
      </c>
      <c r="AO905" s="1" t="s">
        <v>97</v>
      </c>
      <c r="AP905" s="1">
        <v>73.25</v>
      </c>
      <c r="AQ905" s="1">
        <v>0</v>
      </c>
      <c r="AR905" s="1"/>
      <c r="AS905" s="1"/>
      <c r="AT905" s="1"/>
      <c r="AU905" s="1"/>
      <c r="AV905" s="1"/>
      <c r="AW905" s="1"/>
      <c r="AX905" s="1" t="s">
        <v>16297</v>
      </c>
      <c r="AY905" s="1" t="s">
        <v>16298</v>
      </c>
      <c r="AZ905" s="1" t="s">
        <v>100</v>
      </c>
      <c r="BA905" s="1" t="s">
        <v>2103</v>
      </c>
      <c r="BB905" s="1">
        <v>63.5</v>
      </c>
      <c r="BC905" s="1">
        <v>6.35</v>
      </c>
      <c r="BD905" s="1"/>
      <c r="BE905" s="1"/>
      <c r="BF905" s="1"/>
      <c r="BG905" s="1"/>
      <c r="BH905" s="1"/>
      <c r="BI905" s="1"/>
      <c r="BJ905" s="1" t="s">
        <v>1715</v>
      </c>
      <c r="BK905" s="1"/>
      <c r="BL905" s="1"/>
      <c r="BM905" s="1" t="s">
        <v>16299</v>
      </c>
      <c r="BN905" s="1">
        <v>101</v>
      </c>
      <c r="BO905" s="1" t="s">
        <v>16300</v>
      </c>
      <c r="BP905" s="1" t="str">
        <f>HYPERLINK("https://nconnect.nicmar.ac.in/storage/profile/ProfilePhoto_P25702124_236974.jpg","Download")</f>
        <v>0</v>
      </c>
      <c r="BQ905" s="3"/>
      <c r="BR905" s="3"/>
    </row>
    <row r="906" spans="1:70">
      <c r="A906" s="1" t="s">
        <v>441</v>
      </c>
      <c r="B906" s="1" t="s">
        <v>1269</v>
      </c>
      <c r="C906" s="1" t="s">
        <v>16301</v>
      </c>
      <c r="D906" s="1" t="s">
        <v>16302</v>
      </c>
      <c r="E906" s="1" t="s">
        <v>3858</v>
      </c>
      <c r="F906" s="1" t="s">
        <v>16303</v>
      </c>
      <c r="G906" s="1" t="s">
        <v>16304</v>
      </c>
      <c r="H906" s="1" t="s">
        <v>16305</v>
      </c>
      <c r="I906" s="1" t="s">
        <v>16306</v>
      </c>
      <c r="J906" s="1">
        <v>8806047010</v>
      </c>
      <c r="K906" s="1" t="s">
        <v>148</v>
      </c>
      <c r="L906" s="1" t="s">
        <v>8650</v>
      </c>
      <c r="M906" s="1" t="s">
        <v>81</v>
      </c>
      <c r="N906" s="1" t="s">
        <v>3187</v>
      </c>
      <c r="O906" s="1"/>
      <c r="P906" s="1" t="s">
        <v>1323</v>
      </c>
      <c r="Q906" s="1" t="s">
        <v>16307</v>
      </c>
      <c r="R906" s="1" t="s">
        <v>3858</v>
      </c>
      <c r="S906" s="1">
        <v>9422734028</v>
      </c>
      <c r="T906" s="1" t="s">
        <v>377</v>
      </c>
      <c r="U906" s="1" t="s">
        <v>6003</v>
      </c>
      <c r="V906" s="1">
        <v>9850192927</v>
      </c>
      <c r="W906" s="1" t="s">
        <v>273</v>
      </c>
      <c r="X906" s="1" t="s">
        <v>16308</v>
      </c>
      <c r="Y906" s="1" t="s">
        <v>1424</v>
      </c>
      <c r="Z906" s="1" t="s">
        <v>92</v>
      </c>
      <c r="AA906" s="1" t="s">
        <v>16309</v>
      </c>
      <c r="AB906" s="1" t="s">
        <v>1424</v>
      </c>
      <c r="AC906" s="1" t="s">
        <v>92</v>
      </c>
      <c r="AD906" s="1" t="s">
        <v>93</v>
      </c>
      <c r="AE906" s="1" t="s">
        <v>93</v>
      </c>
      <c r="AF906" s="1" t="s">
        <v>16310</v>
      </c>
      <c r="AG906" s="1" t="s">
        <v>160</v>
      </c>
      <c r="AH906" s="1" t="s">
        <v>1516</v>
      </c>
      <c r="AI906" s="1" t="s">
        <v>97</v>
      </c>
      <c r="AJ906" s="1">
        <v>67.6</v>
      </c>
      <c r="AK906" s="1"/>
      <c r="AL906" s="1" t="s">
        <v>16311</v>
      </c>
      <c r="AM906" s="1" t="s">
        <v>160</v>
      </c>
      <c r="AN906" s="1" t="s">
        <v>131</v>
      </c>
      <c r="AO906" s="1" t="s">
        <v>195</v>
      </c>
      <c r="AP906" s="1">
        <v>56.31</v>
      </c>
      <c r="AQ906" s="1"/>
      <c r="AR906" s="1"/>
      <c r="AS906" s="1"/>
      <c r="AT906" s="1"/>
      <c r="AU906" s="1"/>
      <c r="AV906" s="1"/>
      <c r="AW906" s="1"/>
      <c r="AX906" s="1" t="s">
        <v>410</v>
      </c>
      <c r="AY906" s="1" t="s">
        <v>16312</v>
      </c>
      <c r="AZ906" s="1" t="s">
        <v>166</v>
      </c>
      <c r="BA906" s="1" t="s">
        <v>590</v>
      </c>
      <c r="BB906" s="1">
        <v>57.6</v>
      </c>
      <c r="BC906" s="1">
        <v>6.51</v>
      </c>
      <c r="BD906" s="1"/>
      <c r="BE906" s="1"/>
      <c r="BF906" s="1"/>
      <c r="BG906" s="1"/>
      <c r="BH906" s="1"/>
      <c r="BI906" s="1"/>
      <c r="BJ906" s="1" t="s">
        <v>16313</v>
      </c>
      <c r="BK906" s="1" t="s">
        <v>16314</v>
      </c>
      <c r="BL906" s="1" t="s">
        <v>2019</v>
      </c>
      <c r="BM906" s="1" t="s">
        <v>16315</v>
      </c>
      <c r="BN906" s="1">
        <v>39</v>
      </c>
      <c r="BO906" s="1" t="s">
        <v>16316</v>
      </c>
      <c r="BP906" s="1" t="str">
        <f>HYPERLINK("https://nconnect.nicmar.ac.in/storage/profile/ProfilePhoto_P25702125_416987.jpg","Download")</f>
        <v>0</v>
      </c>
      <c r="BQ906" s="3"/>
      <c r="BR906" s="3"/>
    </row>
    <row r="907" spans="1:70">
      <c r="A907" s="1" t="s">
        <v>441</v>
      </c>
      <c r="B907" s="1" t="s">
        <v>1269</v>
      </c>
      <c r="C907" s="1" t="s">
        <v>16317</v>
      </c>
      <c r="D907" s="1" t="s">
        <v>2127</v>
      </c>
      <c r="E907" s="1" t="s">
        <v>5072</v>
      </c>
      <c r="F907" s="1" t="s">
        <v>16318</v>
      </c>
      <c r="G907" s="1" t="s">
        <v>16319</v>
      </c>
      <c r="H907" s="1" t="s">
        <v>16320</v>
      </c>
      <c r="I907" s="1" t="s">
        <v>16321</v>
      </c>
      <c r="J907" s="1">
        <v>7208199285</v>
      </c>
      <c r="K907" s="1" t="s">
        <v>79</v>
      </c>
      <c r="L907" s="1" t="s">
        <v>16322</v>
      </c>
      <c r="M907" s="1" t="s">
        <v>81</v>
      </c>
      <c r="N907" s="1" t="s">
        <v>1618</v>
      </c>
      <c r="O907" s="1" t="s">
        <v>16323</v>
      </c>
      <c r="P907" s="1" t="s">
        <v>1278</v>
      </c>
      <c r="Q907" s="1" t="s">
        <v>16324</v>
      </c>
      <c r="R907" s="1" t="s">
        <v>16325</v>
      </c>
      <c r="S907" s="1">
        <v>9819826367</v>
      </c>
      <c r="T907" s="1" t="s">
        <v>16326</v>
      </c>
      <c r="U907" s="1" t="s">
        <v>16327</v>
      </c>
      <c r="V907" s="1">
        <v>9833102472</v>
      </c>
      <c r="W907" s="1" t="s">
        <v>16328</v>
      </c>
      <c r="X907" s="1" t="s">
        <v>16329</v>
      </c>
      <c r="Y907" s="1" t="s">
        <v>1623</v>
      </c>
      <c r="Z907" s="1" t="s">
        <v>92</v>
      </c>
      <c r="AA907" s="1" t="s">
        <v>16329</v>
      </c>
      <c r="AB907" s="1" t="s">
        <v>1623</v>
      </c>
      <c r="AC907" s="1" t="s">
        <v>92</v>
      </c>
      <c r="AD907" s="1">
        <v>8.0</v>
      </c>
      <c r="AE907" s="1" t="s">
        <v>93</v>
      </c>
      <c r="AF907" s="1" t="s">
        <v>16330</v>
      </c>
      <c r="AG907" s="1" t="s">
        <v>16331</v>
      </c>
      <c r="AH907" s="1" t="s">
        <v>999</v>
      </c>
      <c r="AI907" s="1" t="s">
        <v>97</v>
      </c>
      <c r="AJ907" s="1">
        <v>85</v>
      </c>
      <c r="AK907" s="1"/>
      <c r="AL907" s="1" t="s">
        <v>16332</v>
      </c>
      <c r="AM907" s="1" t="s">
        <v>16333</v>
      </c>
      <c r="AN907" s="1" t="s">
        <v>1001</v>
      </c>
      <c r="AO907" s="1" t="s">
        <v>1332</v>
      </c>
      <c r="AP907" s="1">
        <v>60.77</v>
      </c>
      <c r="AQ907" s="1"/>
      <c r="AR907" s="1"/>
      <c r="AS907" s="1"/>
      <c r="AT907" s="1"/>
      <c r="AU907" s="1"/>
      <c r="AV907" s="1"/>
      <c r="AW907" s="1"/>
      <c r="AX907" s="1" t="s">
        <v>1024</v>
      </c>
      <c r="AY907" s="1" t="s">
        <v>16334</v>
      </c>
      <c r="AZ907" s="1" t="s">
        <v>225</v>
      </c>
      <c r="BA907" s="1" t="s">
        <v>284</v>
      </c>
      <c r="BB907" s="1">
        <v>59.99</v>
      </c>
      <c r="BC907" s="1">
        <v>6.76</v>
      </c>
      <c r="BD907" s="1"/>
      <c r="BE907" s="1"/>
      <c r="BF907" s="1"/>
      <c r="BG907" s="1"/>
      <c r="BH907" s="1"/>
      <c r="BI907" s="1"/>
      <c r="BJ907" s="1" t="s">
        <v>16335</v>
      </c>
      <c r="BK907" s="1" t="s">
        <v>16336</v>
      </c>
      <c r="BL907" s="1" t="s">
        <v>340</v>
      </c>
      <c r="BM907" s="1"/>
      <c r="BN907" s="1"/>
      <c r="BO907" s="1"/>
      <c r="BP907" s="1" t="str">
        <f>HYPERLINK("https://nconnect.nicmar.ac.in/storage/profile/ProfilePhoto_P25702126_789261.jpg","Download")</f>
        <v>0</v>
      </c>
      <c r="BQ907" s="3"/>
      <c r="BR907" s="3"/>
    </row>
    <row r="908" spans="1:70">
      <c r="A908" s="1" t="s">
        <v>441</v>
      </c>
      <c r="B908" s="1" t="s">
        <v>1269</v>
      </c>
      <c r="C908" s="1" t="s">
        <v>16337</v>
      </c>
      <c r="D908" s="1" t="s">
        <v>16338</v>
      </c>
      <c r="E908" s="1" t="s">
        <v>368</v>
      </c>
      <c r="F908" s="1" t="s">
        <v>16339</v>
      </c>
      <c r="G908" s="1" t="s">
        <v>16340</v>
      </c>
      <c r="H908" s="1" t="s">
        <v>16341</v>
      </c>
      <c r="I908" s="1" t="s">
        <v>16342</v>
      </c>
      <c r="J908" s="1">
        <v>9673225581</v>
      </c>
      <c r="K908" s="1" t="s">
        <v>79</v>
      </c>
      <c r="L908" s="1" t="s">
        <v>16343</v>
      </c>
      <c r="M908" s="1" t="s">
        <v>81</v>
      </c>
      <c r="N908" s="1" t="s">
        <v>1704</v>
      </c>
      <c r="O908" s="1"/>
      <c r="P908" s="1" t="s">
        <v>1323</v>
      </c>
      <c r="Q908" s="1" t="s">
        <v>16344</v>
      </c>
      <c r="R908" s="1" t="s">
        <v>16345</v>
      </c>
      <c r="S908" s="1">
        <v>9850044357</v>
      </c>
      <c r="T908" s="1" t="s">
        <v>496</v>
      </c>
      <c r="U908" s="1" t="s">
        <v>16346</v>
      </c>
      <c r="V908" s="1">
        <v>8975557446</v>
      </c>
      <c r="W908" s="1" t="s">
        <v>156</v>
      </c>
      <c r="X908" s="1" t="s">
        <v>16347</v>
      </c>
      <c r="Y908" s="1" t="s">
        <v>1174</v>
      </c>
      <c r="Z908" s="1" t="s">
        <v>92</v>
      </c>
      <c r="AA908" s="1" t="s">
        <v>16347</v>
      </c>
      <c r="AB908" s="1" t="s">
        <v>1174</v>
      </c>
      <c r="AC908" s="1" t="s">
        <v>92</v>
      </c>
      <c r="AD908" s="1">
        <v>7.66</v>
      </c>
      <c r="AE908" s="1" t="s">
        <v>93</v>
      </c>
      <c r="AF908" s="1" t="s">
        <v>16348</v>
      </c>
      <c r="AG908" s="1" t="s">
        <v>4438</v>
      </c>
      <c r="AH908" s="1" t="s">
        <v>332</v>
      </c>
      <c r="AI908" s="1" t="s">
        <v>727</v>
      </c>
      <c r="AJ908" s="1">
        <v>65.27</v>
      </c>
      <c r="AK908" s="1"/>
      <c r="AL908" s="1" t="s">
        <v>16349</v>
      </c>
      <c r="AM908" s="1" t="s">
        <v>4438</v>
      </c>
      <c r="AN908" s="1" t="s">
        <v>12038</v>
      </c>
      <c r="AO908" s="1" t="s">
        <v>12038</v>
      </c>
      <c r="AP908" s="1">
        <v>50</v>
      </c>
      <c r="AQ908" s="1"/>
      <c r="AR908" s="1"/>
      <c r="AS908" s="1"/>
      <c r="AT908" s="1"/>
      <c r="AU908" s="1"/>
      <c r="AV908" s="1"/>
      <c r="AW908" s="1"/>
      <c r="AX908" s="1" t="s">
        <v>5032</v>
      </c>
      <c r="AY908" s="1" t="s">
        <v>16350</v>
      </c>
      <c r="AZ908" s="1" t="s">
        <v>100</v>
      </c>
      <c r="BA908" s="1" t="s">
        <v>575</v>
      </c>
      <c r="BB908" s="1">
        <v>56.3</v>
      </c>
      <c r="BC908" s="1"/>
      <c r="BD908" s="1"/>
      <c r="BE908" s="1"/>
      <c r="BF908" s="1"/>
      <c r="BG908" s="1"/>
      <c r="BH908" s="1"/>
      <c r="BI908" s="1"/>
      <c r="BJ908" s="1" t="s">
        <v>16351</v>
      </c>
      <c r="BK908" s="1" t="s">
        <v>16352</v>
      </c>
      <c r="BL908" s="1" t="s">
        <v>16353</v>
      </c>
      <c r="BM908" s="1"/>
      <c r="BN908" s="1"/>
      <c r="BO908" s="1"/>
      <c r="BP908" s="1" t="str">
        <f>HYPERLINK("https://nconnect.nicmar.ac.in/storage/profile/ProfilePhoto_P25702127_783594.jpg","Download")</f>
        <v>0</v>
      </c>
      <c r="BQ908" s="3"/>
      <c r="BR908" s="3"/>
    </row>
    <row r="909" spans="1:70">
      <c r="A909" s="1" t="s">
        <v>441</v>
      </c>
      <c r="B909" s="1" t="s">
        <v>1269</v>
      </c>
      <c r="C909" s="1" t="s">
        <v>16354</v>
      </c>
      <c r="D909" s="1" t="s">
        <v>15982</v>
      </c>
      <c r="E909" s="1" t="s">
        <v>6294</v>
      </c>
      <c r="F909" s="1" t="s">
        <v>16355</v>
      </c>
      <c r="G909" s="1" t="s">
        <v>16356</v>
      </c>
      <c r="H909" s="1" t="s">
        <v>16357</v>
      </c>
      <c r="I909" s="1" t="s">
        <v>16358</v>
      </c>
      <c r="J909" s="1">
        <v>7038130346</v>
      </c>
      <c r="K909" s="1" t="s">
        <v>79</v>
      </c>
      <c r="L909" s="1" t="s">
        <v>15154</v>
      </c>
      <c r="M909" s="1" t="s">
        <v>81</v>
      </c>
      <c r="N909" s="1" t="s">
        <v>16359</v>
      </c>
      <c r="O909" s="1"/>
      <c r="P909" s="1" t="s">
        <v>1298</v>
      </c>
      <c r="Q909" s="1" t="s">
        <v>16360</v>
      </c>
      <c r="R909" s="1" t="s">
        <v>6294</v>
      </c>
      <c r="S909" s="1">
        <v>7038130346</v>
      </c>
      <c r="T909" s="1" t="s">
        <v>2763</v>
      </c>
      <c r="U909" s="1" t="s">
        <v>16361</v>
      </c>
      <c r="V909" s="1">
        <v>8888415475</v>
      </c>
      <c r="W909" s="1" t="s">
        <v>2492</v>
      </c>
      <c r="X909" s="1" t="s">
        <v>16362</v>
      </c>
      <c r="Y909" s="1" t="s">
        <v>191</v>
      </c>
      <c r="Z909" s="1" t="s">
        <v>92</v>
      </c>
      <c r="AA909" s="1" t="s">
        <v>16363</v>
      </c>
      <c r="AB909" s="1" t="s">
        <v>158</v>
      </c>
      <c r="AC909" s="1" t="s">
        <v>92</v>
      </c>
      <c r="AD909" s="1" t="s">
        <v>93</v>
      </c>
      <c r="AE909" s="1" t="s">
        <v>93</v>
      </c>
      <c r="AF909" s="1" t="s">
        <v>16364</v>
      </c>
      <c r="AG909" s="1" t="s">
        <v>11798</v>
      </c>
      <c r="AH909" s="1" t="s">
        <v>162</v>
      </c>
      <c r="AI909" s="1" t="s">
        <v>195</v>
      </c>
      <c r="AJ909" s="1">
        <v>68.8</v>
      </c>
      <c r="AK909" s="1"/>
      <c r="AL909" s="1" t="s">
        <v>16365</v>
      </c>
      <c r="AM909" s="1" t="s">
        <v>11798</v>
      </c>
      <c r="AN909" s="1" t="s">
        <v>433</v>
      </c>
      <c r="AO909" s="1" t="s">
        <v>699</v>
      </c>
      <c r="AP909" s="1">
        <v>56.15</v>
      </c>
      <c r="AQ909" s="1"/>
      <c r="AR909" s="1"/>
      <c r="AS909" s="1"/>
      <c r="AT909" s="1"/>
      <c r="AU909" s="1"/>
      <c r="AV909" s="1"/>
      <c r="AW909" s="1"/>
      <c r="AX909" s="1" t="s">
        <v>5304</v>
      </c>
      <c r="AY909" s="1" t="s">
        <v>16366</v>
      </c>
      <c r="AZ909" s="1" t="s">
        <v>699</v>
      </c>
      <c r="BA909" s="1" t="s">
        <v>202</v>
      </c>
      <c r="BB909" s="1">
        <v>70.9</v>
      </c>
      <c r="BC909" s="1">
        <v>8.24</v>
      </c>
      <c r="BD909" s="1"/>
      <c r="BE909" s="1"/>
      <c r="BF909" s="1"/>
      <c r="BG909" s="1"/>
      <c r="BH909" s="1"/>
      <c r="BI909" s="1"/>
      <c r="BJ909" s="1" t="s">
        <v>1383</v>
      </c>
      <c r="BK909" s="1"/>
      <c r="BL909" s="1"/>
      <c r="BM909" s="1" t="s">
        <v>16367</v>
      </c>
      <c r="BN909" s="1">
        <v>8</v>
      </c>
      <c r="BO909" s="1" t="s">
        <v>16368</v>
      </c>
      <c r="BP909" s="1" t="str">
        <f>HYPERLINK("https://nconnect.nicmar.ac.in/storage/profile/ProfilePhoto_P25702128_617289.jpg","Download")</f>
        <v>0</v>
      </c>
      <c r="BQ909" s="3"/>
      <c r="BR909" s="3"/>
    </row>
    <row r="910" spans="1:70">
      <c r="A910" s="1" t="s">
        <v>441</v>
      </c>
      <c r="B910" s="1" t="s">
        <v>1269</v>
      </c>
      <c r="C910" s="1" t="s">
        <v>16369</v>
      </c>
      <c r="D910" s="1" t="s">
        <v>5055</v>
      </c>
      <c r="E910" s="1" t="s">
        <v>16370</v>
      </c>
      <c r="F910" s="1" t="s">
        <v>16371</v>
      </c>
      <c r="G910" s="1" t="s">
        <v>16372</v>
      </c>
      <c r="H910" s="1" t="s">
        <v>16373</v>
      </c>
      <c r="I910" s="1" t="s">
        <v>16374</v>
      </c>
      <c r="J910" s="1">
        <v>8169943350</v>
      </c>
      <c r="K910" s="1" t="s">
        <v>79</v>
      </c>
      <c r="L910" s="1" t="s">
        <v>16375</v>
      </c>
      <c r="M910" s="1" t="s">
        <v>81</v>
      </c>
      <c r="N910" s="1" t="s">
        <v>16376</v>
      </c>
      <c r="O910" s="1"/>
      <c r="P910" s="1"/>
      <c r="Q910" s="1" t="s">
        <v>16377</v>
      </c>
      <c r="R910" s="1" t="s">
        <v>16378</v>
      </c>
      <c r="S910" s="1">
        <v>9821318051</v>
      </c>
      <c r="T910" s="1" t="s">
        <v>910</v>
      </c>
      <c r="U910" s="1" t="s">
        <v>16379</v>
      </c>
      <c r="V910" s="1">
        <v>9967236103</v>
      </c>
      <c r="W910" s="1" t="s">
        <v>651</v>
      </c>
      <c r="X910" s="1" t="s">
        <v>16380</v>
      </c>
      <c r="Y910" s="1" t="s">
        <v>1623</v>
      </c>
      <c r="Z910" s="1" t="s">
        <v>92</v>
      </c>
      <c r="AA910" s="1" t="s">
        <v>16380</v>
      </c>
      <c r="AB910" s="1" t="s">
        <v>1623</v>
      </c>
      <c r="AC910" s="1" t="s">
        <v>92</v>
      </c>
      <c r="AD910" s="1">
        <v>8.74</v>
      </c>
      <c r="AE910" s="1" t="s">
        <v>93</v>
      </c>
      <c r="AF910" s="1" t="s">
        <v>16381</v>
      </c>
      <c r="AG910" s="1" t="s">
        <v>16382</v>
      </c>
      <c r="AH910" s="1" t="s">
        <v>249</v>
      </c>
      <c r="AI910" s="1" t="s">
        <v>1242</v>
      </c>
      <c r="AJ910" s="1">
        <v>80.91</v>
      </c>
      <c r="AK910" s="1"/>
      <c r="AL910" s="1" t="s">
        <v>16383</v>
      </c>
      <c r="AM910" s="1" t="s">
        <v>16382</v>
      </c>
      <c r="AN910" s="1" t="s">
        <v>130</v>
      </c>
      <c r="AO910" s="1" t="s">
        <v>12038</v>
      </c>
      <c r="AP910" s="1">
        <v>67.23</v>
      </c>
      <c r="AQ910" s="1"/>
      <c r="AR910" s="1"/>
      <c r="AS910" s="1"/>
      <c r="AT910" s="1"/>
      <c r="AU910" s="1"/>
      <c r="AV910" s="1"/>
      <c r="AW910" s="1"/>
      <c r="AX910" s="1" t="s">
        <v>16384</v>
      </c>
      <c r="AY910" s="1" t="s">
        <v>16385</v>
      </c>
      <c r="AZ910" s="1" t="s">
        <v>337</v>
      </c>
      <c r="BA910" s="1" t="s">
        <v>308</v>
      </c>
      <c r="BB910" s="1">
        <v>54.81</v>
      </c>
      <c r="BC910" s="1">
        <v>6.03</v>
      </c>
      <c r="BD910" s="1"/>
      <c r="BE910" s="1"/>
      <c r="BF910" s="1"/>
      <c r="BG910" s="1"/>
      <c r="BH910" s="1"/>
      <c r="BI910" s="1"/>
      <c r="BJ910" s="1" t="s">
        <v>364</v>
      </c>
      <c r="BK910" s="1" t="s">
        <v>16386</v>
      </c>
      <c r="BL910" s="1" t="s">
        <v>5881</v>
      </c>
      <c r="BM910" s="1"/>
      <c r="BN910" s="1"/>
      <c r="BO910" s="1"/>
      <c r="BP910" s="1" t="str">
        <f>HYPERLINK("https://nconnect.nicmar.ac.in/storage/profile/ProfilePhoto_P25702129_946852.jpg","Download")</f>
        <v>0</v>
      </c>
      <c r="BQ910" s="3"/>
      <c r="BR910" s="3"/>
    </row>
    <row r="911" spans="1:70">
      <c r="A911" s="1" t="s">
        <v>441</v>
      </c>
      <c r="B911" s="1" t="s">
        <v>1269</v>
      </c>
      <c r="C911" s="1" t="s">
        <v>16387</v>
      </c>
      <c r="D911" s="1" t="s">
        <v>16388</v>
      </c>
      <c r="E911" s="1"/>
      <c r="F911" s="1" t="s">
        <v>835</v>
      </c>
      <c r="G911" s="1" t="s">
        <v>16389</v>
      </c>
      <c r="H911" s="1" t="s">
        <v>16390</v>
      </c>
      <c r="I911" s="1" t="s">
        <v>16391</v>
      </c>
      <c r="J911" s="1">
        <v>9821737929</v>
      </c>
      <c r="K911" s="1" t="s">
        <v>79</v>
      </c>
      <c r="L911" s="1" t="s">
        <v>16392</v>
      </c>
      <c r="M911" s="1" t="s">
        <v>81</v>
      </c>
      <c r="N911" s="1" t="s">
        <v>16393</v>
      </c>
      <c r="O911" s="1"/>
      <c r="P911" s="1" t="s">
        <v>2817</v>
      </c>
      <c r="Q911" s="1" t="s">
        <v>16394</v>
      </c>
      <c r="R911" s="1" t="s">
        <v>16395</v>
      </c>
      <c r="S911" s="1">
        <v>8595471799</v>
      </c>
      <c r="T911" s="1" t="s">
        <v>87</v>
      </c>
      <c r="U911" s="1" t="s">
        <v>16396</v>
      </c>
      <c r="V911" s="1">
        <v>9315221196</v>
      </c>
      <c r="W911" s="1" t="s">
        <v>9266</v>
      </c>
      <c r="X911" s="1" t="s">
        <v>16397</v>
      </c>
      <c r="Y911" s="1" t="s">
        <v>721</v>
      </c>
      <c r="Z911" s="1" t="s">
        <v>722</v>
      </c>
      <c r="AA911" s="1" t="s">
        <v>16397</v>
      </c>
      <c r="AB911" s="1" t="s">
        <v>721</v>
      </c>
      <c r="AC911" s="1" t="s">
        <v>722</v>
      </c>
      <c r="AD911" s="1">
        <v>8.03</v>
      </c>
      <c r="AE911" s="1" t="s">
        <v>93</v>
      </c>
      <c r="AF911" s="1" t="s">
        <v>16398</v>
      </c>
      <c r="AG911" s="1" t="s">
        <v>16399</v>
      </c>
      <c r="AH911" s="1" t="s">
        <v>281</v>
      </c>
      <c r="AI911" s="1" t="s">
        <v>308</v>
      </c>
      <c r="AJ911" s="1">
        <v>80.6</v>
      </c>
      <c r="AK911" s="1">
        <v>8.48</v>
      </c>
      <c r="AL911" s="1" t="s">
        <v>16398</v>
      </c>
      <c r="AM911" s="1" t="s">
        <v>16399</v>
      </c>
      <c r="AN911" s="1" t="s">
        <v>941</v>
      </c>
      <c r="AO911" s="1" t="s">
        <v>506</v>
      </c>
      <c r="AP911" s="1">
        <v>91.2</v>
      </c>
      <c r="AQ911" s="1">
        <v>9.6</v>
      </c>
      <c r="AR911" s="1"/>
      <c r="AS911" s="1"/>
      <c r="AT911" s="1"/>
      <c r="AU911" s="1"/>
      <c r="AV911" s="1"/>
      <c r="AW911" s="1"/>
      <c r="AX911" s="1" t="s">
        <v>2226</v>
      </c>
      <c r="AY911" s="1" t="s">
        <v>16400</v>
      </c>
      <c r="AZ911" s="1" t="s">
        <v>1051</v>
      </c>
      <c r="BA911" s="1" t="s">
        <v>1584</v>
      </c>
      <c r="BB911" s="1">
        <v>64.3</v>
      </c>
      <c r="BC911" s="1">
        <v>6.43</v>
      </c>
      <c r="BD911" s="1"/>
      <c r="BE911" s="1"/>
      <c r="BF911" s="1"/>
      <c r="BG911" s="1"/>
      <c r="BH911" s="1"/>
      <c r="BI911" s="1"/>
      <c r="BJ911" s="1" t="s">
        <v>1383</v>
      </c>
      <c r="BK911" s="1"/>
      <c r="BL911" s="1"/>
      <c r="BM911" s="1"/>
      <c r="BN911" s="1"/>
      <c r="BO911" s="1"/>
      <c r="BP911" s="1" t="str">
        <f>HYPERLINK("https://nconnect.nicmar.ac.in/storage/profile/ProfilePhoto_P25702130_924736.jpg","Download")</f>
        <v>0</v>
      </c>
      <c r="BQ911" s="3"/>
      <c r="BR911" s="3"/>
    </row>
    <row r="912" spans="1:70">
      <c r="A912" s="1" t="s">
        <v>441</v>
      </c>
      <c r="B912" s="1" t="s">
        <v>1269</v>
      </c>
      <c r="C912" s="1" t="s">
        <v>16401</v>
      </c>
      <c r="D912" s="1" t="s">
        <v>2577</v>
      </c>
      <c r="E912" s="1" t="s">
        <v>596</v>
      </c>
      <c r="F912" s="1" t="s">
        <v>16402</v>
      </c>
      <c r="G912" s="1" t="s">
        <v>16403</v>
      </c>
      <c r="H912" s="1" t="s">
        <v>16404</v>
      </c>
      <c r="I912" s="1" t="s">
        <v>16405</v>
      </c>
      <c r="J912" s="1">
        <v>7348925727</v>
      </c>
      <c r="K912" s="1" t="s">
        <v>79</v>
      </c>
      <c r="L912" s="1" t="s">
        <v>16406</v>
      </c>
      <c r="M912" s="1" t="s">
        <v>81</v>
      </c>
      <c r="N912" s="1" t="s">
        <v>16407</v>
      </c>
      <c r="O912" s="1"/>
      <c r="P912" s="1" t="s">
        <v>1323</v>
      </c>
      <c r="Q912" s="1" t="s">
        <v>16408</v>
      </c>
      <c r="R912" s="1" t="s">
        <v>16409</v>
      </c>
      <c r="S912" s="1">
        <v>9448679498</v>
      </c>
      <c r="T912" s="1" t="s">
        <v>16410</v>
      </c>
      <c r="U912" s="1" t="s">
        <v>16411</v>
      </c>
      <c r="V912" s="1">
        <v>8884791237</v>
      </c>
      <c r="W912" s="1" t="s">
        <v>156</v>
      </c>
      <c r="X912" s="1" t="s">
        <v>16412</v>
      </c>
      <c r="Y912" s="1" t="s">
        <v>16413</v>
      </c>
      <c r="Z912" s="1" t="s">
        <v>1084</v>
      </c>
      <c r="AA912" s="1" t="s">
        <v>16414</v>
      </c>
      <c r="AB912" s="1" t="s">
        <v>16413</v>
      </c>
      <c r="AC912" s="1" t="s">
        <v>1084</v>
      </c>
      <c r="AD912" s="1">
        <v>7.35</v>
      </c>
      <c r="AE912" s="1" t="s">
        <v>93</v>
      </c>
      <c r="AF912" s="1" t="s">
        <v>16415</v>
      </c>
      <c r="AG912" s="1" t="s">
        <v>307</v>
      </c>
      <c r="AH912" s="1" t="s">
        <v>678</v>
      </c>
      <c r="AI912" s="1" t="s">
        <v>166</v>
      </c>
      <c r="AJ912" s="1">
        <v>57.6</v>
      </c>
      <c r="AK912" s="1"/>
      <c r="AL912" s="1" t="s">
        <v>16416</v>
      </c>
      <c r="AM912" s="1" t="s">
        <v>4511</v>
      </c>
      <c r="AN912" s="1" t="s">
        <v>433</v>
      </c>
      <c r="AO912" s="1" t="s">
        <v>2461</v>
      </c>
      <c r="AP912" s="1">
        <v>51</v>
      </c>
      <c r="AQ912" s="1"/>
      <c r="AR912" s="1"/>
      <c r="AS912" s="1"/>
      <c r="AT912" s="1"/>
      <c r="AU912" s="1"/>
      <c r="AV912" s="1"/>
      <c r="AW912" s="1"/>
      <c r="AX912" s="1" t="s">
        <v>16417</v>
      </c>
      <c r="AY912" s="1" t="s">
        <v>16418</v>
      </c>
      <c r="AZ912" s="1" t="s">
        <v>681</v>
      </c>
      <c r="BA912" s="1" t="s">
        <v>202</v>
      </c>
      <c r="BB912" s="1">
        <v>56.6</v>
      </c>
      <c r="BC912" s="1">
        <v>6.41</v>
      </c>
      <c r="BD912" s="1"/>
      <c r="BE912" s="1"/>
      <c r="BF912" s="1"/>
      <c r="BG912" s="1"/>
      <c r="BH912" s="1"/>
      <c r="BI912" s="1"/>
      <c r="BJ912" s="1" t="s">
        <v>364</v>
      </c>
      <c r="BK912" s="1"/>
      <c r="BL912" s="1"/>
      <c r="BM912" s="1" t="s">
        <v>16419</v>
      </c>
      <c r="BN912" s="1">
        <v>3</v>
      </c>
      <c r="BO912" s="1" t="s">
        <v>16420</v>
      </c>
      <c r="BP912" s="1" t="str">
        <f>HYPERLINK("https://nconnect.nicmar.ac.in/storage/profile/ProfilePhoto_P25702131_683715.jpg","Download")</f>
        <v>0</v>
      </c>
      <c r="BQ912" s="3"/>
      <c r="BR912" s="3"/>
    </row>
    <row r="913" spans="1:70">
      <c r="A913" s="1" t="s">
        <v>441</v>
      </c>
      <c r="B913" s="1" t="s">
        <v>1269</v>
      </c>
      <c r="C913" s="1" t="s">
        <v>16421</v>
      </c>
      <c r="D913" s="1" t="s">
        <v>16422</v>
      </c>
      <c r="E913" s="1" t="s">
        <v>16423</v>
      </c>
      <c r="F913" s="1" t="s">
        <v>3031</v>
      </c>
      <c r="G913" s="1" t="s">
        <v>16424</v>
      </c>
      <c r="H913" s="1" t="s">
        <v>16425</v>
      </c>
      <c r="I913" s="1" t="s">
        <v>16426</v>
      </c>
      <c r="J913" s="1">
        <v>7045058111</v>
      </c>
      <c r="K913" s="1" t="s">
        <v>148</v>
      </c>
      <c r="L913" s="1" t="s">
        <v>16427</v>
      </c>
      <c r="M913" s="1" t="s">
        <v>81</v>
      </c>
      <c r="N913" s="1" t="s">
        <v>2293</v>
      </c>
      <c r="O913" s="1"/>
      <c r="P913" s="1" t="s">
        <v>1323</v>
      </c>
      <c r="Q913" s="1" t="s">
        <v>16428</v>
      </c>
      <c r="R913" s="1" t="s">
        <v>16429</v>
      </c>
      <c r="S913" s="1">
        <v>9967115111</v>
      </c>
      <c r="T913" s="1" t="s">
        <v>14408</v>
      </c>
      <c r="U913" s="1" t="s">
        <v>16430</v>
      </c>
      <c r="V913" s="1">
        <v>9967771237</v>
      </c>
      <c r="W913" s="1" t="s">
        <v>15881</v>
      </c>
      <c r="X913" s="1" t="s">
        <v>16431</v>
      </c>
      <c r="Y913" s="1" t="s">
        <v>766</v>
      </c>
      <c r="Z913" s="1" t="s">
        <v>92</v>
      </c>
      <c r="AA913" s="1" t="s">
        <v>16431</v>
      </c>
      <c r="AB913" s="1" t="s">
        <v>766</v>
      </c>
      <c r="AC913" s="1" t="s">
        <v>92</v>
      </c>
      <c r="AD913" s="1">
        <v>7.24</v>
      </c>
      <c r="AE913" s="1" t="s">
        <v>93</v>
      </c>
      <c r="AF913" s="1" t="s">
        <v>767</v>
      </c>
      <c r="AG913" s="1" t="s">
        <v>16432</v>
      </c>
      <c r="AH913" s="1" t="s">
        <v>161</v>
      </c>
      <c r="AI913" s="1" t="s">
        <v>456</v>
      </c>
      <c r="AJ913" s="1">
        <v>59.2</v>
      </c>
      <c r="AK913" s="1">
        <v>0</v>
      </c>
      <c r="AL913" s="1" t="s">
        <v>16433</v>
      </c>
      <c r="AM913" s="1" t="s">
        <v>16434</v>
      </c>
      <c r="AN913" s="1" t="s">
        <v>162</v>
      </c>
      <c r="AO913" s="1" t="s">
        <v>166</v>
      </c>
      <c r="AP913" s="1">
        <v>53.85</v>
      </c>
      <c r="AQ913" s="1">
        <v>0</v>
      </c>
      <c r="AR913" s="1"/>
      <c r="AS913" s="1"/>
      <c r="AT913" s="1"/>
      <c r="AU913" s="1"/>
      <c r="AV913" s="1"/>
      <c r="AW913" s="1"/>
      <c r="AX913" s="1" t="s">
        <v>1024</v>
      </c>
      <c r="AY913" s="1" t="s">
        <v>16435</v>
      </c>
      <c r="AZ913" s="1" t="s">
        <v>636</v>
      </c>
      <c r="BA913" s="1" t="s">
        <v>590</v>
      </c>
      <c r="BB913" s="1">
        <v>59.92</v>
      </c>
      <c r="BC913" s="1">
        <v>6.75</v>
      </c>
      <c r="BD913" s="1"/>
      <c r="BE913" s="1"/>
      <c r="BF913" s="1"/>
      <c r="BG913" s="1"/>
      <c r="BH913" s="1"/>
      <c r="BI913" s="1"/>
      <c r="BJ913" s="1" t="s">
        <v>16436</v>
      </c>
      <c r="BK913" s="1" t="s">
        <v>16437</v>
      </c>
      <c r="BL913" s="1" t="s">
        <v>2382</v>
      </c>
      <c r="BM913" s="1" t="s">
        <v>16438</v>
      </c>
      <c r="BN913" s="1">
        <v>24</v>
      </c>
      <c r="BO913" s="1" t="s">
        <v>16439</v>
      </c>
      <c r="BP913" s="1" t="str">
        <f>HYPERLINK("https://nconnect.nicmar.ac.in/storage/profile/ProfilePhoto_P25702132_826143.jpg","Download")</f>
        <v>0</v>
      </c>
      <c r="BQ913" s="3"/>
      <c r="BR913" s="3"/>
    </row>
    <row r="914" spans="1:70">
      <c r="A914" s="1" t="s">
        <v>441</v>
      </c>
      <c r="B914" s="1" t="s">
        <v>1269</v>
      </c>
      <c r="C914" s="1" t="s">
        <v>16440</v>
      </c>
      <c r="D914" s="1" t="s">
        <v>5563</v>
      </c>
      <c r="E914" s="1" t="s">
        <v>16441</v>
      </c>
      <c r="F914" s="1" t="s">
        <v>16442</v>
      </c>
      <c r="G914" s="1" t="s">
        <v>16443</v>
      </c>
      <c r="H914" s="1" t="s">
        <v>16444</v>
      </c>
      <c r="I914" s="1" t="s">
        <v>16445</v>
      </c>
      <c r="J914" s="1">
        <v>9881496921</v>
      </c>
      <c r="K914" s="1" t="s">
        <v>79</v>
      </c>
      <c r="L914" s="1" t="s">
        <v>16446</v>
      </c>
      <c r="M914" s="1" t="s">
        <v>81</v>
      </c>
      <c r="N914" s="1" t="s">
        <v>1765</v>
      </c>
      <c r="O914" s="1"/>
      <c r="P914" s="1" t="s">
        <v>1278</v>
      </c>
      <c r="Q914" s="1" t="s">
        <v>16447</v>
      </c>
      <c r="R914" s="1" t="s">
        <v>16448</v>
      </c>
      <c r="S914" s="1">
        <v>9850834501</v>
      </c>
      <c r="T914" s="1" t="s">
        <v>763</v>
      </c>
      <c r="U914" s="1" t="s">
        <v>16449</v>
      </c>
      <c r="V914" s="1">
        <v>9850107951</v>
      </c>
      <c r="W914" s="1" t="s">
        <v>156</v>
      </c>
      <c r="X914" s="1" t="s">
        <v>16450</v>
      </c>
      <c r="Y914" s="1" t="s">
        <v>191</v>
      </c>
      <c r="Z914" s="1" t="s">
        <v>92</v>
      </c>
      <c r="AA914" s="1" t="s">
        <v>16450</v>
      </c>
      <c r="AB914" s="1" t="s">
        <v>191</v>
      </c>
      <c r="AC914" s="1" t="s">
        <v>92</v>
      </c>
      <c r="AD914" s="1">
        <v>7.34</v>
      </c>
      <c r="AE914" s="1" t="s">
        <v>93</v>
      </c>
      <c r="AF914" s="1" t="s">
        <v>5735</v>
      </c>
      <c r="AG914" s="1" t="s">
        <v>13783</v>
      </c>
      <c r="AH914" s="1" t="s">
        <v>101</v>
      </c>
      <c r="AI914" s="1" t="s">
        <v>433</v>
      </c>
      <c r="AJ914" s="1">
        <v>63.2</v>
      </c>
      <c r="AK914" s="1"/>
      <c r="AL914" s="1"/>
      <c r="AM914" s="1"/>
      <c r="AN914" s="1"/>
      <c r="AO914" s="1"/>
      <c r="AP914" s="1"/>
      <c r="AQ914" s="1"/>
      <c r="AR914" s="1" t="s">
        <v>98</v>
      </c>
      <c r="AS914" s="1" t="s">
        <v>16451</v>
      </c>
      <c r="AT914" s="1" t="s">
        <v>310</v>
      </c>
      <c r="AU914" s="1" t="s">
        <v>481</v>
      </c>
      <c r="AV914" s="1">
        <v>72.05</v>
      </c>
      <c r="AW914" s="1"/>
      <c r="AX914" s="1" t="s">
        <v>361</v>
      </c>
      <c r="AY914" s="1" t="s">
        <v>16452</v>
      </c>
      <c r="AZ914" s="1" t="s">
        <v>2690</v>
      </c>
      <c r="BA914" s="1" t="s">
        <v>6069</v>
      </c>
      <c r="BB914" s="1">
        <v>58.2</v>
      </c>
      <c r="BC914" s="1">
        <v>6.57</v>
      </c>
      <c r="BD914" s="1"/>
      <c r="BE914" s="1"/>
      <c r="BF914" s="1"/>
      <c r="BG914" s="1"/>
      <c r="BH914" s="1"/>
      <c r="BI914" s="1"/>
      <c r="BJ914" s="1" t="s">
        <v>364</v>
      </c>
      <c r="BK914" s="1"/>
      <c r="BL914" s="1"/>
      <c r="BM914" s="1" t="s">
        <v>16453</v>
      </c>
      <c r="BN914" s="1">
        <v>25</v>
      </c>
      <c r="BO914" s="1"/>
      <c r="BP914" s="1" t="str">
        <f>HYPERLINK("https://nconnect.nicmar.ac.in/storage/profile/ProfilePhoto_P25702133_154693.jpg","Download")</f>
        <v>0</v>
      </c>
      <c r="BQ914" s="3"/>
      <c r="BR914" s="3"/>
    </row>
    <row r="915" spans="1:70">
      <c r="A915" s="1" t="s">
        <v>441</v>
      </c>
      <c r="B915" s="1" t="s">
        <v>1269</v>
      </c>
      <c r="C915" s="1" t="s">
        <v>16454</v>
      </c>
      <c r="D915" s="1" t="s">
        <v>15170</v>
      </c>
      <c r="E915" s="1" t="s">
        <v>12957</v>
      </c>
      <c r="F915" s="1" t="s">
        <v>16086</v>
      </c>
      <c r="G915" s="1" t="s">
        <v>16455</v>
      </c>
      <c r="H915" s="1" t="s">
        <v>16456</v>
      </c>
      <c r="I915" s="1" t="s">
        <v>16457</v>
      </c>
      <c r="J915" s="1">
        <v>9898468190</v>
      </c>
      <c r="K915" s="1" t="s">
        <v>79</v>
      </c>
      <c r="L915" s="1" t="s">
        <v>16458</v>
      </c>
      <c r="M915" s="1" t="s">
        <v>81</v>
      </c>
      <c r="N915" s="1" t="s">
        <v>16459</v>
      </c>
      <c r="O915" s="1"/>
      <c r="P915" s="1" t="s">
        <v>1323</v>
      </c>
      <c r="Q915" s="1" t="s">
        <v>16460</v>
      </c>
      <c r="R915" s="1" t="s">
        <v>16086</v>
      </c>
      <c r="S915" s="1">
        <v>9909118656</v>
      </c>
      <c r="T915" s="1" t="s">
        <v>496</v>
      </c>
      <c r="U915" s="1" t="s">
        <v>16461</v>
      </c>
      <c r="V915" s="1">
        <v>9712918656</v>
      </c>
      <c r="W915" s="1" t="s">
        <v>1953</v>
      </c>
      <c r="X915" s="1" t="s">
        <v>16462</v>
      </c>
      <c r="Y915" s="1" t="s">
        <v>15181</v>
      </c>
      <c r="Z915" s="1" t="s">
        <v>1468</v>
      </c>
      <c r="AA915" s="1" t="s">
        <v>16462</v>
      </c>
      <c r="AB915" s="1" t="s">
        <v>15181</v>
      </c>
      <c r="AC915" s="1" t="s">
        <v>1468</v>
      </c>
      <c r="AD915" s="1">
        <v>9.32</v>
      </c>
      <c r="AE915" s="1" t="s">
        <v>93</v>
      </c>
      <c r="AF915" s="1" t="s">
        <v>16463</v>
      </c>
      <c r="AG915" s="1" t="s">
        <v>14738</v>
      </c>
      <c r="AH915" s="1" t="s">
        <v>1307</v>
      </c>
      <c r="AI915" s="1" t="s">
        <v>409</v>
      </c>
      <c r="AJ915" s="1">
        <v>81.5</v>
      </c>
      <c r="AK915" s="1"/>
      <c r="AL915" s="1" t="s">
        <v>15183</v>
      </c>
      <c r="AM915" s="1" t="s">
        <v>14738</v>
      </c>
      <c r="AN915" s="1" t="s">
        <v>699</v>
      </c>
      <c r="AO915" s="1" t="s">
        <v>1712</v>
      </c>
      <c r="AP915" s="1">
        <v>84</v>
      </c>
      <c r="AQ915" s="1"/>
      <c r="AR915" s="1"/>
      <c r="AS915" s="1"/>
      <c r="AT915" s="1"/>
      <c r="AU915" s="1"/>
      <c r="AV915" s="1"/>
      <c r="AW915" s="1"/>
      <c r="AX915" s="1" t="s">
        <v>15185</v>
      </c>
      <c r="AY915" s="1" t="s">
        <v>16464</v>
      </c>
      <c r="AZ915" s="1" t="s">
        <v>1051</v>
      </c>
      <c r="BA915" s="1" t="s">
        <v>1361</v>
      </c>
      <c r="BB915" s="1">
        <v>79.8</v>
      </c>
      <c r="BC915" s="1">
        <v>8.73</v>
      </c>
      <c r="BD915" s="1"/>
      <c r="BE915" s="1"/>
      <c r="BF915" s="1"/>
      <c r="BG915" s="1"/>
      <c r="BH915" s="1"/>
      <c r="BI915" s="1"/>
      <c r="BJ915" s="1" t="s">
        <v>16465</v>
      </c>
      <c r="BK915" s="1"/>
      <c r="BL915" s="1"/>
      <c r="BM915" s="1" t="s">
        <v>16466</v>
      </c>
      <c r="BN915" s="1">
        <v>30</v>
      </c>
      <c r="BO915" s="1"/>
      <c r="BP915" s="1" t="str">
        <f>HYPERLINK("https://nconnect.nicmar.ac.in/storage/profile/ProfilePhoto_P25702134_543796.jpg","Download")</f>
        <v>0</v>
      </c>
      <c r="BQ915" s="3"/>
      <c r="BR915" s="3"/>
    </row>
    <row r="916" spans="1:70">
      <c r="A916" s="1" t="s">
        <v>441</v>
      </c>
      <c r="B916" s="1" t="s">
        <v>1269</v>
      </c>
      <c r="C916" s="1" t="s">
        <v>16467</v>
      </c>
      <c r="D916" s="1" t="s">
        <v>1980</v>
      </c>
      <c r="E916" s="1" t="s">
        <v>16468</v>
      </c>
      <c r="F916" s="1" t="s">
        <v>2674</v>
      </c>
      <c r="G916" s="1" t="s">
        <v>16469</v>
      </c>
      <c r="H916" s="1" t="s">
        <v>16470</v>
      </c>
      <c r="I916" s="1" t="s">
        <v>16471</v>
      </c>
      <c r="J916" s="1">
        <v>8928342149</v>
      </c>
      <c r="K916" s="1" t="s">
        <v>79</v>
      </c>
      <c r="L916" s="1" t="s">
        <v>16472</v>
      </c>
      <c r="M916" s="1" t="s">
        <v>81</v>
      </c>
      <c r="N916" s="1" t="s">
        <v>1765</v>
      </c>
      <c r="O916" s="1"/>
      <c r="P916" s="1" t="s">
        <v>1298</v>
      </c>
      <c r="Q916" s="1" t="s">
        <v>16473</v>
      </c>
      <c r="R916" s="1" t="s">
        <v>16468</v>
      </c>
      <c r="S916" s="1">
        <v>9969972985</v>
      </c>
      <c r="T916" s="1" t="s">
        <v>16474</v>
      </c>
      <c r="U916" s="1" t="s">
        <v>7625</v>
      </c>
      <c r="V916" s="1">
        <v>8850008551</v>
      </c>
      <c r="W916" s="1" t="s">
        <v>156</v>
      </c>
      <c r="X916" s="1" t="s">
        <v>16475</v>
      </c>
      <c r="Y916" s="1" t="s">
        <v>1623</v>
      </c>
      <c r="Z916" s="1" t="s">
        <v>92</v>
      </c>
      <c r="AA916" s="1" t="s">
        <v>16476</v>
      </c>
      <c r="AB916" s="1" t="s">
        <v>1623</v>
      </c>
      <c r="AC916" s="1" t="s">
        <v>92</v>
      </c>
      <c r="AD916" s="1">
        <v>8.34</v>
      </c>
      <c r="AE916" s="1" t="s">
        <v>93</v>
      </c>
      <c r="AF916" s="1" t="s">
        <v>16477</v>
      </c>
      <c r="AG916" s="1" t="s">
        <v>455</v>
      </c>
      <c r="AH916" s="1" t="s">
        <v>527</v>
      </c>
      <c r="AI916" s="1" t="s">
        <v>479</v>
      </c>
      <c r="AJ916" s="1">
        <v>70.6</v>
      </c>
      <c r="AK916" s="1"/>
      <c r="AL916" s="1"/>
      <c r="AM916" s="1"/>
      <c r="AN916" s="1"/>
      <c r="AO916" s="1"/>
      <c r="AP916" s="1"/>
      <c r="AQ916" s="1"/>
      <c r="AR916" s="1" t="s">
        <v>98</v>
      </c>
      <c r="AS916" s="1" t="s">
        <v>16478</v>
      </c>
      <c r="AT916" s="1" t="s">
        <v>225</v>
      </c>
      <c r="AU916" s="1" t="s">
        <v>170</v>
      </c>
      <c r="AV916" s="1">
        <v>81.47</v>
      </c>
      <c r="AW916" s="1"/>
      <c r="AX916" s="1" t="s">
        <v>253</v>
      </c>
      <c r="AY916" s="1" t="s">
        <v>16479</v>
      </c>
      <c r="AZ916" s="1" t="s">
        <v>363</v>
      </c>
      <c r="BA916" s="1" t="s">
        <v>682</v>
      </c>
      <c r="BB916" s="1">
        <v>73.15</v>
      </c>
      <c r="BC916" s="1"/>
      <c r="BD916" s="1"/>
      <c r="BE916" s="1"/>
      <c r="BF916" s="1"/>
      <c r="BG916" s="1"/>
      <c r="BH916" s="1"/>
      <c r="BI916" s="1"/>
      <c r="BJ916" s="1" t="s">
        <v>16480</v>
      </c>
      <c r="BK916" s="1" t="s">
        <v>16481</v>
      </c>
      <c r="BL916" s="1" t="s">
        <v>1385</v>
      </c>
      <c r="BM916" s="1" t="s">
        <v>16482</v>
      </c>
      <c r="BN916" s="1">
        <v>7</v>
      </c>
      <c r="BO916" s="1" t="s">
        <v>16483</v>
      </c>
      <c r="BP916" s="1" t="str">
        <f>HYPERLINK("https://nconnect.nicmar.ac.in/storage/profile/ProfilePhoto_P25702136_837591.jpg","Download")</f>
        <v>0</v>
      </c>
      <c r="BQ916" s="3"/>
      <c r="BR916" s="3"/>
    </row>
    <row r="917" spans="1:70">
      <c r="A917" s="1" t="s">
        <v>441</v>
      </c>
      <c r="B917" s="1" t="s">
        <v>1269</v>
      </c>
      <c r="C917" s="1" t="s">
        <v>16484</v>
      </c>
      <c r="D917" s="1" t="s">
        <v>16485</v>
      </c>
      <c r="E917" s="1" t="s">
        <v>756</v>
      </c>
      <c r="F917" s="1" t="s">
        <v>3754</v>
      </c>
      <c r="G917" s="1" t="s">
        <v>16486</v>
      </c>
      <c r="H917" s="1" t="s">
        <v>16487</v>
      </c>
      <c r="I917" s="1" t="s">
        <v>16488</v>
      </c>
      <c r="J917" s="1">
        <v>9175982549</v>
      </c>
      <c r="K917" s="1" t="s">
        <v>79</v>
      </c>
      <c r="L917" s="1" t="s">
        <v>16489</v>
      </c>
      <c r="M917" s="1" t="s">
        <v>81</v>
      </c>
      <c r="N917" s="1" t="s">
        <v>4130</v>
      </c>
      <c r="O917" s="1"/>
      <c r="P917" s="1"/>
      <c r="Q917" s="1" t="s">
        <v>16490</v>
      </c>
      <c r="R917" s="1" t="s">
        <v>16491</v>
      </c>
      <c r="S917" s="1">
        <v>9890252349</v>
      </c>
      <c r="T917" s="1" t="s">
        <v>496</v>
      </c>
      <c r="U917" s="1" t="s">
        <v>16492</v>
      </c>
      <c r="V917" s="1">
        <v>8698541566</v>
      </c>
      <c r="W917" s="1" t="s">
        <v>156</v>
      </c>
      <c r="X917" s="1" t="s">
        <v>16493</v>
      </c>
      <c r="Y917" s="1" t="s">
        <v>405</v>
      </c>
      <c r="Z917" s="1" t="s">
        <v>92</v>
      </c>
      <c r="AA917" s="1" t="s">
        <v>16494</v>
      </c>
      <c r="AB917" s="1" t="s">
        <v>405</v>
      </c>
      <c r="AC917" s="1" t="s">
        <v>92</v>
      </c>
      <c r="AD917" s="1">
        <v>8.32</v>
      </c>
      <c r="AE917" s="1" t="s">
        <v>93</v>
      </c>
      <c r="AF917" s="1" t="s">
        <v>3402</v>
      </c>
      <c r="AG917" s="1" t="s">
        <v>939</v>
      </c>
      <c r="AH917" s="1" t="s">
        <v>999</v>
      </c>
      <c r="AI917" s="1" t="s">
        <v>97</v>
      </c>
      <c r="AJ917" s="1">
        <v>73.4</v>
      </c>
      <c r="AK917" s="1">
        <v>8</v>
      </c>
      <c r="AL917" s="1" t="s">
        <v>16495</v>
      </c>
      <c r="AM917" s="1" t="s">
        <v>160</v>
      </c>
      <c r="AN917" s="1" t="s">
        <v>1001</v>
      </c>
      <c r="AO917" s="1" t="s">
        <v>1332</v>
      </c>
      <c r="AP917" s="1">
        <v>55.85</v>
      </c>
      <c r="AQ917" s="1"/>
      <c r="AR917" s="1"/>
      <c r="AS917" s="1"/>
      <c r="AT917" s="1"/>
      <c r="AU917" s="1"/>
      <c r="AV917" s="1"/>
      <c r="AW917" s="1"/>
      <c r="AX917" s="1" t="s">
        <v>410</v>
      </c>
      <c r="AY917" s="1" t="s">
        <v>7203</v>
      </c>
      <c r="AZ917" s="1" t="s">
        <v>383</v>
      </c>
      <c r="BA917" s="1" t="s">
        <v>105</v>
      </c>
      <c r="BB917" s="1">
        <v>62.9</v>
      </c>
      <c r="BC917" s="1">
        <v>7.04</v>
      </c>
      <c r="BD917" s="1"/>
      <c r="BE917" s="1"/>
      <c r="BF917" s="1"/>
      <c r="BG917" s="1"/>
      <c r="BH917" s="1"/>
      <c r="BI917" s="1"/>
      <c r="BJ917" s="1" t="s">
        <v>16496</v>
      </c>
      <c r="BK917" s="1" t="s">
        <v>16497</v>
      </c>
      <c r="BL917" s="1" t="s">
        <v>2186</v>
      </c>
      <c r="BM917" s="1" t="s">
        <v>16498</v>
      </c>
      <c r="BN917" s="1">
        <v>19</v>
      </c>
      <c r="BO917" s="1" t="s">
        <v>16499</v>
      </c>
      <c r="BP917" s="1" t="str">
        <f>HYPERLINK("https://nconnect.nicmar.ac.in/storage/profile/ProfilePhoto_P25702137_819267.jpg","Download")</f>
        <v>0</v>
      </c>
      <c r="BQ917" s="3"/>
      <c r="BR917" s="3"/>
    </row>
    <row r="918" spans="1:70">
      <c r="A918" s="1" t="s">
        <v>441</v>
      </c>
      <c r="B918" s="1" t="s">
        <v>1269</v>
      </c>
      <c r="C918" s="1" t="s">
        <v>16500</v>
      </c>
      <c r="D918" s="1" t="s">
        <v>443</v>
      </c>
      <c r="E918" s="1" t="s">
        <v>16501</v>
      </c>
      <c r="F918" s="1" t="s">
        <v>2674</v>
      </c>
      <c r="G918" s="1" t="s">
        <v>16502</v>
      </c>
      <c r="H918" s="1" t="s">
        <v>16503</v>
      </c>
      <c r="I918" s="1" t="s">
        <v>16504</v>
      </c>
      <c r="J918" s="1">
        <v>9139899093</v>
      </c>
      <c r="K918" s="1" t="s">
        <v>79</v>
      </c>
      <c r="L918" s="1" t="s">
        <v>16505</v>
      </c>
      <c r="M918" s="1" t="s">
        <v>81</v>
      </c>
      <c r="N918" s="1" t="s">
        <v>3847</v>
      </c>
      <c r="O918" s="1"/>
      <c r="P918" s="1"/>
      <c r="Q918" s="1" t="s">
        <v>16506</v>
      </c>
      <c r="R918" s="1" t="s">
        <v>16507</v>
      </c>
      <c r="S918" s="1">
        <v>9139899093</v>
      </c>
      <c r="T918" s="1" t="s">
        <v>93</v>
      </c>
      <c r="U918" s="1" t="s">
        <v>16508</v>
      </c>
      <c r="V918" s="1">
        <v>9673781919</v>
      </c>
      <c r="W918" s="1" t="s">
        <v>472</v>
      </c>
      <c r="X918" s="1" t="s">
        <v>16509</v>
      </c>
      <c r="Y918" s="1" t="s">
        <v>191</v>
      </c>
      <c r="Z918" s="1" t="s">
        <v>92</v>
      </c>
      <c r="AA918" s="1" t="s">
        <v>16510</v>
      </c>
      <c r="AB918" s="1" t="s">
        <v>158</v>
      </c>
      <c r="AC918" s="1" t="s">
        <v>92</v>
      </c>
      <c r="AD918" s="1">
        <v>8.82</v>
      </c>
      <c r="AE918" s="1" t="s">
        <v>93</v>
      </c>
      <c r="AF918" s="1" t="s">
        <v>16511</v>
      </c>
      <c r="AG918" s="1" t="s">
        <v>544</v>
      </c>
      <c r="AH918" s="1" t="s">
        <v>225</v>
      </c>
      <c r="AI918" s="1" t="s">
        <v>433</v>
      </c>
      <c r="AJ918" s="1">
        <v>88.4</v>
      </c>
      <c r="AK918" s="1">
        <v>0</v>
      </c>
      <c r="AL918" s="1"/>
      <c r="AM918" s="1"/>
      <c r="AN918" s="1"/>
      <c r="AO918" s="1"/>
      <c r="AP918" s="1"/>
      <c r="AQ918" s="1"/>
      <c r="AR918" s="1" t="s">
        <v>98</v>
      </c>
      <c r="AS918" s="1" t="s">
        <v>16512</v>
      </c>
      <c r="AT918" s="1" t="s">
        <v>201</v>
      </c>
      <c r="AU918" s="1" t="s">
        <v>105</v>
      </c>
      <c r="AV918" s="1">
        <v>77.8</v>
      </c>
      <c r="AW918" s="1"/>
      <c r="AX918" s="1" t="s">
        <v>361</v>
      </c>
      <c r="AY918" s="1" t="s">
        <v>16513</v>
      </c>
      <c r="AZ918" s="1" t="s">
        <v>2690</v>
      </c>
      <c r="BA918" s="1" t="s">
        <v>6069</v>
      </c>
      <c r="BB918" s="1">
        <v>71.1</v>
      </c>
      <c r="BC918" s="1">
        <v>7.86</v>
      </c>
      <c r="BD918" s="1"/>
      <c r="BE918" s="1"/>
      <c r="BF918" s="1"/>
      <c r="BG918" s="1"/>
      <c r="BH918" s="1"/>
      <c r="BI918" s="1"/>
      <c r="BJ918" s="1" t="s">
        <v>1383</v>
      </c>
      <c r="BK918" s="1"/>
      <c r="BL918" s="1"/>
      <c r="BM918" s="1" t="s">
        <v>16514</v>
      </c>
      <c r="BN918" s="1">
        <v>18</v>
      </c>
      <c r="BO918" s="1"/>
      <c r="BP918" s="1" t="str">
        <f>HYPERLINK("https://nconnect.nicmar.ac.in/storage/profile/ProfilePhoto_P25702138_785142.jpg","Download")</f>
        <v>0</v>
      </c>
      <c r="BQ918" s="3"/>
      <c r="BR918" s="3"/>
    </row>
    <row r="919" spans="1:70">
      <c r="A919" s="1" t="s">
        <v>441</v>
      </c>
      <c r="B919" s="1" t="s">
        <v>1269</v>
      </c>
      <c r="C919" s="1" t="s">
        <v>16515</v>
      </c>
      <c r="D919" s="1" t="s">
        <v>1799</v>
      </c>
      <c r="E919" s="1" t="s">
        <v>5545</v>
      </c>
      <c r="F919" s="1" t="s">
        <v>16516</v>
      </c>
      <c r="G919" s="1" t="s">
        <v>16517</v>
      </c>
      <c r="H919" s="1" t="s">
        <v>16518</v>
      </c>
      <c r="I919" s="1" t="s">
        <v>16519</v>
      </c>
      <c r="J919" s="1">
        <v>7892857256</v>
      </c>
      <c r="K919" s="1" t="s">
        <v>79</v>
      </c>
      <c r="L919" s="1" t="s">
        <v>16520</v>
      </c>
      <c r="M919" s="1" t="s">
        <v>81</v>
      </c>
      <c r="N919" s="1" t="s">
        <v>16521</v>
      </c>
      <c r="O919" s="1"/>
      <c r="P919" s="1" t="s">
        <v>1323</v>
      </c>
      <c r="Q919" s="1" t="s">
        <v>16522</v>
      </c>
      <c r="R919" s="1" t="s">
        <v>16523</v>
      </c>
      <c r="S919" s="1">
        <v>7892857256</v>
      </c>
      <c r="T919" s="1" t="s">
        <v>496</v>
      </c>
      <c r="U919" s="1" t="s">
        <v>16524</v>
      </c>
      <c r="V919" s="1">
        <v>9901342825</v>
      </c>
      <c r="W919" s="1" t="s">
        <v>156</v>
      </c>
      <c r="X919" s="1" t="s">
        <v>16525</v>
      </c>
      <c r="Y919" s="1" t="s">
        <v>1083</v>
      </c>
      <c r="Z919" s="1" t="s">
        <v>1084</v>
      </c>
      <c r="AA919" s="1" t="s">
        <v>16526</v>
      </c>
      <c r="AB919" s="1" t="s">
        <v>5176</v>
      </c>
      <c r="AC919" s="1" t="s">
        <v>1084</v>
      </c>
      <c r="AD919" s="1" t="s">
        <v>93</v>
      </c>
      <c r="AE919" s="1" t="s">
        <v>93</v>
      </c>
      <c r="AF919" s="1" t="s">
        <v>16527</v>
      </c>
      <c r="AG919" s="1" t="s">
        <v>2745</v>
      </c>
      <c r="AH919" s="1" t="s">
        <v>479</v>
      </c>
      <c r="AI919" s="1" t="s">
        <v>1307</v>
      </c>
      <c r="AJ919" s="1">
        <v>71.52</v>
      </c>
      <c r="AK919" s="1"/>
      <c r="AL919" s="1" t="s">
        <v>16528</v>
      </c>
      <c r="AM919" s="1" t="s">
        <v>16529</v>
      </c>
      <c r="AN919" s="1" t="s">
        <v>433</v>
      </c>
      <c r="AO919" s="1" t="s">
        <v>941</v>
      </c>
      <c r="AP919" s="1">
        <v>65.33</v>
      </c>
      <c r="AQ919" s="1"/>
      <c r="AR919" s="1"/>
      <c r="AS919" s="1"/>
      <c r="AT919" s="1"/>
      <c r="AU919" s="1"/>
      <c r="AV919" s="1"/>
      <c r="AW919" s="1"/>
      <c r="AX919" s="1" t="s">
        <v>16530</v>
      </c>
      <c r="AY919" s="1" t="s">
        <v>16531</v>
      </c>
      <c r="AZ919" s="1" t="s">
        <v>363</v>
      </c>
      <c r="BA919" s="1" t="s">
        <v>1938</v>
      </c>
      <c r="BB919" s="1">
        <v>52.7</v>
      </c>
      <c r="BC919" s="1">
        <v>6.02</v>
      </c>
      <c r="BD919" s="1"/>
      <c r="BE919" s="1"/>
      <c r="BF919" s="1"/>
      <c r="BG919" s="1"/>
      <c r="BH919" s="1"/>
      <c r="BI919" s="1"/>
      <c r="BJ919" s="1" t="s">
        <v>1383</v>
      </c>
      <c r="BK919" s="1"/>
      <c r="BL919" s="1"/>
      <c r="BM919" s="1" t="s">
        <v>16532</v>
      </c>
      <c r="BN919" s="1">
        <v>15</v>
      </c>
      <c r="BO919" s="1"/>
      <c r="BP919" s="1" t="str">
        <f>HYPERLINK("https://nconnect.nicmar.ac.in/storage/profile/ProfilePhoto_P25702139_653287.jpg","Download")</f>
        <v>0</v>
      </c>
      <c r="BQ919" s="3"/>
      <c r="BR919" s="3"/>
    </row>
    <row r="920" spans="1:70">
      <c r="A920" s="1" t="s">
        <v>441</v>
      </c>
      <c r="B920" s="1" t="s">
        <v>1269</v>
      </c>
      <c r="C920" s="1" t="s">
        <v>16533</v>
      </c>
      <c r="D920" s="1" t="s">
        <v>16534</v>
      </c>
      <c r="E920" s="1"/>
      <c r="F920" s="1" t="s">
        <v>16535</v>
      </c>
      <c r="G920" s="1" t="s">
        <v>16536</v>
      </c>
      <c r="H920" s="1" t="s">
        <v>16537</v>
      </c>
      <c r="I920" s="1" t="s">
        <v>16538</v>
      </c>
      <c r="J920" s="1">
        <v>6370904227</v>
      </c>
      <c r="K920" s="1" t="s">
        <v>148</v>
      </c>
      <c r="L920" s="1" t="s">
        <v>16539</v>
      </c>
      <c r="M920" s="1" t="s">
        <v>81</v>
      </c>
      <c r="N920" s="1" t="s">
        <v>1746</v>
      </c>
      <c r="O920" s="1"/>
      <c r="P920" s="1" t="s">
        <v>1323</v>
      </c>
      <c r="Q920" s="1" t="s">
        <v>16540</v>
      </c>
      <c r="R920" s="1" t="s">
        <v>16541</v>
      </c>
      <c r="S920" s="1">
        <v>9437178753</v>
      </c>
      <c r="T920" s="1" t="s">
        <v>16542</v>
      </c>
      <c r="U920" s="1" t="s">
        <v>16543</v>
      </c>
      <c r="V920" s="1">
        <v>7978271577</v>
      </c>
      <c r="W920" s="1" t="s">
        <v>89</v>
      </c>
      <c r="X920" s="1" t="s">
        <v>16544</v>
      </c>
      <c r="Y920" s="1" t="s">
        <v>2096</v>
      </c>
      <c r="Z920" s="1" t="s">
        <v>1731</v>
      </c>
      <c r="AA920" s="1" t="s">
        <v>16544</v>
      </c>
      <c r="AB920" s="1" t="s">
        <v>2096</v>
      </c>
      <c r="AC920" s="1" t="s">
        <v>1731</v>
      </c>
      <c r="AD920" s="1" t="s">
        <v>93</v>
      </c>
      <c r="AE920" s="1" t="s">
        <v>93</v>
      </c>
      <c r="AF920" s="1" t="s">
        <v>16545</v>
      </c>
      <c r="AG920" s="1" t="s">
        <v>16546</v>
      </c>
      <c r="AH920" s="1" t="s">
        <v>249</v>
      </c>
      <c r="AI920" s="1" t="s">
        <v>129</v>
      </c>
      <c r="AJ920" s="1">
        <v>72.33</v>
      </c>
      <c r="AK920" s="1"/>
      <c r="AL920" s="1"/>
      <c r="AM920" s="1"/>
      <c r="AN920" s="1"/>
      <c r="AO920" s="1"/>
      <c r="AP920" s="1"/>
      <c r="AQ920" s="1"/>
      <c r="AR920" s="1" t="s">
        <v>16547</v>
      </c>
      <c r="AS920" s="1" t="s">
        <v>16548</v>
      </c>
      <c r="AT920" s="1" t="s">
        <v>1245</v>
      </c>
      <c r="AU920" s="1" t="s">
        <v>2906</v>
      </c>
      <c r="AV920" s="1">
        <v>83.36</v>
      </c>
      <c r="AW920" s="1"/>
      <c r="AX920" s="1" t="s">
        <v>2100</v>
      </c>
      <c r="AY920" s="1" t="s">
        <v>16549</v>
      </c>
      <c r="AZ920" s="1" t="s">
        <v>636</v>
      </c>
      <c r="BA920" s="1" t="s">
        <v>1157</v>
      </c>
      <c r="BB920" s="1">
        <v>0</v>
      </c>
      <c r="BC920" s="1">
        <v>7.14</v>
      </c>
      <c r="BD920" s="1"/>
      <c r="BE920" s="1"/>
      <c r="BF920" s="1"/>
      <c r="BG920" s="1"/>
      <c r="BH920" s="1"/>
      <c r="BI920" s="1"/>
      <c r="BJ920" s="1" t="s">
        <v>16550</v>
      </c>
      <c r="BK920" s="1"/>
      <c r="BL920" s="1"/>
      <c r="BM920" s="1" t="s">
        <v>16551</v>
      </c>
      <c r="BN920" s="1">
        <v>8</v>
      </c>
      <c r="BO920" s="1"/>
      <c r="BP920" s="1" t="str">
        <f>HYPERLINK("https://nconnect.nicmar.ac.in/storage/profile/ProfilePhoto_P25702140_617534.jpg","Download")</f>
        <v>0</v>
      </c>
      <c r="BQ920" s="3"/>
      <c r="BR920" s="3"/>
    </row>
    <row r="921" spans="1:70">
      <c r="A921" s="1" t="s">
        <v>441</v>
      </c>
      <c r="B921" s="1" t="s">
        <v>1269</v>
      </c>
      <c r="C921" s="1" t="s">
        <v>16552</v>
      </c>
      <c r="D921" s="1" t="s">
        <v>16553</v>
      </c>
      <c r="E921" s="1" t="s">
        <v>16554</v>
      </c>
      <c r="F921" s="1" t="s">
        <v>3053</v>
      </c>
      <c r="G921" s="1" t="s">
        <v>16555</v>
      </c>
      <c r="H921" s="1" t="s">
        <v>16556</v>
      </c>
      <c r="I921" s="1" t="s">
        <v>16557</v>
      </c>
      <c r="J921" s="1">
        <v>9527427054</v>
      </c>
      <c r="K921" s="1" t="s">
        <v>148</v>
      </c>
      <c r="L921" s="1" t="s">
        <v>16558</v>
      </c>
      <c r="M921" s="1" t="s">
        <v>81</v>
      </c>
      <c r="N921" s="1" t="s">
        <v>2008</v>
      </c>
      <c r="O921" s="1"/>
      <c r="P921" s="1" t="s">
        <v>1323</v>
      </c>
      <c r="Q921" s="1" t="s">
        <v>16559</v>
      </c>
      <c r="R921" s="1" t="s">
        <v>144</v>
      </c>
      <c r="S921" s="1">
        <v>8788634035</v>
      </c>
      <c r="T921" s="1" t="s">
        <v>9871</v>
      </c>
      <c r="U921" s="1" t="s">
        <v>2699</v>
      </c>
      <c r="V921" s="1">
        <v>8237197508</v>
      </c>
      <c r="W921" s="1" t="s">
        <v>89</v>
      </c>
      <c r="X921" s="1" t="s">
        <v>16560</v>
      </c>
      <c r="Y921" s="1" t="s">
        <v>405</v>
      </c>
      <c r="Z921" s="1" t="s">
        <v>92</v>
      </c>
      <c r="AA921" s="1" t="s">
        <v>16560</v>
      </c>
      <c r="AB921" s="1" t="s">
        <v>405</v>
      </c>
      <c r="AC921" s="1" t="s">
        <v>92</v>
      </c>
      <c r="AD921" s="1">
        <v>8.58</v>
      </c>
      <c r="AE921" s="1" t="s">
        <v>93</v>
      </c>
      <c r="AF921" s="1" t="s">
        <v>16561</v>
      </c>
      <c r="AG921" s="1" t="s">
        <v>1539</v>
      </c>
      <c r="AH921" s="1" t="s">
        <v>96</v>
      </c>
      <c r="AI921" s="1" t="s">
        <v>97</v>
      </c>
      <c r="AJ921" s="1">
        <v>93.8</v>
      </c>
      <c r="AK921" s="1"/>
      <c r="AL921" s="1" t="s">
        <v>16561</v>
      </c>
      <c r="AM921" s="1" t="s">
        <v>1539</v>
      </c>
      <c r="AN921" s="1" t="s">
        <v>162</v>
      </c>
      <c r="AO921" s="1" t="s">
        <v>1332</v>
      </c>
      <c r="AP921" s="1">
        <v>74.15</v>
      </c>
      <c r="AQ921" s="1"/>
      <c r="AR921" s="1"/>
      <c r="AS921" s="1"/>
      <c r="AT921" s="1"/>
      <c r="AU921" s="1"/>
      <c r="AV921" s="1"/>
      <c r="AW921" s="1"/>
      <c r="AX921" s="1" t="s">
        <v>1852</v>
      </c>
      <c r="AY921" s="1" t="s">
        <v>16562</v>
      </c>
      <c r="AZ921" s="1" t="s">
        <v>225</v>
      </c>
      <c r="BA921" s="1" t="s">
        <v>284</v>
      </c>
      <c r="BB921" s="1">
        <v>73.9</v>
      </c>
      <c r="BC921" s="1">
        <v>8.14</v>
      </c>
      <c r="BD921" s="1"/>
      <c r="BE921" s="1"/>
      <c r="BF921" s="1"/>
      <c r="BG921" s="1"/>
      <c r="BH921" s="1"/>
      <c r="BI921" s="1"/>
      <c r="BJ921" s="1" t="s">
        <v>16563</v>
      </c>
      <c r="BK921" s="1" t="s">
        <v>16564</v>
      </c>
      <c r="BL921" s="1" t="s">
        <v>4196</v>
      </c>
      <c r="BM921" s="1" t="s">
        <v>16565</v>
      </c>
      <c r="BN921" s="1">
        <v>22</v>
      </c>
      <c r="BO921" s="1"/>
      <c r="BP921" s="1" t="str">
        <f>HYPERLINK("https://nconnect.nicmar.ac.in/storage/profile/ProfilePhoto_P25702141_791462.jpg","Download")</f>
        <v>0</v>
      </c>
      <c r="BQ921" s="3"/>
      <c r="BR921" s="3"/>
    </row>
    <row r="922" spans="1:70">
      <c r="A922" s="1" t="s">
        <v>441</v>
      </c>
      <c r="B922" s="1" t="s">
        <v>1269</v>
      </c>
      <c r="C922" s="1" t="s">
        <v>16566</v>
      </c>
      <c r="D922" s="1" t="s">
        <v>4143</v>
      </c>
      <c r="E922" s="1" t="s">
        <v>13646</v>
      </c>
      <c r="F922" s="1" t="s">
        <v>16567</v>
      </c>
      <c r="G922" s="1" t="s">
        <v>16568</v>
      </c>
      <c r="H922" s="1" t="s">
        <v>16569</v>
      </c>
      <c r="I922" s="1" t="s">
        <v>16570</v>
      </c>
      <c r="J922" s="1">
        <v>9167361846</v>
      </c>
      <c r="K922" s="1" t="s">
        <v>79</v>
      </c>
      <c r="L922" s="1" t="s">
        <v>16571</v>
      </c>
      <c r="M922" s="1" t="s">
        <v>81</v>
      </c>
      <c r="N922" s="1" t="s">
        <v>16572</v>
      </c>
      <c r="O922" s="1"/>
      <c r="P922" s="1" t="s">
        <v>1278</v>
      </c>
      <c r="Q922" s="1" t="s">
        <v>16573</v>
      </c>
      <c r="R922" s="1" t="s">
        <v>16574</v>
      </c>
      <c r="S922" s="1">
        <v>9930165439</v>
      </c>
      <c r="T922" s="1" t="s">
        <v>4471</v>
      </c>
      <c r="U922" s="1" t="s">
        <v>16575</v>
      </c>
      <c r="V922" s="1">
        <v>7506254461</v>
      </c>
      <c r="W922" s="1" t="s">
        <v>156</v>
      </c>
      <c r="X922" s="1" t="s">
        <v>16576</v>
      </c>
      <c r="Y922" s="1" t="s">
        <v>995</v>
      </c>
      <c r="Z922" s="1" t="s">
        <v>92</v>
      </c>
      <c r="AA922" s="1" t="s">
        <v>16577</v>
      </c>
      <c r="AB922" s="1" t="s">
        <v>1623</v>
      </c>
      <c r="AC922" s="1" t="s">
        <v>92</v>
      </c>
      <c r="AD922" s="1">
        <v>8.16</v>
      </c>
      <c r="AE922" s="1" t="s">
        <v>93</v>
      </c>
      <c r="AF922" s="1" t="s">
        <v>16578</v>
      </c>
      <c r="AG922" s="1" t="s">
        <v>16579</v>
      </c>
      <c r="AH922" s="1" t="s">
        <v>337</v>
      </c>
      <c r="AI922" s="1" t="s">
        <v>527</v>
      </c>
      <c r="AJ922" s="1">
        <v>80.8</v>
      </c>
      <c r="AK922" s="1"/>
      <c r="AL922" s="1" t="s">
        <v>16580</v>
      </c>
      <c r="AM922" s="1" t="s">
        <v>16579</v>
      </c>
      <c r="AN922" s="1" t="s">
        <v>162</v>
      </c>
      <c r="AO922" s="1" t="s">
        <v>166</v>
      </c>
      <c r="AP922" s="1">
        <v>60</v>
      </c>
      <c r="AQ922" s="1"/>
      <c r="AR922" s="1"/>
      <c r="AS922" s="1"/>
      <c r="AT922" s="1"/>
      <c r="AU922" s="1"/>
      <c r="AV922" s="1"/>
      <c r="AW922" s="1"/>
      <c r="AX922" s="1" t="s">
        <v>1024</v>
      </c>
      <c r="AY922" s="1" t="s">
        <v>1472</v>
      </c>
      <c r="AZ922" s="1" t="s">
        <v>101</v>
      </c>
      <c r="BA922" s="1" t="s">
        <v>682</v>
      </c>
      <c r="BB922" s="1">
        <v>59.93</v>
      </c>
      <c r="BC922" s="1">
        <v>6.71</v>
      </c>
      <c r="BD922" s="1"/>
      <c r="BE922" s="1"/>
      <c r="BF922" s="1"/>
      <c r="BG922" s="1"/>
      <c r="BH922" s="1"/>
      <c r="BI922" s="1"/>
      <c r="BJ922" s="1" t="s">
        <v>16581</v>
      </c>
      <c r="BK922" s="1" t="s">
        <v>16582</v>
      </c>
      <c r="BL922" s="1" t="s">
        <v>2186</v>
      </c>
      <c r="BM922" s="1" t="s">
        <v>16583</v>
      </c>
      <c r="BN922" s="1">
        <v>18</v>
      </c>
      <c r="BO922" s="1"/>
      <c r="BP922" s="1" t="str">
        <f>HYPERLINK("https://nconnect.nicmar.ac.in/storage/profile/ProfilePhoto_P25702142_975823.jpg","Download")</f>
        <v>0</v>
      </c>
      <c r="BQ922" s="3"/>
      <c r="BR922" s="3"/>
    </row>
    <row r="923" spans="1:70">
      <c r="A923" s="1" t="s">
        <v>441</v>
      </c>
      <c r="B923" s="1" t="s">
        <v>1269</v>
      </c>
      <c r="C923" s="1" t="s">
        <v>16584</v>
      </c>
      <c r="D923" s="1" t="s">
        <v>16585</v>
      </c>
      <c r="E923" s="1"/>
      <c r="F923" s="1" t="s">
        <v>111</v>
      </c>
      <c r="G923" s="1" t="s">
        <v>16586</v>
      </c>
      <c r="H923" s="1" t="s">
        <v>16587</v>
      </c>
      <c r="I923" s="1" t="s">
        <v>16588</v>
      </c>
      <c r="J923" s="1">
        <v>9994020923</v>
      </c>
      <c r="K923" s="1" t="s">
        <v>79</v>
      </c>
      <c r="L923" s="1" t="s">
        <v>16589</v>
      </c>
      <c r="M923" s="1" t="s">
        <v>81</v>
      </c>
      <c r="N923" s="1" t="s">
        <v>16590</v>
      </c>
      <c r="O923" s="1"/>
      <c r="P923" s="1" t="s">
        <v>1298</v>
      </c>
      <c r="Q923" s="1" t="s">
        <v>16591</v>
      </c>
      <c r="R923" s="1" t="s">
        <v>16592</v>
      </c>
      <c r="S923" s="1">
        <v>9789730052</v>
      </c>
      <c r="T923" s="1" t="s">
        <v>16593</v>
      </c>
      <c r="U923" s="1" t="s">
        <v>16594</v>
      </c>
      <c r="V923" s="1">
        <v>9715877739</v>
      </c>
      <c r="W923" s="1" t="s">
        <v>89</v>
      </c>
      <c r="X923" s="1" t="s">
        <v>16595</v>
      </c>
      <c r="Y923" s="1" t="s">
        <v>2925</v>
      </c>
      <c r="Z923" s="1" t="s">
        <v>1377</v>
      </c>
      <c r="AA923" s="1" t="s">
        <v>16595</v>
      </c>
      <c r="AB923" s="1" t="s">
        <v>2925</v>
      </c>
      <c r="AC923" s="1" t="s">
        <v>1377</v>
      </c>
      <c r="AD923" s="1">
        <v>9.13</v>
      </c>
      <c r="AE923" s="1" t="s">
        <v>93</v>
      </c>
      <c r="AF923" s="1" t="s">
        <v>16596</v>
      </c>
      <c r="AG923" s="1" t="s">
        <v>16597</v>
      </c>
      <c r="AH923" s="1" t="s">
        <v>165</v>
      </c>
      <c r="AI923" s="1" t="s">
        <v>281</v>
      </c>
      <c r="AJ923" s="1">
        <v>87.2</v>
      </c>
      <c r="AK923" s="1"/>
      <c r="AL923" s="1" t="s">
        <v>16596</v>
      </c>
      <c r="AM923" s="1" t="s">
        <v>16597</v>
      </c>
      <c r="AN923" s="1" t="s">
        <v>433</v>
      </c>
      <c r="AO923" s="1" t="s">
        <v>941</v>
      </c>
      <c r="AP923" s="1">
        <v>57.66</v>
      </c>
      <c r="AQ923" s="1"/>
      <c r="AR923" s="1"/>
      <c r="AS923" s="1"/>
      <c r="AT923" s="1"/>
      <c r="AU923" s="1"/>
      <c r="AV923" s="1"/>
      <c r="AW923" s="1"/>
      <c r="AX923" s="1" t="s">
        <v>1381</v>
      </c>
      <c r="AY923" s="1" t="s">
        <v>16598</v>
      </c>
      <c r="AZ923" s="1" t="s">
        <v>681</v>
      </c>
      <c r="BA923" s="1" t="s">
        <v>702</v>
      </c>
      <c r="BB923" s="1">
        <v>78.9</v>
      </c>
      <c r="BC923" s="1">
        <v>7.89</v>
      </c>
      <c r="BD923" s="1"/>
      <c r="BE923" s="1"/>
      <c r="BF923" s="1"/>
      <c r="BG923" s="1"/>
      <c r="BH923" s="1"/>
      <c r="BI923" s="1"/>
      <c r="BJ923" s="1" t="s">
        <v>16599</v>
      </c>
      <c r="BK923" s="1" t="s">
        <v>16600</v>
      </c>
      <c r="BL923" s="1" t="s">
        <v>287</v>
      </c>
      <c r="BM923" s="1" t="s">
        <v>16601</v>
      </c>
      <c r="BN923" s="1">
        <v>4</v>
      </c>
      <c r="BO923" s="1" t="s">
        <v>16602</v>
      </c>
      <c r="BP923" s="1" t="str">
        <f>HYPERLINK("https://nconnect.nicmar.ac.in/storage/profile/ProfilePhoto_P25702143_642159.jpg","Download")</f>
        <v>0</v>
      </c>
      <c r="BQ923" s="3"/>
      <c r="BR923" s="3"/>
    </row>
    <row r="924" spans="1:70">
      <c r="A924" s="1" t="s">
        <v>441</v>
      </c>
      <c r="B924" s="1" t="s">
        <v>1269</v>
      </c>
      <c r="C924" s="1" t="s">
        <v>16603</v>
      </c>
      <c r="D924" s="1" t="s">
        <v>14099</v>
      </c>
      <c r="E924" s="1" t="s">
        <v>4280</v>
      </c>
      <c r="F924" s="1" t="s">
        <v>16604</v>
      </c>
      <c r="G924" s="1" t="s">
        <v>16605</v>
      </c>
      <c r="H924" s="1" t="s">
        <v>16606</v>
      </c>
      <c r="I924" s="1" t="s">
        <v>16607</v>
      </c>
      <c r="J924" s="1">
        <v>9158030985</v>
      </c>
      <c r="K924" s="1" t="s">
        <v>79</v>
      </c>
      <c r="L924" s="1" t="s">
        <v>8098</v>
      </c>
      <c r="M924" s="1" t="s">
        <v>81</v>
      </c>
      <c r="N924" s="1" t="s">
        <v>16608</v>
      </c>
      <c r="O924" s="1" t="s">
        <v>16609</v>
      </c>
      <c r="P924" s="1" t="s">
        <v>1766</v>
      </c>
      <c r="Q924" s="1" t="s">
        <v>16610</v>
      </c>
      <c r="R924" s="1" t="s">
        <v>16611</v>
      </c>
      <c r="S924" s="1">
        <v>9860524715</v>
      </c>
      <c r="T924" s="1" t="s">
        <v>763</v>
      </c>
      <c r="U924" s="1" t="s">
        <v>16612</v>
      </c>
      <c r="V924" s="1">
        <v>7823891874</v>
      </c>
      <c r="W924" s="1" t="s">
        <v>156</v>
      </c>
      <c r="X924" s="1" t="s">
        <v>16613</v>
      </c>
      <c r="Y924" s="1" t="s">
        <v>191</v>
      </c>
      <c r="Z924" s="1" t="s">
        <v>92</v>
      </c>
      <c r="AA924" s="1" t="s">
        <v>16613</v>
      </c>
      <c r="AB924" s="1" t="s">
        <v>191</v>
      </c>
      <c r="AC924" s="1" t="s">
        <v>92</v>
      </c>
      <c r="AD924" s="1">
        <v>6.79</v>
      </c>
      <c r="AE924" s="1" t="s">
        <v>93</v>
      </c>
      <c r="AF924" s="1" t="s">
        <v>16614</v>
      </c>
      <c r="AG924" s="1" t="s">
        <v>16615</v>
      </c>
      <c r="AH924" s="1" t="s">
        <v>165</v>
      </c>
      <c r="AI924" s="1" t="s">
        <v>281</v>
      </c>
      <c r="AJ924" s="1">
        <v>63.2</v>
      </c>
      <c r="AK924" s="1"/>
      <c r="AL924" s="1"/>
      <c r="AM924" s="1"/>
      <c r="AN924" s="1"/>
      <c r="AO924" s="1"/>
      <c r="AP924" s="1"/>
      <c r="AQ924" s="1"/>
      <c r="AR924" s="1" t="s">
        <v>98</v>
      </c>
      <c r="AS924" s="1" t="s">
        <v>16616</v>
      </c>
      <c r="AT924" s="1" t="s">
        <v>636</v>
      </c>
      <c r="AU924" s="1" t="s">
        <v>135</v>
      </c>
      <c r="AV924" s="1">
        <v>71.16</v>
      </c>
      <c r="AW924" s="1"/>
      <c r="AX924" s="1" t="s">
        <v>361</v>
      </c>
      <c r="AY924" s="1" t="s">
        <v>16617</v>
      </c>
      <c r="AZ924" s="1" t="s">
        <v>2690</v>
      </c>
      <c r="BA924" s="1" t="s">
        <v>6010</v>
      </c>
      <c r="BB924" s="1">
        <v>56.85</v>
      </c>
      <c r="BC924" s="1">
        <v>6.12</v>
      </c>
      <c r="BD924" s="1"/>
      <c r="BE924" s="1"/>
      <c r="BF924" s="1"/>
      <c r="BG924" s="1"/>
      <c r="BH924" s="1"/>
      <c r="BI924" s="1"/>
      <c r="BJ924" s="1" t="s">
        <v>1777</v>
      </c>
      <c r="BK924" s="1"/>
      <c r="BL924" s="1"/>
      <c r="BM924" s="1" t="s">
        <v>16618</v>
      </c>
      <c r="BN924" s="1">
        <v>21</v>
      </c>
      <c r="BO924" s="1"/>
      <c r="BP924" s="1" t="str">
        <f>HYPERLINK("https://nconnect.nicmar.ac.in/storage/profile/ProfilePhoto_P25702144_513879.jpg","Download")</f>
        <v>0</v>
      </c>
      <c r="BQ924" s="3"/>
      <c r="BR924" s="3"/>
    </row>
    <row r="925" spans="1:70">
      <c r="A925" s="1" t="s">
        <v>441</v>
      </c>
      <c r="B925" s="1" t="s">
        <v>1269</v>
      </c>
      <c r="C925" s="1" t="s">
        <v>16619</v>
      </c>
      <c r="D925" s="1" t="s">
        <v>16620</v>
      </c>
      <c r="E925" s="1" t="s">
        <v>11611</v>
      </c>
      <c r="F925" s="1" t="s">
        <v>2023</v>
      </c>
      <c r="G925" s="1" t="s">
        <v>16621</v>
      </c>
      <c r="H925" s="1" t="s">
        <v>16622</v>
      </c>
      <c r="I925" s="1" t="s">
        <v>16623</v>
      </c>
      <c r="J925" s="1">
        <v>8421897944</v>
      </c>
      <c r="K925" s="1" t="s">
        <v>148</v>
      </c>
      <c r="L925" s="1" t="s">
        <v>3613</v>
      </c>
      <c r="M925" s="1" t="s">
        <v>81</v>
      </c>
      <c r="N925" s="1" t="s">
        <v>860</v>
      </c>
      <c r="O925" s="1"/>
      <c r="P925" s="1" t="s">
        <v>1298</v>
      </c>
      <c r="Q925" s="1" t="s">
        <v>16624</v>
      </c>
      <c r="R925" s="1" t="s">
        <v>2023</v>
      </c>
      <c r="S925" s="1">
        <v>9421894505</v>
      </c>
      <c r="T925" s="1" t="s">
        <v>976</v>
      </c>
      <c r="U925" s="1" t="s">
        <v>7446</v>
      </c>
      <c r="V925" s="1">
        <v>9421899543</v>
      </c>
      <c r="W925" s="1" t="s">
        <v>156</v>
      </c>
      <c r="X925" s="1" t="s">
        <v>16625</v>
      </c>
      <c r="Y925" s="1" t="s">
        <v>219</v>
      </c>
      <c r="Z925" s="1" t="s">
        <v>92</v>
      </c>
      <c r="AA925" s="1" t="s">
        <v>16625</v>
      </c>
      <c r="AB925" s="1" t="s">
        <v>219</v>
      </c>
      <c r="AC925" s="1" t="s">
        <v>92</v>
      </c>
      <c r="AD925" s="1">
        <v>7.87</v>
      </c>
      <c r="AE925" s="1" t="s">
        <v>93</v>
      </c>
      <c r="AF925" s="1" t="s">
        <v>16626</v>
      </c>
      <c r="AG925" s="1" t="s">
        <v>455</v>
      </c>
      <c r="AH925" s="1" t="s">
        <v>96</v>
      </c>
      <c r="AI925" s="1" t="s">
        <v>97</v>
      </c>
      <c r="AJ925" s="1">
        <v>91.2</v>
      </c>
      <c r="AK925" s="1"/>
      <c r="AL925" s="1" t="s">
        <v>13292</v>
      </c>
      <c r="AM925" s="1" t="s">
        <v>455</v>
      </c>
      <c r="AN925" s="1" t="s">
        <v>162</v>
      </c>
      <c r="AO925" s="1" t="s">
        <v>1332</v>
      </c>
      <c r="AP925" s="1">
        <v>70.31</v>
      </c>
      <c r="AQ925" s="1"/>
      <c r="AR925" s="1"/>
      <c r="AS925" s="1"/>
      <c r="AT925" s="1"/>
      <c r="AU925" s="1"/>
      <c r="AV925" s="1"/>
      <c r="AW925" s="1"/>
      <c r="AX925" s="1" t="s">
        <v>11420</v>
      </c>
      <c r="AY925" s="1" t="s">
        <v>16627</v>
      </c>
      <c r="AZ925" s="1" t="s">
        <v>383</v>
      </c>
      <c r="BA925" s="1" t="s">
        <v>386</v>
      </c>
      <c r="BB925" s="1">
        <v>65.55</v>
      </c>
      <c r="BC925" s="1">
        <v>6.91</v>
      </c>
      <c r="BD925" s="1"/>
      <c r="BE925" s="1"/>
      <c r="BF925" s="1"/>
      <c r="BG925" s="1"/>
      <c r="BH925" s="1"/>
      <c r="BI925" s="1"/>
      <c r="BJ925" s="1" t="s">
        <v>364</v>
      </c>
      <c r="BK925" s="1"/>
      <c r="BL925" s="1"/>
      <c r="BM925" s="1"/>
      <c r="BN925" s="1"/>
      <c r="BO925" s="1"/>
      <c r="BP925" s="1" t="str">
        <f>HYPERLINK("https://nconnect.nicmar.ac.in/storage/profile/ProfilePhoto_P25702145_537219.jpg","Download")</f>
        <v>0</v>
      </c>
      <c r="BQ925" s="3"/>
      <c r="BR925" s="3"/>
    </row>
    <row r="926" spans="1:70">
      <c r="A926" s="1" t="s">
        <v>441</v>
      </c>
      <c r="B926" s="1" t="s">
        <v>1269</v>
      </c>
      <c r="C926" s="1" t="s">
        <v>16628</v>
      </c>
      <c r="D926" s="1" t="s">
        <v>8330</v>
      </c>
      <c r="E926" s="1"/>
      <c r="F926" s="1" t="s">
        <v>16629</v>
      </c>
      <c r="G926" s="1" t="s">
        <v>16630</v>
      </c>
      <c r="H926" s="1" t="s">
        <v>16631</v>
      </c>
      <c r="I926" s="1" t="s">
        <v>16632</v>
      </c>
      <c r="J926" s="1">
        <v>9140953092</v>
      </c>
      <c r="K926" s="1" t="s">
        <v>79</v>
      </c>
      <c r="L926" s="1" t="s">
        <v>3964</v>
      </c>
      <c r="M926" s="1" t="s">
        <v>81</v>
      </c>
      <c r="N926" s="1" t="s">
        <v>82</v>
      </c>
      <c r="O926" s="1"/>
      <c r="P926" s="1" t="s">
        <v>1462</v>
      </c>
      <c r="Q926" s="1" t="s">
        <v>16633</v>
      </c>
      <c r="R926" s="1" t="s">
        <v>16634</v>
      </c>
      <c r="S926" s="1">
        <v>7052931127</v>
      </c>
      <c r="T926" s="1" t="s">
        <v>976</v>
      </c>
      <c r="U926" s="1" t="s">
        <v>301</v>
      </c>
      <c r="V926" s="1">
        <v>7052931127</v>
      </c>
      <c r="W926" s="1" t="s">
        <v>156</v>
      </c>
      <c r="X926" s="1" t="s">
        <v>16635</v>
      </c>
      <c r="Y926" s="1" t="s">
        <v>1911</v>
      </c>
      <c r="Z926" s="1" t="s">
        <v>1355</v>
      </c>
      <c r="AA926" s="1" t="s">
        <v>16635</v>
      </c>
      <c r="AB926" s="1" t="s">
        <v>1911</v>
      </c>
      <c r="AC926" s="1" t="s">
        <v>1355</v>
      </c>
      <c r="AD926" s="1">
        <v>7.19</v>
      </c>
      <c r="AE926" s="1" t="s">
        <v>93</v>
      </c>
      <c r="AF926" s="1" t="s">
        <v>16636</v>
      </c>
      <c r="AG926" s="1" t="s">
        <v>16637</v>
      </c>
      <c r="AH926" s="1" t="s">
        <v>503</v>
      </c>
      <c r="AI926" s="1" t="s">
        <v>165</v>
      </c>
      <c r="AJ926" s="1">
        <v>57</v>
      </c>
      <c r="AK926" s="1">
        <v>6</v>
      </c>
      <c r="AL926" s="1" t="s">
        <v>16638</v>
      </c>
      <c r="AM926" s="1" t="s">
        <v>16639</v>
      </c>
      <c r="AN926" s="1" t="s">
        <v>678</v>
      </c>
      <c r="AO926" s="1" t="s">
        <v>1065</v>
      </c>
      <c r="AP926" s="1">
        <v>59.4</v>
      </c>
      <c r="AQ926" s="1"/>
      <c r="AR926" s="1"/>
      <c r="AS926" s="1"/>
      <c r="AT926" s="1"/>
      <c r="AU926" s="1"/>
      <c r="AV926" s="1"/>
      <c r="AW926" s="1"/>
      <c r="AX926" s="1" t="s">
        <v>16640</v>
      </c>
      <c r="AY926" s="1" t="s">
        <v>16641</v>
      </c>
      <c r="AZ926" s="1" t="s">
        <v>310</v>
      </c>
      <c r="BA926" s="1" t="s">
        <v>174</v>
      </c>
      <c r="BB926" s="1">
        <v>74.48</v>
      </c>
      <c r="BC926" s="1"/>
      <c r="BD926" s="1"/>
      <c r="BE926" s="1"/>
      <c r="BF926" s="1"/>
      <c r="BG926" s="1"/>
      <c r="BH926" s="1"/>
      <c r="BI926" s="1"/>
      <c r="BJ926" s="1" t="s">
        <v>16642</v>
      </c>
      <c r="BK926" s="1"/>
      <c r="BL926" s="1"/>
      <c r="BM926" s="1" t="s">
        <v>16643</v>
      </c>
      <c r="BN926" s="1">
        <v>33</v>
      </c>
      <c r="BO926" s="1" t="s">
        <v>16644</v>
      </c>
      <c r="BP926" s="1" t="str">
        <f>HYPERLINK("https://nconnect.nicmar.ac.in/storage/profile/ProfilePhoto_P25702146_286534.jpg","Download")</f>
        <v>0</v>
      </c>
      <c r="BQ926" s="3"/>
      <c r="BR926" s="3"/>
    </row>
    <row r="927" spans="1:70">
      <c r="A927" s="1" t="s">
        <v>441</v>
      </c>
      <c r="B927" s="1" t="s">
        <v>1269</v>
      </c>
      <c r="C927" s="1" t="s">
        <v>16645</v>
      </c>
      <c r="D927" s="1" t="s">
        <v>314</v>
      </c>
      <c r="E927" s="1" t="s">
        <v>4280</v>
      </c>
      <c r="F927" s="1" t="s">
        <v>7759</v>
      </c>
      <c r="G927" s="1" t="s">
        <v>16646</v>
      </c>
      <c r="H927" s="1" t="s">
        <v>16647</v>
      </c>
      <c r="I927" s="1" t="s">
        <v>16648</v>
      </c>
      <c r="J927" s="1">
        <v>9559409990</v>
      </c>
      <c r="K927" s="1" t="s">
        <v>79</v>
      </c>
      <c r="L927" s="1" t="s">
        <v>16649</v>
      </c>
      <c r="M927" s="1" t="s">
        <v>81</v>
      </c>
      <c r="N927" s="1" t="s">
        <v>860</v>
      </c>
      <c r="O927" s="1"/>
      <c r="P927" s="1" t="s">
        <v>1278</v>
      </c>
      <c r="Q927" s="1" t="s">
        <v>16650</v>
      </c>
      <c r="R927" s="1" t="s">
        <v>16651</v>
      </c>
      <c r="S927" s="1">
        <v>7020554242</v>
      </c>
      <c r="T927" s="1" t="s">
        <v>496</v>
      </c>
      <c r="U927" s="1" t="s">
        <v>16652</v>
      </c>
      <c r="V927" s="1">
        <v>7020942494</v>
      </c>
      <c r="W927" s="1" t="s">
        <v>156</v>
      </c>
      <c r="X927" s="1" t="s">
        <v>16653</v>
      </c>
      <c r="Y927" s="1" t="s">
        <v>304</v>
      </c>
      <c r="Z927" s="1" t="s">
        <v>92</v>
      </c>
      <c r="AA927" s="1" t="s">
        <v>16653</v>
      </c>
      <c r="AB927" s="1" t="s">
        <v>304</v>
      </c>
      <c r="AC927" s="1" t="s">
        <v>92</v>
      </c>
      <c r="AD927" s="1">
        <v>7.77</v>
      </c>
      <c r="AE927" s="1" t="s">
        <v>93</v>
      </c>
      <c r="AF927" s="1" t="s">
        <v>16654</v>
      </c>
      <c r="AG927" s="1" t="s">
        <v>16655</v>
      </c>
      <c r="AH927" s="1" t="s">
        <v>733</v>
      </c>
      <c r="AI927" s="1" t="s">
        <v>165</v>
      </c>
      <c r="AJ927" s="1">
        <v>56.8</v>
      </c>
      <c r="AK927" s="1">
        <v>0</v>
      </c>
      <c r="AL927" s="1" t="s">
        <v>16656</v>
      </c>
      <c r="AM927" s="1" t="s">
        <v>197</v>
      </c>
      <c r="AN927" s="1" t="s">
        <v>636</v>
      </c>
      <c r="AO927" s="1" t="s">
        <v>198</v>
      </c>
      <c r="AP927" s="1">
        <v>61.54</v>
      </c>
      <c r="AQ927" s="1">
        <v>0</v>
      </c>
      <c r="AR927" s="1" t="s">
        <v>98</v>
      </c>
      <c r="AS927" s="1" t="s">
        <v>16657</v>
      </c>
      <c r="AT927" s="1" t="s">
        <v>310</v>
      </c>
      <c r="AU927" s="1" t="s">
        <v>1131</v>
      </c>
      <c r="AV927" s="1">
        <v>78.78</v>
      </c>
      <c r="AW927" s="1">
        <v>0</v>
      </c>
      <c r="AX927" s="1" t="s">
        <v>16658</v>
      </c>
      <c r="AY927" s="1" t="s">
        <v>16659</v>
      </c>
      <c r="AZ927" s="1" t="s">
        <v>436</v>
      </c>
      <c r="BA927" s="1" t="s">
        <v>1938</v>
      </c>
      <c r="BB927" s="1">
        <v>65.8</v>
      </c>
      <c r="BC927" s="1">
        <v>7.08</v>
      </c>
      <c r="BD927" s="1"/>
      <c r="BE927" s="1"/>
      <c r="BF927" s="1"/>
      <c r="BG927" s="1"/>
      <c r="BH927" s="1"/>
      <c r="BI927" s="1"/>
      <c r="BJ927" s="1" t="s">
        <v>4102</v>
      </c>
      <c r="BK927" s="1"/>
      <c r="BL927" s="1"/>
      <c r="BM927" s="1"/>
      <c r="BN927" s="1"/>
      <c r="BO927" s="1" t="s">
        <v>16660</v>
      </c>
      <c r="BP927" s="1" t="str">
        <f>HYPERLINK("https://nconnect.nicmar.ac.in/storage/profile/ProfilePhoto_P25702147_251638.jpg","Download")</f>
        <v>0</v>
      </c>
      <c r="BQ927" s="3"/>
      <c r="BR927" s="3"/>
    </row>
    <row r="928" spans="1:70">
      <c r="A928" s="1" t="s">
        <v>441</v>
      </c>
      <c r="B928" s="1" t="s">
        <v>1269</v>
      </c>
      <c r="C928" s="1" t="s">
        <v>16661</v>
      </c>
      <c r="D928" s="1" t="s">
        <v>443</v>
      </c>
      <c r="E928" s="1" t="s">
        <v>16662</v>
      </c>
      <c r="F928" s="1" t="s">
        <v>16663</v>
      </c>
      <c r="G928" s="1" t="s">
        <v>16664</v>
      </c>
      <c r="H928" s="1" t="s">
        <v>16665</v>
      </c>
      <c r="I928" s="1" t="s">
        <v>16666</v>
      </c>
      <c r="J928" s="1">
        <v>9112433201</v>
      </c>
      <c r="K928" s="1" t="s">
        <v>79</v>
      </c>
      <c r="L928" s="1" t="s">
        <v>16667</v>
      </c>
      <c r="M928" s="1" t="s">
        <v>81</v>
      </c>
      <c r="N928" s="1" t="s">
        <v>14004</v>
      </c>
      <c r="O928" s="1" t="s">
        <v>16668</v>
      </c>
      <c r="P928" s="1" t="s">
        <v>1323</v>
      </c>
      <c r="Q928" s="1" t="s">
        <v>16669</v>
      </c>
      <c r="R928" s="1" t="s">
        <v>16662</v>
      </c>
      <c r="S928" s="1">
        <v>9373114757</v>
      </c>
      <c r="T928" s="1" t="s">
        <v>496</v>
      </c>
      <c r="U928" s="1" t="s">
        <v>16670</v>
      </c>
      <c r="V928" s="1">
        <v>8329403779</v>
      </c>
      <c r="W928" s="1" t="s">
        <v>273</v>
      </c>
      <c r="X928" s="1" t="s">
        <v>16671</v>
      </c>
      <c r="Y928" s="1" t="s">
        <v>191</v>
      </c>
      <c r="Z928" s="1" t="s">
        <v>92</v>
      </c>
      <c r="AA928" s="1" t="s">
        <v>16672</v>
      </c>
      <c r="AB928" s="1" t="s">
        <v>405</v>
      </c>
      <c r="AC928" s="1" t="s">
        <v>92</v>
      </c>
      <c r="AD928" s="1">
        <v>7.9</v>
      </c>
      <c r="AE928" s="1" t="s">
        <v>93</v>
      </c>
      <c r="AF928" s="1" t="s">
        <v>16673</v>
      </c>
      <c r="AG928" s="1" t="s">
        <v>16674</v>
      </c>
      <c r="AH928" s="1" t="s">
        <v>165</v>
      </c>
      <c r="AI928" s="1" t="s">
        <v>101</v>
      </c>
      <c r="AJ928" s="1">
        <v>86.8</v>
      </c>
      <c r="AK928" s="1"/>
      <c r="AL928" s="1"/>
      <c r="AM928" s="1"/>
      <c r="AN928" s="1"/>
      <c r="AO928" s="1"/>
      <c r="AP928" s="1"/>
      <c r="AQ928" s="1"/>
      <c r="AR928" s="1" t="s">
        <v>98</v>
      </c>
      <c r="AS928" s="1" t="s">
        <v>9029</v>
      </c>
      <c r="AT928" s="1" t="s">
        <v>636</v>
      </c>
      <c r="AU928" s="1" t="s">
        <v>105</v>
      </c>
      <c r="AV928" s="1">
        <v>82.05</v>
      </c>
      <c r="AW928" s="1"/>
      <c r="AX928" s="1" t="s">
        <v>5523</v>
      </c>
      <c r="AY928" s="1" t="s">
        <v>11391</v>
      </c>
      <c r="AZ928" s="1" t="s">
        <v>2690</v>
      </c>
      <c r="BA928" s="1" t="s">
        <v>1714</v>
      </c>
      <c r="BB928" s="1">
        <v>59.3</v>
      </c>
      <c r="BC928" s="1">
        <v>6.68</v>
      </c>
      <c r="BD928" s="1"/>
      <c r="BE928" s="1"/>
      <c r="BF928" s="1"/>
      <c r="BG928" s="1"/>
      <c r="BH928" s="1"/>
      <c r="BI928" s="1"/>
      <c r="BJ928" s="1" t="s">
        <v>16675</v>
      </c>
      <c r="BK928" s="1"/>
      <c r="BL928" s="1"/>
      <c r="BM928" s="1" t="s">
        <v>16676</v>
      </c>
      <c r="BN928" s="1">
        <v>22</v>
      </c>
      <c r="BO928" s="1" t="s">
        <v>16677</v>
      </c>
      <c r="BP928" s="1" t="str">
        <f>HYPERLINK("https://nconnect.nicmar.ac.in/storage/profile/ProfilePhoto_P25702148_256413.jpg","Download")</f>
        <v>0</v>
      </c>
      <c r="BQ928" s="3"/>
      <c r="BR928" s="3"/>
    </row>
    <row r="929" spans="1:70">
      <c r="A929" s="1" t="s">
        <v>441</v>
      </c>
      <c r="B929" s="1" t="s">
        <v>1269</v>
      </c>
      <c r="C929" s="1" t="s">
        <v>16678</v>
      </c>
      <c r="D929" s="1" t="s">
        <v>14064</v>
      </c>
      <c r="E929" s="1" t="s">
        <v>9148</v>
      </c>
      <c r="F929" s="1" t="s">
        <v>2893</v>
      </c>
      <c r="G929" s="1" t="s">
        <v>14065</v>
      </c>
      <c r="H929" s="1" t="s">
        <v>16679</v>
      </c>
      <c r="I929" s="1" t="s">
        <v>16679</v>
      </c>
      <c r="J929" s="1"/>
      <c r="K929" s="1"/>
      <c r="L929" s="1"/>
      <c r="M929" s="1"/>
      <c r="N929" s="1"/>
      <c r="O929" s="1"/>
      <c r="P929" s="1"/>
      <c r="Q929" s="1"/>
      <c r="R929" s="1"/>
      <c r="S929" s="1"/>
      <c r="T929" s="1"/>
      <c r="U929" s="1"/>
      <c r="V929" s="1"/>
      <c r="W929" s="1"/>
      <c r="X929" s="1"/>
      <c r="Y929" s="1"/>
      <c r="Z929" s="1"/>
      <c r="AA929" s="1"/>
      <c r="AB929" s="1"/>
      <c r="AC929" s="1"/>
      <c r="AD929" s="1" t="s">
        <v>93</v>
      </c>
      <c r="AE929" s="1" t="s">
        <v>93</v>
      </c>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t="s">
        <v>1037</v>
      </c>
      <c r="BQ929" s="3"/>
      <c r="BR929" s="3"/>
    </row>
    <row r="930" spans="1:70">
      <c r="A930" s="1" t="s">
        <v>441</v>
      </c>
      <c r="B930" s="1" t="s">
        <v>1269</v>
      </c>
      <c r="C930" s="1" t="s">
        <v>16680</v>
      </c>
      <c r="D930" s="1" t="s">
        <v>16681</v>
      </c>
      <c r="E930" s="1" t="s">
        <v>9652</v>
      </c>
      <c r="F930" s="1" t="s">
        <v>16682</v>
      </c>
      <c r="G930" s="1" t="s">
        <v>16683</v>
      </c>
      <c r="H930" s="1" t="s">
        <v>16684</v>
      </c>
      <c r="I930" s="1" t="s">
        <v>16685</v>
      </c>
      <c r="J930" s="1">
        <v>9423963810</v>
      </c>
      <c r="K930" s="1" t="s">
        <v>148</v>
      </c>
      <c r="L930" s="1" t="s">
        <v>15033</v>
      </c>
      <c r="M930" s="1" t="s">
        <v>81</v>
      </c>
      <c r="N930" s="1" t="s">
        <v>8131</v>
      </c>
      <c r="O930" s="1"/>
      <c r="P930" s="1" t="s">
        <v>1298</v>
      </c>
      <c r="Q930" s="1" t="s">
        <v>16686</v>
      </c>
      <c r="R930" s="1" t="s">
        <v>16687</v>
      </c>
      <c r="S930" s="1">
        <v>8600040181</v>
      </c>
      <c r="T930" s="1" t="s">
        <v>496</v>
      </c>
      <c r="U930" s="1" t="s">
        <v>16688</v>
      </c>
      <c r="V930" s="1">
        <v>8600040182</v>
      </c>
      <c r="W930" s="1" t="s">
        <v>496</v>
      </c>
      <c r="X930" s="1" t="s">
        <v>16689</v>
      </c>
      <c r="Y930" s="1" t="s">
        <v>191</v>
      </c>
      <c r="Z930" s="1" t="s">
        <v>92</v>
      </c>
      <c r="AA930" s="1" t="s">
        <v>16690</v>
      </c>
      <c r="AB930" s="1" t="s">
        <v>1174</v>
      </c>
      <c r="AC930" s="1" t="s">
        <v>92</v>
      </c>
      <c r="AD930" s="1">
        <v>8.48</v>
      </c>
      <c r="AE930" s="1" t="s">
        <v>93</v>
      </c>
      <c r="AF930" s="1" t="s">
        <v>16691</v>
      </c>
      <c r="AG930" s="1" t="s">
        <v>307</v>
      </c>
      <c r="AH930" s="1" t="s">
        <v>165</v>
      </c>
      <c r="AI930" s="1" t="s">
        <v>166</v>
      </c>
      <c r="AJ930" s="1">
        <v>79.2</v>
      </c>
      <c r="AK930" s="1"/>
      <c r="AL930" s="1" t="s">
        <v>16692</v>
      </c>
      <c r="AM930" s="1" t="s">
        <v>160</v>
      </c>
      <c r="AN930" s="1" t="s">
        <v>198</v>
      </c>
      <c r="AO930" s="1" t="s">
        <v>360</v>
      </c>
      <c r="AP930" s="1">
        <v>74.77</v>
      </c>
      <c r="AQ930" s="1"/>
      <c r="AR930" s="1"/>
      <c r="AS930" s="1"/>
      <c r="AT930" s="1"/>
      <c r="AU930" s="1"/>
      <c r="AV930" s="1"/>
      <c r="AW930" s="1"/>
      <c r="AX930" s="1" t="s">
        <v>361</v>
      </c>
      <c r="AY930" s="1" t="s">
        <v>480</v>
      </c>
      <c r="AZ930" s="1" t="s">
        <v>504</v>
      </c>
      <c r="BA930" s="1" t="s">
        <v>1714</v>
      </c>
      <c r="BB930" s="1">
        <v>57.8</v>
      </c>
      <c r="BC930" s="1"/>
      <c r="BD930" s="1"/>
      <c r="BE930" s="1"/>
      <c r="BF930" s="1"/>
      <c r="BG930" s="1"/>
      <c r="BH930" s="1"/>
      <c r="BI930" s="1"/>
      <c r="BJ930" s="1" t="s">
        <v>1715</v>
      </c>
      <c r="BK930" s="1"/>
      <c r="BL930" s="1"/>
      <c r="BM930" s="1" t="s">
        <v>16693</v>
      </c>
      <c r="BN930" s="1">
        <v>19</v>
      </c>
      <c r="BO930" s="1" t="s">
        <v>16694</v>
      </c>
      <c r="BP930" s="1" t="str">
        <f>HYPERLINK("https://nconnect.nicmar.ac.in/storage/profile/ProfilePhoto_P25702150_823791.jpg","Download")</f>
        <v>0</v>
      </c>
      <c r="BQ930" s="3"/>
      <c r="BR930" s="3"/>
    </row>
    <row r="931" spans="1:70">
      <c r="A931" s="1" t="s">
        <v>441</v>
      </c>
      <c r="B931" s="1" t="s">
        <v>1269</v>
      </c>
      <c r="C931" s="1" t="s">
        <v>16695</v>
      </c>
      <c r="D931" s="1" t="s">
        <v>16696</v>
      </c>
      <c r="E931" s="1" t="s">
        <v>2127</v>
      </c>
      <c r="F931" s="1" t="s">
        <v>16697</v>
      </c>
      <c r="G931" s="1" t="s">
        <v>16698</v>
      </c>
      <c r="H931" s="1" t="s">
        <v>16699</v>
      </c>
      <c r="I931" s="1" t="s">
        <v>16700</v>
      </c>
      <c r="J931" s="1">
        <v>8888645609</v>
      </c>
      <c r="K931" s="1" t="s">
        <v>79</v>
      </c>
      <c r="L931" s="1" t="s">
        <v>16701</v>
      </c>
      <c r="M931" s="1" t="s">
        <v>81</v>
      </c>
      <c r="N931" s="1" t="s">
        <v>1418</v>
      </c>
      <c r="O931" s="1"/>
      <c r="P931" s="1" t="s">
        <v>1278</v>
      </c>
      <c r="Q931" s="1" t="s">
        <v>16702</v>
      </c>
      <c r="R931" s="1" t="s">
        <v>16703</v>
      </c>
      <c r="S931" s="1">
        <v>9371011109</v>
      </c>
      <c r="T931" s="1" t="s">
        <v>496</v>
      </c>
      <c r="U931" s="1" t="s">
        <v>16704</v>
      </c>
      <c r="V931" s="1">
        <v>9325132116</v>
      </c>
      <c r="W931" s="1" t="s">
        <v>156</v>
      </c>
      <c r="X931" s="1" t="s">
        <v>16705</v>
      </c>
      <c r="Y931" s="1" t="s">
        <v>191</v>
      </c>
      <c r="Z931" s="1" t="s">
        <v>92</v>
      </c>
      <c r="AA931" s="1" t="s">
        <v>16705</v>
      </c>
      <c r="AB931" s="1" t="s">
        <v>191</v>
      </c>
      <c r="AC931" s="1" t="s">
        <v>92</v>
      </c>
      <c r="AD931" s="1">
        <v>8.47</v>
      </c>
      <c r="AE931" s="1" t="s">
        <v>93</v>
      </c>
      <c r="AF931" s="1" t="s">
        <v>16706</v>
      </c>
      <c r="AG931" s="1" t="s">
        <v>1086</v>
      </c>
      <c r="AH931" s="1" t="s">
        <v>2949</v>
      </c>
      <c r="AI931" s="1" t="s">
        <v>166</v>
      </c>
      <c r="AJ931" s="1">
        <v>90.33</v>
      </c>
      <c r="AK931" s="1"/>
      <c r="AL931" s="1" t="s">
        <v>16707</v>
      </c>
      <c r="AM931" s="1" t="s">
        <v>160</v>
      </c>
      <c r="AN931" s="1" t="s">
        <v>101</v>
      </c>
      <c r="AO931" s="1" t="s">
        <v>173</v>
      </c>
      <c r="AP931" s="1">
        <v>80.31</v>
      </c>
      <c r="AQ931" s="1"/>
      <c r="AR931" s="1"/>
      <c r="AS931" s="1"/>
      <c r="AT931" s="1"/>
      <c r="AU931" s="1"/>
      <c r="AV931" s="1"/>
      <c r="AW931" s="1"/>
      <c r="AX931" s="1" t="s">
        <v>361</v>
      </c>
      <c r="AY931" s="1" t="s">
        <v>8731</v>
      </c>
      <c r="AZ931" s="1" t="s">
        <v>363</v>
      </c>
      <c r="BA931" s="1" t="s">
        <v>413</v>
      </c>
      <c r="BB931" s="1">
        <v>87.84</v>
      </c>
      <c r="BC931" s="1"/>
      <c r="BD931" s="1"/>
      <c r="BE931" s="1"/>
      <c r="BF931" s="1"/>
      <c r="BG931" s="1"/>
      <c r="BH931" s="1"/>
      <c r="BI931" s="1"/>
      <c r="BJ931" s="1" t="s">
        <v>4102</v>
      </c>
      <c r="BK931" s="1" t="s">
        <v>16708</v>
      </c>
      <c r="BL931" s="1" t="s">
        <v>2910</v>
      </c>
      <c r="BM931" s="1"/>
      <c r="BN931" s="1"/>
      <c r="BO931" s="1" t="s">
        <v>16709</v>
      </c>
      <c r="BP931" s="1" t="str">
        <f>HYPERLINK("https://nconnect.nicmar.ac.in/storage/profile/ProfilePhoto_P25702151_527439.jpg","Download")</f>
        <v>0</v>
      </c>
      <c r="BQ931" s="3"/>
      <c r="BR931" s="3"/>
    </row>
    <row r="932" spans="1:70">
      <c r="A932" s="1" t="s">
        <v>441</v>
      </c>
      <c r="B932" s="1" t="s">
        <v>1269</v>
      </c>
      <c r="C932" s="1" t="s">
        <v>16710</v>
      </c>
      <c r="D932" s="1" t="s">
        <v>16711</v>
      </c>
      <c r="E932" s="1" t="s">
        <v>16712</v>
      </c>
      <c r="F932" s="1" t="s">
        <v>16713</v>
      </c>
      <c r="G932" s="1" t="s">
        <v>16714</v>
      </c>
      <c r="H932" s="1" t="s">
        <v>16715</v>
      </c>
      <c r="I932" s="1" t="s">
        <v>16716</v>
      </c>
      <c r="J932" s="1">
        <v>8459527261</v>
      </c>
      <c r="K932" s="1" t="s">
        <v>79</v>
      </c>
      <c r="L932" s="1" t="s">
        <v>16717</v>
      </c>
      <c r="M932" s="1" t="s">
        <v>81</v>
      </c>
      <c r="N932" s="1" t="s">
        <v>1418</v>
      </c>
      <c r="O932" s="1"/>
      <c r="P932" s="1" t="s">
        <v>1323</v>
      </c>
      <c r="Q932" s="1" t="s">
        <v>16718</v>
      </c>
      <c r="R932" s="1" t="s">
        <v>235</v>
      </c>
      <c r="S932" s="1">
        <v>9921708099</v>
      </c>
      <c r="T932" s="1" t="s">
        <v>154</v>
      </c>
      <c r="U932" s="1" t="s">
        <v>1071</v>
      </c>
      <c r="V932" s="1">
        <v>9921708099</v>
      </c>
      <c r="W932" s="1" t="s">
        <v>156</v>
      </c>
      <c r="X932" s="1" t="s">
        <v>16719</v>
      </c>
      <c r="Y932" s="1" t="s">
        <v>379</v>
      </c>
      <c r="Z932" s="1" t="s">
        <v>92</v>
      </c>
      <c r="AA932" s="1" t="s">
        <v>16719</v>
      </c>
      <c r="AB932" s="1" t="s">
        <v>379</v>
      </c>
      <c r="AC932" s="1" t="s">
        <v>92</v>
      </c>
      <c r="AD932" s="1">
        <v>7.61</v>
      </c>
      <c r="AE932" s="1" t="s">
        <v>93</v>
      </c>
      <c r="AF932" s="1" t="s">
        <v>16720</v>
      </c>
      <c r="AG932" s="1" t="s">
        <v>160</v>
      </c>
      <c r="AH932" s="1" t="s">
        <v>161</v>
      </c>
      <c r="AI932" s="1" t="s">
        <v>456</v>
      </c>
      <c r="AJ932" s="1">
        <v>71.6</v>
      </c>
      <c r="AK932" s="1"/>
      <c r="AL932" s="1" t="s">
        <v>16721</v>
      </c>
      <c r="AM932" s="1" t="s">
        <v>160</v>
      </c>
      <c r="AN932" s="1" t="s">
        <v>165</v>
      </c>
      <c r="AO932" s="1" t="s">
        <v>457</v>
      </c>
      <c r="AP932" s="1">
        <v>52.77</v>
      </c>
      <c r="AQ932" s="1"/>
      <c r="AR932" s="1"/>
      <c r="AS932" s="1"/>
      <c r="AT932" s="1"/>
      <c r="AU932" s="1"/>
      <c r="AV932" s="1"/>
      <c r="AW932" s="1"/>
      <c r="AX932" s="1" t="s">
        <v>102</v>
      </c>
      <c r="AY932" s="1" t="s">
        <v>3534</v>
      </c>
      <c r="AZ932" s="1" t="s">
        <v>169</v>
      </c>
      <c r="BA932" s="1" t="s">
        <v>105</v>
      </c>
      <c r="BB932" s="1">
        <v>73.1</v>
      </c>
      <c r="BC932" s="1">
        <v>7.81</v>
      </c>
      <c r="BD932" s="1"/>
      <c r="BE932" s="1"/>
      <c r="BF932" s="1"/>
      <c r="BG932" s="1"/>
      <c r="BH932" s="1"/>
      <c r="BI932" s="1"/>
      <c r="BJ932" s="1" t="s">
        <v>16722</v>
      </c>
      <c r="BK932" s="1"/>
      <c r="BL932" s="1"/>
      <c r="BM932" s="1" t="s">
        <v>16723</v>
      </c>
      <c r="BN932" s="1">
        <v>34</v>
      </c>
      <c r="BO932" s="1" t="s">
        <v>16724</v>
      </c>
      <c r="BP932" s="1" t="str">
        <f>HYPERLINK("https://nconnect.nicmar.ac.in/storage/profile/ProfilePhoto_P25702152_836721.jpg","Download")</f>
        <v>0</v>
      </c>
      <c r="BQ932" s="3"/>
      <c r="BR932" s="3"/>
    </row>
    <row r="933" spans="1:70">
      <c r="A933" s="1" t="s">
        <v>441</v>
      </c>
      <c r="B933" s="1" t="s">
        <v>1269</v>
      </c>
      <c r="C933" s="1" t="s">
        <v>16725</v>
      </c>
      <c r="D933" s="1" t="s">
        <v>1740</v>
      </c>
      <c r="E933" s="1" t="s">
        <v>8207</v>
      </c>
      <c r="F933" s="1" t="s">
        <v>16726</v>
      </c>
      <c r="G933" s="1" t="s">
        <v>16727</v>
      </c>
      <c r="H933" s="1" t="s">
        <v>16728</v>
      </c>
      <c r="I933" s="1" t="s">
        <v>16729</v>
      </c>
      <c r="J933" s="1">
        <v>8999729446</v>
      </c>
      <c r="K933" s="1" t="s">
        <v>79</v>
      </c>
      <c r="L933" s="1" t="s">
        <v>16730</v>
      </c>
      <c r="M933" s="1" t="s">
        <v>81</v>
      </c>
      <c r="N933" s="1" t="s">
        <v>860</v>
      </c>
      <c r="O933" s="1"/>
      <c r="P933" s="1" t="s">
        <v>1462</v>
      </c>
      <c r="Q933" s="1" t="s">
        <v>16731</v>
      </c>
      <c r="R933" s="1" t="s">
        <v>8207</v>
      </c>
      <c r="S933" s="1">
        <v>8999729446</v>
      </c>
      <c r="T933" s="1" t="s">
        <v>496</v>
      </c>
      <c r="U933" s="1" t="s">
        <v>217</v>
      </c>
      <c r="V933" s="1">
        <v>9881023699</v>
      </c>
      <c r="W933" s="1" t="s">
        <v>273</v>
      </c>
      <c r="X933" s="1" t="s">
        <v>16732</v>
      </c>
      <c r="Y933" s="1" t="s">
        <v>191</v>
      </c>
      <c r="Z933" s="1" t="s">
        <v>92</v>
      </c>
      <c r="AA933" s="1" t="s">
        <v>16733</v>
      </c>
      <c r="AB933" s="1" t="s">
        <v>405</v>
      </c>
      <c r="AC933" s="1" t="s">
        <v>92</v>
      </c>
      <c r="AD933" s="1">
        <v>7.66</v>
      </c>
      <c r="AE933" s="1" t="s">
        <v>93</v>
      </c>
      <c r="AF933" s="1" t="s">
        <v>16734</v>
      </c>
      <c r="AG933" s="1" t="s">
        <v>1086</v>
      </c>
      <c r="AH933" s="1" t="s">
        <v>166</v>
      </c>
      <c r="AI933" s="1" t="s">
        <v>308</v>
      </c>
      <c r="AJ933" s="1">
        <v>81.5</v>
      </c>
      <c r="AK933" s="1"/>
      <c r="AL933" s="1" t="s">
        <v>16735</v>
      </c>
      <c r="AM933" s="1" t="s">
        <v>307</v>
      </c>
      <c r="AN933" s="1" t="s">
        <v>173</v>
      </c>
      <c r="AO933" s="1" t="s">
        <v>506</v>
      </c>
      <c r="AP933" s="1">
        <v>64.8</v>
      </c>
      <c r="AQ933" s="1"/>
      <c r="AR933" s="1"/>
      <c r="AS933" s="1"/>
      <c r="AT933" s="1"/>
      <c r="AU933" s="1"/>
      <c r="AV933" s="1"/>
      <c r="AW933" s="1"/>
      <c r="AX933" s="1" t="s">
        <v>410</v>
      </c>
      <c r="AY933" s="1" t="s">
        <v>16736</v>
      </c>
      <c r="AZ933" s="1" t="s">
        <v>1003</v>
      </c>
      <c r="BA933" s="1" t="s">
        <v>1361</v>
      </c>
      <c r="BB933" s="1">
        <v>61.8</v>
      </c>
      <c r="BC933" s="1">
        <v>6.93</v>
      </c>
      <c r="BD933" s="1"/>
      <c r="BE933" s="1"/>
      <c r="BF933" s="1"/>
      <c r="BG933" s="1"/>
      <c r="BH933" s="1"/>
      <c r="BI933" s="1"/>
      <c r="BJ933" s="1" t="s">
        <v>4102</v>
      </c>
      <c r="BK933" s="1"/>
      <c r="BL933" s="1"/>
      <c r="BM933" s="1" t="s">
        <v>16737</v>
      </c>
      <c r="BN933" s="1">
        <v>13</v>
      </c>
      <c r="BO933" s="1"/>
      <c r="BP933" s="1" t="str">
        <f>HYPERLINK("https://nconnect.nicmar.ac.in/storage/profile/ProfilePhoto_P25702153_428956.jpg","Download")</f>
        <v>0</v>
      </c>
      <c r="BQ933" s="3"/>
      <c r="BR933" s="3"/>
    </row>
    <row r="934" spans="1:70">
      <c r="A934" s="1" t="s">
        <v>552</v>
      </c>
      <c r="B934" s="1" t="s">
        <v>1269</v>
      </c>
      <c r="C934" s="1" t="s">
        <v>16738</v>
      </c>
      <c r="D934" s="1" t="s">
        <v>16739</v>
      </c>
      <c r="E934" s="1" t="s">
        <v>4419</v>
      </c>
      <c r="F934" s="1" t="s">
        <v>2024</v>
      </c>
      <c r="G934" s="1" t="s">
        <v>16740</v>
      </c>
      <c r="H934" s="1" t="s">
        <v>16741</v>
      </c>
      <c r="I934" s="1" t="s">
        <v>16742</v>
      </c>
      <c r="J934" s="1">
        <v>9422168171</v>
      </c>
      <c r="K934" s="1" t="s">
        <v>148</v>
      </c>
      <c r="L934" s="1" t="s">
        <v>16743</v>
      </c>
      <c r="M934" s="1" t="s">
        <v>81</v>
      </c>
      <c r="N934" s="1" t="s">
        <v>8131</v>
      </c>
      <c r="O934" s="1" t="s">
        <v>16744</v>
      </c>
      <c r="P934" s="1" t="s">
        <v>1323</v>
      </c>
      <c r="Q934" s="1" t="s">
        <v>16745</v>
      </c>
      <c r="R934" s="1" t="s">
        <v>16746</v>
      </c>
      <c r="S934" s="1">
        <v>9545328800</v>
      </c>
      <c r="T934" s="1" t="s">
        <v>496</v>
      </c>
      <c r="U934" s="1" t="s">
        <v>16747</v>
      </c>
      <c r="V934" s="1">
        <v>9325474638</v>
      </c>
      <c r="W934" s="1" t="s">
        <v>156</v>
      </c>
      <c r="X934" s="1" t="s">
        <v>16748</v>
      </c>
      <c r="Y934" s="1" t="s">
        <v>191</v>
      </c>
      <c r="Z934" s="1" t="s">
        <v>92</v>
      </c>
      <c r="AA934" s="1" t="s">
        <v>16748</v>
      </c>
      <c r="AB934" s="1" t="s">
        <v>191</v>
      </c>
      <c r="AC934" s="1" t="s">
        <v>92</v>
      </c>
      <c r="AD934" s="1">
        <v>8.1</v>
      </c>
      <c r="AE934" s="1" t="s">
        <v>93</v>
      </c>
      <c r="AF934" s="1" t="s">
        <v>16749</v>
      </c>
      <c r="AG934" s="1" t="s">
        <v>939</v>
      </c>
      <c r="AH934" s="1" t="s">
        <v>433</v>
      </c>
      <c r="AI934" s="1" t="s">
        <v>173</v>
      </c>
      <c r="AJ934" s="1">
        <v>76.6</v>
      </c>
      <c r="AK934" s="1"/>
      <c r="AL934" s="1" t="s">
        <v>16750</v>
      </c>
      <c r="AM934" s="1" t="s">
        <v>939</v>
      </c>
      <c r="AN934" s="1" t="s">
        <v>1131</v>
      </c>
      <c r="AO934" s="1" t="s">
        <v>284</v>
      </c>
      <c r="AP934" s="1">
        <v>73</v>
      </c>
      <c r="AQ934" s="1"/>
      <c r="AR934" s="1"/>
      <c r="AS934" s="1"/>
      <c r="AT934" s="1"/>
      <c r="AU934" s="1"/>
      <c r="AV934" s="1"/>
      <c r="AW934" s="1"/>
      <c r="AX934" s="1" t="s">
        <v>12192</v>
      </c>
      <c r="AY934" s="1" t="s">
        <v>16751</v>
      </c>
      <c r="AZ934" s="1" t="s">
        <v>874</v>
      </c>
      <c r="BA934" s="1" t="s">
        <v>1408</v>
      </c>
      <c r="BB934" s="1">
        <v>80.56</v>
      </c>
      <c r="BC934" s="1">
        <v>8.48</v>
      </c>
      <c r="BD934" s="1"/>
      <c r="BE934" s="1"/>
      <c r="BF934" s="1"/>
      <c r="BG934" s="1"/>
      <c r="BH934" s="1"/>
      <c r="BI934" s="1"/>
      <c r="BJ934" s="1" t="s">
        <v>16752</v>
      </c>
      <c r="BK934" s="1"/>
      <c r="BL934" s="1"/>
      <c r="BM934" s="1" t="s">
        <v>16753</v>
      </c>
      <c r="BN934" s="1">
        <v>17</v>
      </c>
      <c r="BO934" s="1" t="s">
        <v>16754</v>
      </c>
      <c r="BP934" s="1" t="str">
        <f>HYPERLINK("https://nconnect.nicmar.ac.in/storage/profile/ProfilePhoto_P2201001_514287.jpg","Download")</f>
        <v>0</v>
      </c>
      <c r="BQ934" s="3"/>
      <c r="BR934" s="3"/>
    </row>
    <row r="935" spans="1:70">
      <c r="A935" s="1" t="s">
        <v>552</v>
      </c>
      <c r="B935" s="1" t="s">
        <v>1269</v>
      </c>
      <c r="C935" s="1" t="s">
        <v>16755</v>
      </c>
      <c r="D935" s="1" t="s">
        <v>16756</v>
      </c>
      <c r="E935" s="1"/>
      <c r="F935" s="1" t="s">
        <v>835</v>
      </c>
      <c r="G935" s="1" t="s">
        <v>16757</v>
      </c>
      <c r="H935" s="1" t="s">
        <v>16758</v>
      </c>
      <c r="I935" s="1" t="s">
        <v>16759</v>
      </c>
      <c r="J935" s="1">
        <v>9528374944</v>
      </c>
      <c r="K935" s="1" t="s">
        <v>79</v>
      </c>
      <c r="L935" s="1" t="s">
        <v>16760</v>
      </c>
      <c r="M935" s="1" t="s">
        <v>81</v>
      </c>
      <c r="N935" s="1" t="s">
        <v>241</v>
      </c>
      <c r="O935" s="1"/>
      <c r="P935" s="1" t="s">
        <v>1323</v>
      </c>
      <c r="Q935" s="1" t="s">
        <v>16761</v>
      </c>
      <c r="R935" s="1" t="s">
        <v>16762</v>
      </c>
      <c r="S935" s="1">
        <v>9719106374</v>
      </c>
      <c r="T935" s="1" t="s">
        <v>496</v>
      </c>
      <c r="U935" s="1" t="s">
        <v>16763</v>
      </c>
      <c r="V935" s="1">
        <v>7454057502</v>
      </c>
      <c r="W935" s="1" t="s">
        <v>156</v>
      </c>
      <c r="X935" s="1" t="s">
        <v>16764</v>
      </c>
      <c r="Y935" s="1" t="s">
        <v>191</v>
      </c>
      <c r="Z935" s="1" t="s">
        <v>92</v>
      </c>
      <c r="AA935" s="1" t="s">
        <v>16765</v>
      </c>
      <c r="AB935" s="1" t="s">
        <v>16766</v>
      </c>
      <c r="AC935" s="1" t="s">
        <v>1355</v>
      </c>
      <c r="AD935" s="1">
        <v>9.34</v>
      </c>
      <c r="AE935" s="1" t="s">
        <v>93</v>
      </c>
      <c r="AF935" s="1" t="s">
        <v>16767</v>
      </c>
      <c r="AG935" s="1" t="s">
        <v>16768</v>
      </c>
      <c r="AH935" s="1" t="s">
        <v>169</v>
      </c>
      <c r="AI935" s="1" t="s">
        <v>173</v>
      </c>
      <c r="AJ935" s="1">
        <v>88.4</v>
      </c>
      <c r="AK935" s="1"/>
      <c r="AL935" s="1" t="s">
        <v>16769</v>
      </c>
      <c r="AM935" s="1" t="s">
        <v>16770</v>
      </c>
      <c r="AN935" s="1" t="s">
        <v>173</v>
      </c>
      <c r="AO935" s="1" t="s">
        <v>481</v>
      </c>
      <c r="AP935" s="1">
        <v>74</v>
      </c>
      <c r="AQ935" s="1"/>
      <c r="AR935" s="1"/>
      <c r="AS935" s="1"/>
      <c r="AT935" s="1"/>
      <c r="AU935" s="1"/>
      <c r="AV935" s="1"/>
      <c r="AW935" s="1"/>
      <c r="AX935" s="1" t="s">
        <v>12192</v>
      </c>
      <c r="AY935" s="1" t="s">
        <v>16751</v>
      </c>
      <c r="AZ935" s="1" t="s">
        <v>874</v>
      </c>
      <c r="BA935" s="1" t="s">
        <v>1408</v>
      </c>
      <c r="BB935" s="1">
        <v>91.1</v>
      </c>
      <c r="BC935" s="1">
        <v>9.59</v>
      </c>
      <c r="BD935" s="1"/>
      <c r="BE935" s="1"/>
      <c r="BF935" s="1"/>
      <c r="BG935" s="1"/>
      <c r="BH935" s="1"/>
      <c r="BI935" s="1"/>
      <c r="BJ935" s="1" t="s">
        <v>16771</v>
      </c>
      <c r="BK935" s="1"/>
      <c r="BL935" s="1"/>
      <c r="BM935" s="1" t="s">
        <v>16772</v>
      </c>
      <c r="BN935" s="1">
        <v>26</v>
      </c>
      <c r="BO935" s="1"/>
      <c r="BP935" s="1" t="str">
        <f>HYPERLINK("https://nconnect.nicmar.ac.in/storage/profile/ProfilePhoto_P2201002_875142.jpg","Download")</f>
        <v>0</v>
      </c>
      <c r="BQ935" s="3"/>
      <c r="BR935" s="3"/>
    </row>
    <row r="936" spans="1:70">
      <c r="A936" s="1" t="s">
        <v>552</v>
      </c>
      <c r="B936" s="1" t="s">
        <v>1269</v>
      </c>
      <c r="C936" s="1" t="s">
        <v>16773</v>
      </c>
      <c r="D936" s="1" t="s">
        <v>16774</v>
      </c>
      <c r="E936" s="1"/>
      <c r="F936" s="1" t="s">
        <v>345</v>
      </c>
      <c r="G936" s="1" t="s">
        <v>16775</v>
      </c>
      <c r="H936" s="1" t="s">
        <v>16776</v>
      </c>
      <c r="I936" s="1" t="s">
        <v>16777</v>
      </c>
      <c r="J936" s="1">
        <v>8923689871</v>
      </c>
      <c r="K936" s="1" t="s">
        <v>79</v>
      </c>
      <c r="L936" s="1" t="s">
        <v>16778</v>
      </c>
      <c r="M936" s="1" t="s">
        <v>81</v>
      </c>
      <c r="N936" s="1" t="s">
        <v>16779</v>
      </c>
      <c r="O936" s="1" t="s">
        <v>16780</v>
      </c>
      <c r="P936" s="1" t="s">
        <v>1323</v>
      </c>
      <c r="Q936" s="1" t="s">
        <v>16781</v>
      </c>
      <c r="R936" s="1" t="s">
        <v>16782</v>
      </c>
      <c r="S936" s="1">
        <v>9897879360</v>
      </c>
      <c r="T936" s="1" t="s">
        <v>16783</v>
      </c>
      <c r="U936" s="1" t="s">
        <v>16784</v>
      </c>
      <c r="V936" s="1">
        <v>9627704002</v>
      </c>
      <c r="W936" s="1" t="s">
        <v>716</v>
      </c>
      <c r="X936" s="1" t="s">
        <v>16785</v>
      </c>
      <c r="Y936" s="1" t="s">
        <v>191</v>
      </c>
      <c r="Z936" s="1" t="s">
        <v>92</v>
      </c>
      <c r="AA936" s="1" t="s">
        <v>16786</v>
      </c>
      <c r="AB936" s="1" t="s">
        <v>16766</v>
      </c>
      <c r="AC936" s="1" t="s">
        <v>1355</v>
      </c>
      <c r="AD936" s="1">
        <v>7.76</v>
      </c>
      <c r="AE936" s="1" t="s">
        <v>93</v>
      </c>
      <c r="AF936" s="1" t="s">
        <v>16787</v>
      </c>
      <c r="AG936" s="1" t="s">
        <v>16770</v>
      </c>
      <c r="AH936" s="1" t="s">
        <v>1065</v>
      </c>
      <c r="AI936" s="1" t="s">
        <v>173</v>
      </c>
      <c r="AJ936" s="1">
        <v>65.4</v>
      </c>
      <c r="AK936" s="1"/>
      <c r="AL936" s="1" t="s">
        <v>16787</v>
      </c>
      <c r="AM936" s="1" t="s">
        <v>16770</v>
      </c>
      <c r="AN936" s="1" t="s">
        <v>3081</v>
      </c>
      <c r="AO936" s="1" t="s">
        <v>481</v>
      </c>
      <c r="AP936" s="1">
        <v>70.4</v>
      </c>
      <c r="AQ936" s="1"/>
      <c r="AR936" s="1"/>
      <c r="AS936" s="1"/>
      <c r="AT936" s="1"/>
      <c r="AU936" s="1"/>
      <c r="AV936" s="1"/>
      <c r="AW936" s="1"/>
      <c r="AX936" s="1" t="s">
        <v>12192</v>
      </c>
      <c r="AY936" s="1" t="s">
        <v>16751</v>
      </c>
      <c r="AZ936" s="1" t="s">
        <v>874</v>
      </c>
      <c r="BA936" s="1" t="s">
        <v>1408</v>
      </c>
      <c r="BB936" s="1">
        <v>81.25</v>
      </c>
      <c r="BC936" s="1">
        <v>8.55</v>
      </c>
      <c r="BD936" s="1"/>
      <c r="BE936" s="1"/>
      <c r="BF936" s="1"/>
      <c r="BG936" s="1"/>
      <c r="BH936" s="1"/>
      <c r="BI936" s="1"/>
      <c r="BJ936" s="1" t="s">
        <v>16788</v>
      </c>
      <c r="BK936" s="1"/>
      <c r="BL936" s="1"/>
      <c r="BM936" s="1" t="s">
        <v>16789</v>
      </c>
      <c r="BN936" s="1">
        <v>17</v>
      </c>
      <c r="BO936" s="1" t="s">
        <v>16790</v>
      </c>
      <c r="BP936" s="1" t="str">
        <f>HYPERLINK("https://nconnect.nicmar.ac.in/storage/profile/ProfilePhoto_P2201003_674125.jpg","Download")</f>
        <v>0</v>
      </c>
      <c r="BQ936" s="3"/>
      <c r="BR936" s="3"/>
    </row>
    <row r="937" spans="1:70">
      <c r="A937" s="1" t="s">
        <v>552</v>
      </c>
      <c r="B937" s="1" t="s">
        <v>1269</v>
      </c>
      <c r="C937" s="1" t="s">
        <v>16791</v>
      </c>
      <c r="D937" s="1" t="s">
        <v>16792</v>
      </c>
      <c r="E937" s="1"/>
      <c r="F937" s="1" t="s">
        <v>16793</v>
      </c>
      <c r="G937" s="1" t="s">
        <v>16794</v>
      </c>
      <c r="H937" s="1" t="s">
        <v>16795</v>
      </c>
      <c r="I937" s="1" t="s">
        <v>16796</v>
      </c>
      <c r="J937" s="1">
        <v>8408012525</v>
      </c>
      <c r="K937" s="1" t="s">
        <v>148</v>
      </c>
      <c r="L937" s="1" t="s">
        <v>16797</v>
      </c>
      <c r="M937" s="1" t="s">
        <v>81</v>
      </c>
      <c r="N937" s="1" t="s">
        <v>16798</v>
      </c>
      <c r="O937" s="1" t="s">
        <v>16799</v>
      </c>
      <c r="P937" s="1" t="s">
        <v>1278</v>
      </c>
      <c r="Q937" s="1" t="s">
        <v>16800</v>
      </c>
      <c r="R937" s="1" t="s">
        <v>16801</v>
      </c>
      <c r="S937" s="1">
        <v>9373314174</v>
      </c>
      <c r="T937" s="1" t="s">
        <v>496</v>
      </c>
      <c r="U937" s="1" t="s">
        <v>16802</v>
      </c>
      <c r="V937" s="1">
        <v>9370276220</v>
      </c>
      <c r="W937" s="1" t="s">
        <v>496</v>
      </c>
      <c r="X937" s="1" t="s">
        <v>16803</v>
      </c>
      <c r="Y937" s="1" t="s">
        <v>191</v>
      </c>
      <c r="Z937" s="1" t="s">
        <v>92</v>
      </c>
      <c r="AA937" s="1" t="s">
        <v>16803</v>
      </c>
      <c r="AB937" s="1" t="s">
        <v>191</v>
      </c>
      <c r="AC937" s="1" t="s">
        <v>92</v>
      </c>
      <c r="AD937" s="1">
        <v>8.7</v>
      </c>
      <c r="AE937" s="1" t="s">
        <v>93</v>
      </c>
      <c r="AF937" s="1" t="s">
        <v>16804</v>
      </c>
      <c r="AG937" s="1" t="s">
        <v>16805</v>
      </c>
      <c r="AH937" s="1" t="s">
        <v>1197</v>
      </c>
      <c r="AI937" s="1" t="s">
        <v>308</v>
      </c>
      <c r="AJ937" s="1">
        <v>83.4</v>
      </c>
      <c r="AK937" s="1"/>
      <c r="AL937" s="1" t="s">
        <v>16804</v>
      </c>
      <c r="AM937" s="1" t="s">
        <v>16805</v>
      </c>
      <c r="AN937" s="1" t="s">
        <v>1065</v>
      </c>
      <c r="AO937" s="1" t="s">
        <v>506</v>
      </c>
      <c r="AP937" s="1">
        <v>84.4</v>
      </c>
      <c r="AQ937" s="1"/>
      <c r="AR937" s="1"/>
      <c r="AS937" s="1"/>
      <c r="AT937" s="1"/>
      <c r="AU937" s="1"/>
      <c r="AV937" s="1"/>
      <c r="AW937" s="1"/>
      <c r="AX937" s="1" t="s">
        <v>12192</v>
      </c>
      <c r="AY937" s="1" t="s">
        <v>16751</v>
      </c>
      <c r="AZ937" s="1" t="s">
        <v>874</v>
      </c>
      <c r="BA937" s="1" t="s">
        <v>1361</v>
      </c>
      <c r="BB937" s="1">
        <v>84.93</v>
      </c>
      <c r="BC937" s="1">
        <v>8.94</v>
      </c>
      <c r="BD937" s="1"/>
      <c r="BE937" s="1"/>
      <c r="BF937" s="1"/>
      <c r="BG937" s="1"/>
      <c r="BH937" s="1"/>
      <c r="BI937" s="1"/>
      <c r="BJ937" s="1" t="s">
        <v>16806</v>
      </c>
      <c r="BK937" s="1" t="s">
        <v>16807</v>
      </c>
      <c r="BL937" s="1" t="s">
        <v>10214</v>
      </c>
      <c r="BM937" s="1" t="s">
        <v>16808</v>
      </c>
      <c r="BN937" s="1">
        <v>16</v>
      </c>
      <c r="BO937" s="1" t="s">
        <v>16809</v>
      </c>
      <c r="BP937" s="1" t="str">
        <f>HYPERLINK("https://nconnect.nicmar.ac.in/storage/profile/ProfilePhoto_P2201006_126385.jpg","Download")</f>
        <v>0</v>
      </c>
      <c r="BQ937" s="3"/>
      <c r="BR937" s="3"/>
    </row>
    <row r="938" spans="1:70">
      <c r="A938" s="1" t="s">
        <v>552</v>
      </c>
      <c r="B938" s="1" t="s">
        <v>1269</v>
      </c>
      <c r="C938" s="1" t="s">
        <v>16810</v>
      </c>
      <c r="D938" s="1" t="s">
        <v>3799</v>
      </c>
      <c r="E938" s="1" t="s">
        <v>1632</v>
      </c>
      <c r="F938" s="1" t="s">
        <v>16811</v>
      </c>
      <c r="G938" s="1" t="s">
        <v>16812</v>
      </c>
      <c r="H938" s="1" t="s">
        <v>16813</v>
      </c>
      <c r="I938" s="1" t="s">
        <v>16814</v>
      </c>
      <c r="J938" s="1">
        <v>8459361169</v>
      </c>
      <c r="K938" s="1" t="s">
        <v>148</v>
      </c>
      <c r="L938" s="1" t="s">
        <v>16815</v>
      </c>
      <c r="M938" s="1" t="s">
        <v>81</v>
      </c>
      <c r="N938" s="1" t="s">
        <v>1986</v>
      </c>
      <c r="O938" s="1" t="s">
        <v>16816</v>
      </c>
      <c r="P938" s="1" t="s">
        <v>1298</v>
      </c>
      <c r="Q938" s="1" t="s">
        <v>16817</v>
      </c>
      <c r="R938" s="1" t="s">
        <v>1632</v>
      </c>
      <c r="S938" s="1">
        <v>9850660573</v>
      </c>
      <c r="T938" s="1" t="s">
        <v>763</v>
      </c>
      <c r="U938" s="1" t="s">
        <v>16818</v>
      </c>
      <c r="V938" s="1">
        <v>9011140176</v>
      </c>
      <c r="W938" s="1" t="s">
        <v>763</v>
      </c>
      <c r="X938" s="1" t="s">
        <v>16819</v>
      </c>
      <c r="Y938" s="1" t="s">
        <v>1174</v>
      </c>
      <c r="Z938" s="1" t="s">
        <v>92</v>
      </c>
      <c r="AA938" s="1" t="s">
        <v>16819</v>
      </c>
      <c r="AB938" s="1" t="s">
        <v>1174</v>
      </c>
      <c r="AC938" s="1" t="s">
        <v>92</v>
      </c>
      <c r="AD938" s="1">
        <v>6.98</v>
      </c>
      <c r="AE938" s="1" t="s">
        <v>93</v>
      </c>
      <c r="AF938" s="1" t="s">
        <v>16820</v>
      </c>
      <c r="AG938" s="1" t="s">
        <v>4100</v>
      </c>
      <c r="AH938" s="1" t="s">
        <v>101</v>
      </c>
      <c r="AI938" s="1" t="s">
        <v>308</v>
      </c>
      <c r="AJ938" s="1">
        <v>75.5</v>
      </c>
      <c r="AK938" s="1"/>
      <c r="AL938" s="1" t="s">
        <v>16821</v>
      </c>
      <c r="AM938" s="1" t="s">
        <v>4100</v>
      </c>
      <c r="AN938" s="1" t="s">
        <v>699</v>
      </c>
      <c r="AO938" s="1" t="s">
        <v>436</v>
      </c>
      <c r="AP938" s="1">
        <v>84.67</v>
      </c>
      <c r="AQ938" s="1"/>
      <c r="AR938" s="1"/>
      <c r="AS938" s="1"/>
      <c r="AT938" s="1"/>
      <c r="AU938" s="1"/>
      <c r="AV938" s="1"/>
      <c r="AW938" s="1"/>
      <c r="AX938" s="1" t="s">
        <v>12192</v>
      </c>
      <c r="AY938" s="1" t="s">
        <v>16822</v>
      </c>
      <c r="AZ938" s="1" t="s">
        <v>874</v>
      </c>
      <c r="BA938" s="1" t="s">
        <v>1408</v>
      </c>
      <c r="BB938" s="1">
        <v>75.43</v>
      </c>
      <c r="BC938" s="1">
        <v>7.94</v>
      </c>
      <c r="BD938" s="1"/>
      <c r="BE938" s="1"/>
      <c r="BF938" s="1"/>
      <c r="BG938" s="1"/>
      <c r="BH938" s="1"/>
      <c r="BI938" s="1"/>
      <c r="BJ938" s="1" t="s">
        <v>16823</v>
      </c>
      <c r="BK938" s="1"/>
      <c r="BL938" s="1"/>
      <c r="BM938" s="1" t="s">
        <v>16824</v>
      </c>
      <c r="BN938" s="1">
        <v>17</v>
      </c>
      <c r="BO938" s="1" t="s">
        <v>16825</v>
      </c>
      <c r="BP938" s="1" t="str">
        <f>HYPERLINK("https://nconnect.nicmar.ac.in/storage/profile/ProfilePhoto_P2201007_873615.jpg","Download")</f>
        <v>0</v>
      </c>
      <c r="BQ938" s="3"/>
      <c r="BR938" s="3"/>
    </row>
    <row r="939" spans="1:70">
      <c r="A939" s="1" t="s">
        <v>552</v>
      </c>
      <c r="B939" s="1" t="s">
        <v>1269</v>
      </c>
      <c r="C939" s="1" t="s">
        <v>16826</v>
      </c>
      <c r="D939" s="1" t="s">
        <v>16827</v>
      </c>
      <c r="E939" s="1" t="s">
        <v>16828</v>
      </c>
      <c r="F939" s="1" t="s">
        <v>16829</v>
      </c>
      <c r="G939" s="1" t="s">
        <v>16830</v>
      </c>
      <c r="H939" s="1" t="s">
        <v>16831</v>
      </c>
      <c r="I939" s="1" t="s">
        <v>16832</v>
      </c>
      <c r="J939" s="1">
        <v>9168407860</v>
      </c>
      <c r="K939" s="1" t="s">
        <v>148</v>
      </c>
      <c r="L939" s="1" t="s">
        <v>16833</v>
      </c>
      <c r="M939" s="1" t="s">
        <v>81</v>
      </c>
      <c r="N939" s="1" t="s">
        <v>16834</v>
      </c>
      <c r="O939" s="1" t="s">
        <v>16835</v>
      </c>
      <c r="P939" s="1" t="s">
        <v>1278</v>
      </c>
      <c r="Q939" s="1" t="s">
        <v>16836</v>
      </c>
      <c r="R939" s="1" t="s">
        <v>16828</v>
      </c>
      <c r="S939" s="1">
        <v>9822975444</v>
      </c>
      <c r="T939" s="1" t="s">
        <v>16837</v>
      </c>
      <c r="U939" s="1" t="s">
        <v>16838</v>
      </c>
      <c r="V939" s="1">
        <v>9881197444</v>
      </c>
      <c r="W939" s="1" t="s">
        <v>89</v>
      </c>
      <c r="X939" s="1" t="s">
        <v>16839</v>
      </c>
      <c r="Y939" s="1" t="s">
        <v>191</v>
      </c>
      <c r="Z939" s="1" t="s">
        <v>92</v>
      </c>
      <c r="AA939" s="1" t="s">
        <v>16839</v>
      </c>
      <c r="AB939" s="1" t="s">
        <v>191</v>
      </c>
      <c r="AC939" s="1" t="s">
        <v>92</v>
      </c>
      <c r="AD939" s="1" t="s">
        <v>93</v>
      </c>
      <c r="AE939" s="1" t="s">
        <v>93</v>
      </c>
      <c r="AF939" s="1" t="s">
        <v>16840</v>
      </c>
      <c r="AG939" s="1" t="s">
        <v>6952</v>
      </c>
      <c r="AH939" s="1" t="s">
        <v>1065</v>
      </c>
      <c r="AI939" s="1" t="s">
        <v>173</v>
      </c>
      <c r="AJ939" s="1">
        <v>85.2</v>
      </c>
      <c r="AK939" s="1"/>
      <c r="AL939" s="1" t="s">
        <v>16841</v>
      </c>
      <c r="AM939" s="1" t="s">
        <v>6952</v>
      </c>
      <c r="AN939" s="1" t="s">
        <v>1131</v>
      </c>
      <c r="AO939" s="1" t="s">
        <v>481</v>
      </c>
      <c r="AP939" s="1">
        <v>80.4</v>
      </c>
      <c r="AQ939" s="1"/>
      <c r="AR939" s="1"/>
      <c r="AS939" s="1"/>
      <c r="AT939" s="1"/>
      <c r="AU939" s="1"/>
      <c r="AV939" s="1"/>
      <c r="AW939" s="1"/>
      <c r="AX939" s="1" t="s">
        <v>12192</v>
      </c>
      <c r="AY939" s="1" t="s">
        <v>16842</v>
      </c>
      <c r="AZ939" s="1" t="s">
        <v>874</v>
      </c>
      <c r="BA939" s="1" t="s">
        <v>1408</v>
      </c>
      <c r="BB939" s="1">
        <v>92.34</v>
      </c>
      <c r="BC939" s="1">
        <v>9.72</v>
      </c>
      <c r="BD939" s="1"/>
      <c r="BE939" s="1"/>
      <c r="BF939" s="1"/>
      <c r="BG939" s="1"/>
      <c r="BH939" s="1"/>
      <c r="BI939" s="1"/>
      <c r="BJ939" s="1" t="s">
        <v>16843</v>
      </c>
      <c r="BK939" s="1"/>
      <c r="BL939" s="1"/>
      <c r="BM939" s="1" t="s">
        <v>16844</v>
      </c>
      <c r="BN939" s="1">
        <v>16</v>
      </c>
      <c r="BO939" s="1" t="s">
        <v>16845</v>
      </c>
      <c r="BP939" s="1" t="str">
        <f>HYPERLINK("https://nconnect.nicmar.ac.in/storage/profile/ProfilePhoto_P2201008_187945.jpg","Download")</f>
        <v>0</v>
      </c>
      <c r="BQ939" s="3"/>
      <c r="BR939" s="3"/>
    </row>
    <row r="940" spans="1:70">
      <c r="A940" s="1" t="s">
        <v>552</v>
      </c>
      <c r="B940" s="1" t="s">
        <v>1269</v>
      </c>
      <c r="C940" s="1" t="s">
        <v>16846</v>
      </c>
      <c r="D940" s="1" t="s">
        <v>16847</v>
      </c>
      <c r="E940" s="1" t="s">
        <v>13848</v>
      </c>
      <c r="F940" s="1" t="s">
        <v>3031</v>
      </c>
      <c r="G940" s="1" t="s">
        <v>16848</v>
      </c>
      <c r="H940" s="1" t="s">
        <v>16849</v>
      </c>
      <c r="I940" s="1" t="s">
        <v>16850</v>
      </c>
      <c r="J940" s="1">
        <v>9619180968</v>
      </c>
      <c r="K940" s="1" t="s">
        <v>79</v>
      </c>
      <c r="L940" s="1" t="s">
        <v>16851</v>
      </c>
      <c r="M940" s="1" t="s">
        <v>81</v>
      </c>
      <c r="N940" s="1" t="s">
        <v>5040</v>
      </c>
      <c r="O940" s="1" t="s">
        <v>16852</v>
      </c>
      <c r="P940" s="1" t="s">
        <v>1766</v>
      </c>
      <c r="Q940" s="1" t="s">
        <v>16853</v>
      </c>
      <c r="R940" s="1" t="s">
        <v>4313</v>
      </c>
      <c r="S940" s="1">
        <v>9833171720</v>
      </c>
      <c r="T940" s="1" t="s">
        <v>16854</v>
      </c>
      <c r="U940" s="1" t="s">
        <v>16855</v>
      </c>
      <c r="V940" s="1">
        <v>9082491354</v>
      </c>
      <c r="W940" s="1" t="s">
        <v>16856</v>
      </c>
      <c r="X940" s="1" t="s">
        <v>16857</v>
      </c>
      <c r="Y940" s="1" t="s">
        <v>191</v>
      </c>
      <c r="Z940" s="1" t="s">
        <v>92</v>
      </c>
      <c r="AA940" s="1" t="s">
        <v>16857</v>
      </c>
      <c r="AB940" s="1" t="s">
        <v>191</v>
      </c>
      <c r="AC940" s="1" t="s">
        <v>92</v>
      </c>
      <c r="AD940" s="1">
        <v>6.81</v>
      </c>
      <c r="AE940" s="1" t="s">
        <v>93</v>
      </c>
      <c r="AF940" s="1" t="s">
        <v>16858</v>
      </c>
      <c r="AG940" s="1" t="s">
        <v>16859</v>
      </c>
      <c r="AH940" s="1" t="s">
        <v>409</v>
      </c>
      <c r="AI940" s="1" t="s">
        <v>941</v>
      </c>
      <c r="AJ940" s="1">
        <v>64.2</v>
      </c>
      <c r="AK940" s="1">
        <v>0</v>
      </c>
      <c r="AL940" s="1" t="s">
        <v>16860</v>
      </c>
      <c r="AM940" s="1" t="s">
        <v>16861</v>
      </c>
      <c r="AN940" s="1" t="s">
        <v>173</v>
      </c>
      <c r="AO940" s="1" t="s">
        <v>284</v>
      </c>
      <c r="AP940" s="1">
        <v>61.4</v>
      </c>
      <c r="AQ940" s="1">
        <v>0</v>
      </c>
      <c r="AR940" s="1"/>
      <c r="AS940" s="1"/>
      <c r="AT940" s="1"/>
      <c r="AU940" s="1"/>
      <c r="AV940" s="1"/>
      <c r="AW940" s="1"/>
      <c r="AX940" s="1" t="s">
        <v>12192</v>
      </c>
      <c r="AY940" s="1" t="s">
        <v>16862</v>
      </c>
      <c r="AZ940" s="1" t="s">
        <v>874</v>
      </c>
      <c r="BA940" s="1" t="s">
        <v>1408</v>
      </c>
      <c r="BB940" s="1">
        <v>69</v>
      </c>
      <c r="BC940" s="1">
        <v>7.27</v>
      </c>
      <c r="BD940" s="1"/>
      <c r="BE940" s="1"/>
      <c r="BF940" s="1"/>
      <c r="BG940" s="1"/>
      <c r="BH940" s="1"/>
      <c r="BI940" s="1"/>
      <c r="BJ940" s="1" t="s">
        <v>16863</v>
      </c>
      <c r="BK940" s="1"/>
      <c r="BL940" s="1"/>
      <c r="BM940" s="1" t="s">
        <v>16864</v>
      </c>
      <c r="BN940" s="1">
        <v>17</v>
      </c>
      <c r="BO940" s="1"/>
      <c r="BP940" s="1" t="str">
        <f>HYPERLINK("https://nconnect.nicmar.ac.in/storage/profile/ProfilePhoto_P2201010_518643.jpg","Download")</f>
        <v>0</v>
      </c>
      <c r="BQ940" s="3"/>
      <c r="BR940" s="3"/>
    </row>
    <row r="941" spans="1:70">
      <c r="A941" s="1" t="s">
        <v>552</v>
      </c>
      <c r="B941" s="1" t="s">
        <v>1269</v>
      </c>
      <c r="C941" s="1" t="s">
        <v>16865</v>
      </c>
      <c r="D941" s="1" t="s">
        <v>10001</v>
      </c>
      <c r="E941" s="1" t="s">
        <v>16866</v>
      </c>
      <c r="F941" s="1" t="s">
        <v>16867</v>
      </c>
      <c r="G941" s="1" t="s">
        <v>16868</v>
      </c>
      <c r="H941" s="1" t="s">
        <v>16869</v>
      </c>
      <c r="I941" s="1" t="s">
        <v>16870</v>
      </c>
      <c r="J941" s="1">
        <v>8669508463</v>
      </c>
      <c r="K941" s="1" t="s">
        <v>79</v>
      </c>
      <c r="L941" s="1" t="s">
        <v>16871</v>
      </c>
      <c r="M941" s="1" t="s">
        <v>81</v>
      </c>
      <c r="N941" s="1" t="s">
        <v>2008</v>
      </c>
      <c r="O941" s="1"/>
      <c r="P941" s="1" t="s">
        <v>1323</v>
      </c>
      <c r="Q941" s="1" t="s">
        <v>16872</v>
      </c>
      <c r="R941" s="1" t="s">
        <v>16873</v>
      </c>
      <c r="S941" s="1">
        <v>8408915929</v>
      </c>
      <c r="T941" s="1" t="s">
        <v>9871</v>
      </c>
      <c r="U941" s="1" t="s">
        <v>16874</v>
      </c>
      <c r="V941" s="1">
        <v>9673796235</v>
      </c>
      <c r="W941" s="1" t="s">
        <v>273</v>
      </c>
      <c r="X941" s="1" t="s">
        <v>16875</v>
      </c>
      <c r="Y941" s="1" t="s">
        <v>191</v>
      </c>
      <c r="Z941" s="1" t="s">
        <v>92</v>
      </c>
      <c r="AA941" s="1" t="s">
        <v>16876</v>
      </c>
      <c r="AB941" s="1" t="s">
        <v>567</v>
      </c>
      <c r="AC941" s="1" t="s">
        <v>92</v>
      </c>
      <c r="AD941" s="1">
        <v>7.31</v>
      </c>
      <c r="AE941" s="1" t="s">
        <v>93</v>
      </c>
      <c r="AF941" s="1" t="s">
        <v>16877</v>
      </c>
      <c r="AG941" s="1" t="s">
        <v>16878</v>
      </c>
      <c r="AH941" s="1" t="s">
        <v>733</v>
      </c>
      <c r="AI941" s="1" t="s">
        <v>195</v>
      </c>
      <c r="AJ941" s="1">
        <v>85.4</v>
      </c>
      <c r="AK941" s="1"/>
      <c r="AL941" s="1" t="s">
        <v>16879</v>
      </c>
      <c r="AM941" s="1" t="s">
        <v>16878</v>
      </c>
      <c r="AN941" s="1" t="s">
        <v>169</v>
      </c>
      <c r="AO941" s="1" t="s">
        <v>198</v>
      </c>
      <c r="AP941" s="1">
        <v>67.23</v>
      </c>
      <c r="AQ941" s="1"/>
      <c r="AR941" s="1"/>
      <c r="AS941" s="1"/>
      <c r="AT941" s="1"/>
      <c r="AU941" s="1"/>
      <c r="AV941" s="1"/>
      <c r="AW941" s="1"/>
      <c r="AX941" s="1" t="s">
        <v>1852</v>
      </c>
      <c r="AY941" s="1" t="s">
        <v>16880</v>
      </c>
      <c r="AZ941" s="1" t="s">
        <v>201</v>
      </c>
      <c r="BA941" s="1" t="s">
        <v>682</v>
      </c>
      <c r="BB941" s="1">
        <v>53.3</v>
      </c>
      <c r="BC941" s="1">
        <v>6.08</v>
      </c>
      <c r="BD941" s="1"/>
      <c r="BE941" s="1"/>
      <c r="BF941" s="1"/>
      <c r="BG941" s="1"/>
      <c r="BH941" s="1"/>
      <c r="BI941" s="1"/>
      <c r="BJ941" s="1" t="s">
        <v>1715</v>
      </c>
      <c r="BK941" s="1"/>
      <c r="BL941" s="1"/>
      <c r="BM941" s="1"/>
      <c r="BN941" s="1"/>
      <c r="BO941" s="1"/>
      <c r="BP941" s="1" t="str">
        <f>HYPERLINK("https://nconnect.nicmar.ac.in/storage/profile/ProfilePhoto_P25703001_183497.jpg","Download")</f>
        <v>0</v>
      </c>
      <c r="BQ941" s="3"/>
      <c r="BR941" s="3"/>
    </row>
    <row r="942" spans="1:70">
      <c r="A942" s="1" t="s">
        <v>552</v>
      </c>
      <c r="B942" s="1" t="s">
        <v>1269</v>
      </c>
      <c r="C942" s="1" t="s">
        <v>16881</v>
      </c>
      <c r="D942" s="1" t="s">
        <v>16882</v>
      </c>
      <c r="E942" s="1" t="s">
        <v>16883</v>
      </c>
      <c r="F942" s="1" t="s">
        <v>16884</v>
      </c>
      <c r="G942" s="1" t="s">
        <v>16885</v>
      </c>
      <c r="H942" s="1" t="s">
        <v>16886</v>
      </c>
      <c r="I942" s="1" t="s">
        <v>16887</v>
      </c>
      <c r="J942" s="1">
        <v>7057599949</v>
      </c>
      <c r="K942" s="1" t="s">
        <v>148</v>
      </c>
      <c r="L942" s="1" t="s">
        <v>16888</v>
      </c>
      <c r="M942" s="1" t="s">
        <v>81</v>
      </c>
      <c r="N942" s="1" t="s">
        <v>2008</v>
      </c>
      <c r="O942" s="1"/>
      <c r="P942" s="1" t="s">
        <v>1298</v>
      </c>
      <c r="Q942" s="1" t="s">
        <v>16889</v>
      </c>
      <c r="R942" s="1" t="s">
        <v>16890</v>
      </c>
      <c r="S942" s="1">
        <v>9923602457</v>
      </c>
      <c r="T942" s="1" t="s">
        <v>496</v>
      </c>
      <c r="U942" s="1" t="s">
        <v>16891</v>
      </c>
      <c r="V942" s="1">
        <v>9890426216</v>
      </c>
      <c r="W942" s="1" t="s">
        <v>520</v>
      </c>
      <c r="X942" s="1" t="s">
        <v>16892</v>
      </c>
      <c r="Y942" s="1" t="s">
        <v>191</v>
      </c>
      <c r="Z942" s="1" t="s">
        <v>92</v>
      </c>
      <c r="AA942" s="1" t="s">
        <v>16892</v>
      </c>
      <c r="AB942" s="1" t="s">
        <v>191</v>
      </c>
      <c r="AC942" s="1" t="s">
        <v>92</v>
      </c>
      <c r="AD942" s="1">
        <v>9.59</v>
      </c>
      <c r="AE942" s="1" t="s">
        <v>93</v>
      </c>
      <c r="AF942" s="1" t="s">
        <v>16893</v>
      </c>
      <c r="AG942" s="1" t="s">
        <v>939</v>
      </c>
      <c r="AH942" s="1" t="s">
        <v>101</v>
      </c>
      <c r="AI942" s="1" t="s">
        <v>308</v>
      </c>
      <c r="AJ942" s="1">
        <v>95.4</v>
      </c>
      <c r="AK942" s="1">
        <v>0</v>
      </c>
      <c r="AL942" s="1"/>
      <c r="AM942" s="1"/>
      <c r="AN942" s="1"/>
      <c r="AO942" s="1"/>
      <c r="AP942" s="1"/>
      <c r="AQ942" s="1"/>
      <c r="AR942" s="1" t="s">
        <v>16894</v>
      </c>
      <c r="AS942" s="1" t="s">
        <v>16895</v>
      </c>
      <c r="AT942" s="1" t="s">
        <v>201</v>
      </c>
      <c r="AU942" s="1" t="s">
        <v>105</v>
      </c>
      <c r="AV942" s="1">
        <v>92.8</v>
      </c>
      <c r="AW942" s="1">
        <v>0</v>
      </c>
      <c r="AX942" s="1" t="s">
        <v>361</v>
      </c>
      <c r="AY942" s="1" t="s">
        <v>16896</v>
      </c>
      <c r="AZ942" s="1" t="s">
        <v>2630</v>
      </c>
      <c r="BA942" s="1" t="s">
        <v>1361</v>
      </c>
      <c r="BB942" s="1">
        <v>82.56</v>
      </c>
      <c r="BC942" s="1">
        <v>8.69</v>
      </c>
      <c r="BD942" s="1"/>
      <c r="BE942" s="1"/>
      <c r="BF942" s="1"/>
      <c r="BG942" s="1"/>
      <c r="BH942" s="1"/>
      <c r="BI942" s="1"/>
      <c r="BJ942" s="1" t="s">
        <v>16897</v>
      </c>
      <c r="BK942" s="1"/>
      <c r="BL942" s="1"/>
      <c r="BM942" s="1" t="s">
        <v>16898</v>
      </c>
      <c r="BN942" s="1">
        <v>18</v>
      </c>
      <c r="BO942" s="1" t="s">
        <v>16899</v>
      </c>
      <c r="BP942" s="1" t="str">
        <f>HYPERLINK("https://nconnect.nicmar.ac.in/storage/profile/ProfilePhoto_P25703002_482139.jpg","Download")</f>
        <v>0</v>
      </c>
      <c r="BQ942" s="3"/>
      <c r="BR942" s="3"/>
    </row>
    <row r="943" spans="1:70">
      <c r="A943" s="1" t="s">
        <v>552</v>
      </c>
      <c r="B943" s="1" t="s">
        <v>1269</v>
      </c>
      <c r="C943" s="1" t="s">
        <v>16900</v>
      </c>
      <c r="D943" s="1" t="s">
        <v>16901</v>
      </c>
      <c r="E943" s="1"/>
      <c r="F943" s="1" t="s">
        <v>5668</v>
      </c>
      <c r="G943" s="1" t="s">
        <v>16902</v>
      </c>
      <c r="H943" s="1" t="s">
        <v>16903</v>
      </c>
      <c r="I943" s="1" t="s">
        <v>16904</v>
      </c>
      <c r="J943" s="1">
        <v>8409003373</v>
      </c>
      <c r="K943" s="1" t="s">
        <v>148</v>
      </c>
      <c r="L943" s="1" t="s">
        <v>16905</v>
      </c>
      <c r="M943" s="1" t="s">
        <v>81</v>
      </c>
      <c r="N943" s="1" t="s">
        <v>241</v>
      </c>
      <c r="O943" s="1"/>
      <c r="P943" s="1" t="s">
        <v>1323</v>
      </c>
      <c r="Q943" s="1" t="s">
        <v>16906</v>
      </c>
      <c r="R943" s="1" t="s">
        <v>16907</v>
      </c>
      <c r="S943" s="1">
        <v>9472331379</v>
      </c>
      <c r="T943" s="1" t="s">
        <v>842</v>
      </c>
      <c r="U943" s="1" t="s">
        <v>16908</v>
      </c>
      <c r="V943" s="1">
        <v>7870030728</v>
      </c>
      <c r="W943" s="1" t="s">
        <v>273</v>
      </c>
      <c r="X943" s="1" t="s">
        <v>16909</v>
      </c>
      <c r="Y943" s="1" t="s">
        <v>191</v>
      </c>
      <c r="Z943" s="1" t="s">
        <v>92</v>
      </c>
      <c r="AA943" s="1" t="s">
        <v>16910</v>
      </c>
      <c r="AB943" s="1" t="s">
        <v>845</v>
      </c>
      <c r="AC943" s="1" t="s">
        <v>846</v>
      </c>
      <c r="AD943" s="1" t="s">
        <v>93</v>
      </c>
      <c r="AE943" s="1" t="s">
        <v>93</v>
      </c>
      <c r="AF943" s="1" t="s">
        <v>16911</v>
      </c>
      <c r="AG943" s="1" t="s">
        <v>307</v>
      </c>
      <c r="AH943" s="1" t="s">
        <v>1065</v>
      </c>
      <c r="AI943" s="1" t="s">
        <v>173</v>
      </c>
      <c r="AJ943" s="1">
        <v>61.83</v>
      </c>
      <c r="AK943" s="1">
        <v>0</v>
      </c>
      <c r="AL943" s="1" t="s">
        <v>16912</v>
      </c>
      <c r="AM943" s="1" t="s">
        <v>307</v>
      </c>
      <c r="AN943" s="1" t="s">
        <v>3081</v>
      </c>
      <c r="AO943" s="1" t="s">
        <v>481</v>
      </c>
      <c r="AP943" s="1">
        <v>60</v>
      </c>
      <c r="AQ943" s="1">
        <v>0</v>
      </c>
      <c r="AR943" s="1"/>
      <c r="AS943" s="1"/>
      <c r="AT943" s="1"/>
      <c r="AU943" s="1"/>
      <c r="AV943" s="1"/>
      <c r="AW943" s="1"/>
      <c r="AX943" s="1" t="s">
        <v>16913</v>
      </c>
      <c r="AY943" s="1" t="s">
        <v>16914</v>
      </c>
      <c r="AZ943" s="1" t="s">
        <v>105</v>
      </c>
      <c r="BA943" s="1" t="s">
        <v>1584</v>
      </c>
      <c r="BB943" s="1">
        <v>65.06</v>
      </c>
      <c r="BC943" s="1">
        <v>0</v>
      </c>
      <c r="BD943" s="1"/>
      <c r="BE943" s="1"/>
      <c r="BF943" s="1"/>
      <c r="BG943" s="1"/>
      <c r="BH943" s="1"/>
      <c r="BI943" s="1"/>
      <c r="BJ943" s="1" t="s">
        <v>16915</v>
      </c>
      <c r="BK943" s="1"/>
      <c r="BL943" s="1"/>
      <c r="BM943" s="1"/>
      <c r="BN943" s="1"/>
      <c r="BO943" s="1" t="s">
        <v>16916</v>
      </c>
      <c r="BP943" s="1" t="str">
        <f>HYPERLINK("https://nconnect.nicmar.ac.in/storage/profile/ProfilePhoto_P25703003_426193.jpg","Download")</f>
        <v>0</v>
      </c>
      <c r="BQ943" s="3"/>
      <c r="BR943" s="3"/>
    </row>
    <row r="944" spans="1:70">
      <c r="A944" s="1" t="s">
        <v>552</v>
      </c>
      <c r="B944" s="1" t="s">
        <v>1269</v>
      </c>
      <c r="C944" s="1" t="s">
        <v>16917</v>
      </c>
      <c r="D944" s="1" t="s">
        <v>10485</v>
      </c>
      <c r="E944" s="1"/>
      <c r="F944" s="1" t="s">
        <v>5668</v>
      </c>
      <c r="G944" s="1" t="s">
        <v>16918</v>
      </c>
      <c r="H944" s="1" t="s">
        <v>16919</v>
      </c>
      <c r="I944" s="1" t="s">
        <v>16920</v>
      </c>
      <c r="J944" s="1">
        <v>7004504753</v>
      </c>
      <c r="K944" s="1" t="s">
        <v>148</v>
      </c>
      <c r="L944" s="1" t="s">
        <v>16921</v>
      </c>
      <c r="M944" s="1" t="s">
        <v>81</v>
      </c>
      <c r="N944" s="1" t="s">
        <v>82</v>
      </c>
      <c r="O944" s="1"/>
      <c r="P944" s="1" t="s">
        <v>1278</v>
      </c>
      <c r="Q944" s="1" t="s">
        <v>16922</v>
      </c>
      <c r="R944" s="1" t="s">
        <v>16923</v>
      </c>
      <c r="S944" s="1">
        <v>9631289451</v>
      </c>
      <c r="T944" s="1" t="s">
        <v>842</v>
      </c>
      <c r="U944" s="1" t="s">
        <v>16924</v>
      </c>
      <c r="V944" s="1">
        <v>9431492181</v>
      </c>
      <c r="W944" s="1" t="s">
        <v>156</v>
      </c>
      <c r="X944" s="1" t="s">
        <v>16925</v>
      </c>
      <c r="Y944" s="1" t="s">
        <v>191</v>
      </c>
      <c r="Z944" s="1" t="s">
        <v>92</v>
      </c>
      <c r="AA944" s="1" t="s">
        <v>16926</v>
      </c>
      <c r="AB944" s="1" t="s">
        <v>845</v>
      </c>
      <c r="AC944" s="1" t="s">
        <v>846</v>
      </c>
      <c r="AD944" s="1" t="s">
        <v>93</v>
      </c>
      <c r="AE944" s="1" t="s">
        <v>93</v>
      </c>
      <c r="AF944" s="1" t="s">
        <v>16927</v>
      </c>
      <c r="AG944" s="1" t="s">
        <v>307</v>
      </c>
      <c r="AH944" s="1" t="s">
        <v>678</v>
      </c>
      <c r="AI944" s="1" t="s">
        <v>166</v>
      </c>
      <c r="AJ944" s="1">
        <v>69</v>
      </c>
      <c r="AK944" s="1">
        <v>0</v>
      </c>
      <c r="AL944" s="1" t="s">
        <v>16928</v>
      </c>
      <c r="AM944" s="1" t="s">
        <v>16929</v>
      </c>
      <c r="AN944" s="1" t="s">
        <v>3081</v>
      </c>
      <c r="AO944" s="1" t="s">
        <v>2687</v>
      </c>
      <c r="AP944" s="1">
        <v>71.2</v>
      </c>
      <c r="AQ944" s="1"/>
      <c r="AR944" s="1"/>
      <c r="AS944" s="1"/>
      <c r="AT944" s="1"/>
      <c r="AU944" s="1"/>
      <c r="AV944" s="1"/>
      <c r="AW944" s="1"/>
      <c r="AX944" s="1" t="s">
        <v>16913</v>
      </c>
      <c r="AY944" s="1" t="s">
        <v>16930</v>
      </c>
      <c r="AZ944" s="1" t="s">
        <v>105</v>
      </c>
      <c r="BA944" s="1" t="s">
        <v>1584</v>
      </c>
      <c r="BB944" s="1">
        <v>66.46</v>
      </c>
      <c r="BC944" s="1"/>
      <c r="BD944" s="1"/>
      <c r="BE944" s="1"/>
      <c r="BF944" s="1"/>
      <c r="BG944" s="1"/>
      <c r="BH944" s="1"/>
      <c r="BI944" s="1"/>
      <c r="BJ944" s="1" t="s">
        <v>16931</v>
      </c>
      <c r="BK944" s="1"/>
      <c r="BL944" s="1"/>
      <c r="BM944" s="1"/>
      <c r="BN944" s="1"/>
      <c r="BO944" s="1" t="s">
        <v>16932</v>
      </c>
      <c r="BP944" s="1" t="str">
        <f>HYPERLINK("https://nconnect.nicmar.ac.in/storage/profile/ProfilePhoto_P25703004_138697.jpg","Download")</f>
        <v>0</v>
      </c>
      <c r="BQ944" s="3"/>
      <c r="BR944" s="3"/>
    </row>
    <row r="945" spans="1:70">
      <c r="A945" s="1" t="s">
        <v>552</v>
      </c>
      <c r="B945" s="1" t="s">
        <v>1269</v>
      </c>
      <c r="C945" s="1" t="s">
        <v>16933</v>
      </c>
      <c r="D945" s="1" t="s">
        <v>1740</v>
      </c>
      <c r="E945" s="1"/>
      <c r="F945" s="1" t="s">
        <v>16934</v>
      </c>
      <c r="G945" s="1" t="s">
        <v>16935</v>
      </c>
      <c r="H945" s="1" t="s">
        <v>16936</v>
      </c>
      <c r="I945" s="1" t="s">
        <v>16937</v>
      </c>
      <c r="J945" s="1">
        <v>9890516956</v>
      </c>
      <c r="K945" s="1" t="s">
        <v>79</v>
      </c>
      <c r="L945" s="1" t="s">
        <v>4886</v>
      </c>
      <c r="M945" s="1" t="s">
        <v>81</v>
      </c>
      <c r="N945" s="1" t="s">
        <v>16938</v>
      </c>
      <c r="O945" s="1"/>
      <c r="P945" s="1" t="s">
        <v>1323</v>
      </c>
      <c r="Q945" s="1" t="s">
        <v>16939</v>
      </c>
      <c r="R945" s="1" t="s">
        <v>16940</v>
      </c>
      <c r="S945" s="1">
        <v>9167700476</v>
      </c>
      <c r="T945" s="1" t="s">
        <v>763</v>
      </c>
      <c r="U945" s="1" t="s">
        <v>16941</v>
      </c>
      <c r="V945" s="1">
        <v>7008334452</v>
      </c>
      <c r="W945" s="1" t="s">
        <v>674</v>
      </c>
      <c r="X945" s="1" t="s">
        <v>16942</v>
      </c>
      <c r="Y945" s="1" t="s">
        <v>191</v>
      </c>
      <c r="Z945" s="1" t="s">
        <v>92</v>
      </c>
      <c r="AA945" s="1" t="s">
        <v>16943</v>
      </c>
      <c r="AB945" s="1" t="s">
        <v>16944</v>
      </c>
      <c r="AC945" s="1" t="s">
        <v>1731</v>
      </c>
      <c r="AD945" s="1">
        <v>7.63</v>
      </c>
      <c r="AE945" s="1" t="s">
        <v>93</v>
      </c>
      <c r="AF945" s="1" t="s">
        <v>16945</v>
      </c>
      <c r="AG945" s="1" t="s">
        <v>6104</v>
      </c>
      <c r="AH945" s="1" t="s">
        <v>279</v>
      </c>
      <c r="AI945" s="1" t="s">
        <v>165</v>
      </c>
      <c r="AJ945" s="1">
        <v>85.5</v>
      </c>
      <c r="AK945" s="1">
        <v>9</v>
      </c>
      <c r="AL945" s="1" t="s">
        <v>16945</v>
      </c>
      <c r="AM945" s="1" t="s">
        <v>6104</v>
      </c>
      <c r="AN945" s="1" t="s">
        <v>383</v>
      </c>
      <c r="AO945" s="1" t="s">
        <v>310</v>
      </c>
      <c r="AP945" s="1">
        <v>67.2</v>
      </c>
      <c r="AQ945" s="1"/>
      <c r="AR945" s="1"/>
      <c r="AS945" s="1"/>
      <c r="AT945" s="1"/>
      <c r="AU945" s="1"/>
      <c r="AV945" s="1"/>
      <c r="AW945" s="1"/>
      <c r="AX945" s="1" t="s">
        <v>10773</v>
      </c>
      <c r="AY945" s="1" t="s">
        <v>16946</v>
      </c>
      <c r="AZ945" s="1" t="s">
        <v>201</v>
      </c>
      <c r="BA945" s="1" t="s">
        <v>682</v>
      </c>
      <c r="BB945" s="1">
        <v>70.27</v>
      </c>
      <c r="BC945" s="1">
        <v>7.35</v>
      </c>
      <c r="BD945" s="1"/>
      <c r="BE945" s="1"/>
      <c r="BF945" s="1"/>
      <c r="BG945" s="1"/>
      <c r="BH945" s="1"/>
      <c r="BI945" s="1"/>
      <c r="BJ945" s="1" t="s">
        <v>364</v>
      </c>
      <c r="BK945" s="1" t="s">
        <v>16947</v>
      </c>
      <c r="BL945" s="1" t="s">
        <v>5625</v>
      </c>
      <c r="BM945" s="1"/>
      <c r="BN945" s="1"/>
      <c r="BO945" s="1"/>
      <c r="BP945" s="1" t="str">
        <f>HYPERLINK("https://nconnect.nicmar.ac.in/storage/profile/ProfilePhoto_P25703005_859241.jpg","Download")</f>
        <v>0</v>
      </c>
      <c r="BQ945" s="3"/>
      <c r="BR945" s="3"/>
    </row>
    <row r="946" spans="1:70">
      <c r="A946" s="1" t="s">
        <v>552</v>
      </c>
      <c r="B946" s="1" t="s">
        <v>1269</v>
      </c>
      <c r="C946" s="1" t="s">
        <v>16948</v>
      </c>
      <c r="D946" s="1" t="s">
        <v>16949</v>
      </c>
      <c r="E946" s="1"/>
      <c r="F946" s="1" t="s">
        <v>12221</v>
      </c>
      <c r="G946" s="1" t="s">
        <v>16950</v>
      </c>
      <c r="H946" s="1" t="s">
        <v>16951</v>
      </c>
      <c r="I946" s="1" t="s">
        <v>16952</v>
      </c>
      <c r="J946" s="1">
        <v>9953915250</v>
      </c>
      <c r="K946" s="1" t="s">
        <v>148</v>
      </c>
      <c r="L946" s="1" t="s">
        <v>5398</v>
      </c>
      <c r="M946" s="1" t="s">
        <v>81</v>
      </c>
      <c r="N946" s="1" t="s">
        <v>5040</v>
      </c>
      <c r="O946" s="1"/>
      <c r="P946" s="1" t="s">
        <v>1298</v>
      </c>
      <c r="Q946" s="1" t="s">
        <v>16953</v>
      </c>
      <c r="R946" s="1" t="s">
        <v>16954</v>
      </c>
      <c r="S946" s="1">
        <v>9873715250</v>
      </c>
      <c r="T946" s="1" t="s">
        <v>5802</v>
      </c>
      <c r="U946" s="1" t="s">
        <v>16955</v>
      </c>
      <c r="V946" s="1">
        <v>9999228350</v>
      </c>
      <c r="W946" s="1" t="s">
        <v>156</v>
      </c>
      <c r="X946" s="1" t="s">
        <v>16956</v>
      </c>
      <c r="Y946" s="1" t="s">
        <v>16957</v>
      </c>
      <c r="Z946" s="1" t="s">
        <v>722</v>
      </c>
      <c r="AA946" s="1" t="s">
        <v>16956</v>
      </c>
      <c r="AB946" s="1" t="s">
        <v>16957</v>
      </c>
      <c r="AC946" s="1" t="s">
        <v>722</v>
      </c>
      <c r="AD946" s="1">
        <v>8.99</v>
      </c>
      <c r="AE946" s="1" t="s">
        <v>93</v>
      </c>
      <c r="AF946" s="1" t="s">
        <v>14027</v>
      </c>
      <c r="AG946" s="1" t="s">
        <v>7182</v>
      </c>
      <c r="AH946" s="1" t="s">
        <v>1307</v>
      </c>
      <c r="AI946" s="1" t="s">
        <v>409</v>
      </c>
      <c r="AJ946" s="1">
        <v>88.6</v>
      </c>
      <c r="AK946" s="1"/>
      <c r="AL946" s="1" t="s">
        <v>14027</v>
      </c>
      <c r="AM946" s="1" t="s">
        <v>7182</v>
      </c>
      <c r="AN946" s="1" t="s">
        <v>1833</v>
      </c>
      <c r="AO946" s="1" t="s">
        <v>506</v>
      </c>
      <c r="AP946" s="1">
        <v>84.6</v>
      </c>
      <c r="AQ946" s="1"/>
      <c r="AR946" s="1"/>
      <c r="AS946" s="1"/>
      <c r="AT946" s="1"/>
      <c r="AU946" s="1"/>
      <c r="AV946" s="1"/>
      <c r="AW946" s="1"/>
      <c r="AX946" s="1" t="s">
        <v>16958</v>
      </c>
      <c r="AY946" s="1" t="s">
        <v>16959</v>
      </c>
      <c r="AZ946" s="1" t="s">
        <v>1407</v>
      </c>
      <c r="BA946" s="1" t="s">
        <v>202</v>
      </c>
      <c r="BB946" s="1">
        <v>64.2</v>
      </c>
      <c r="BC946" s="1"/>
      <c r="BD946" s="1"/>
      <c r="BE946" s="1"/>
      <c r="BF946" s="1"/>
      <c r="BG946" s="1"/>
      <c r="BH946" s="1"/>
      <c r="BI946" s="1"/>
      <c r="BJ946" s="1" t="s">
        <v>16960</v>
      </c>
      <c r="BK946" s="1"/>
      <c r="BL946" s="1"/>
      <c r="BM946" s="1" t="s">
        <v>16961</v>
      </c>
      <c r="BN946" s="1">
        <v>30</v>
      </c>
      <c r="BO946" s="1" t="s">
        <v>16962</v>
      </c>
      <c r="BP946" s="1" t="str">
        <f>HYPERLINK("https://nconnect.nicmar.ac.in/storage/profile/ProfilePhoto_P25703006_431582.jpg","Download")</f>
        <v>0</v>
      </c>
      <c r="BQ946" s="3"/>
      <c r="BR946" s="3"/>
    </row>
    <row r="947" spans="1:70">
      <c r="A947" s="1" t="s">
        <v>552</v>
      </c>
      <c r="B947" s="1" t="s">
        <v>1269</v>
      </c>
      <c r="C947" s="1" t="s">
        <v>16963</v>
      </c>
      <c r="D947" s="1" t="s">
        <v>417</v>
      </c>
      <c r="E947" s="1"/>
      <c r="F947" s="1" t="s">
        <v>16131</v>
      </c>
      <c r="G947" s="1" t="s">
        <v>16964</v>
      </c>
      <c r="H947" s="1" t="s">
        <v>16965</v>
      </c>
      <c r="I947" s="1" t="s">
        <v>16966</v>
      </c>
      <c r="J947" s="1">
        <v>6386400862</v>
      </c>
      <c r="K947" s="1" t="s">
        <v>148</v>
      </c>
      <c r="L947" s="1" t="s">
        <v>10184</v>
      </c>
      <c r="M947" s="1" t="s">
        <v>81</v>
      </c>
      <c r="N947" s="1" t="s">
        <v>350</v>
      </c>
      <c r="O947" s="1"/>
      <c r="P947" s="1" t="s">
        <v>1323</v>
      </c>
      <c r="Q947" s="1" t="s">
        <v>16967</v>
      </c>
      <c r="R947" s="1" t="s">
        <v>16968</v>
      </c>
      <c r="S947" s="1">
        <v>7007661585</v>
      </c>
      <c r="T947" s="1" t="s">
        <v>377</v>
      </c>
      <c r="U947" s="1" t="s">
        <v>16969</v>
      </c>
      <c r="V947" s="1">
        <v>8318599386</v>
      </c>
      <c r="W947" s="1" t="s">
        <v>273</v>
      </c>
      <c r="X947" s="1" t="s">
        <v>16970</v>
      </c>
      <c r="Y947" s="1" t="s">
        <v>1911</v>
      </c>
      <c r="Z947" s="1" t="s">
        <v>1355</v>
      </c>
      <c r="AA947" s="1" t="s">
        <v>16971</v>
      </c>
      <c r="AB947" s="1" t="s">
        <v>16972</v>
      </c>
      <c r="AC947" s="1" t="s">
        <v>1355</v>
      </c>
      <c r="AD947" s="1">
        <v>8.4</v>
      </c>
      <c r="AE947" s="1" t="s">
        <v>93</v>
      </c>
      <c r="AF947" s="1" t="s">
        <v>16973</v>
      </c>
      <c r="AG947" s="1" t="s">
        <v>1470</v>
      </c>
      <c r="AH947" s="1" t="s">
        <v>678</v>
      </c>
      <c r="AI947" s="1" t="s">
        <v>166</v>
      </c>
      <c r="AJ947" s="1">
        <v>71</v>
      </c>
      <c r="AK947" s="1"/>
      <c r="AL947" s="1" t="s">
        <v>16974</v>
      </c>
      <c r="AM947" s="1" t="s">
        <v>307</v>
      </c>
      <c r="AN947" s="1" t="s">
        <v>169</v>
      </c>
      <c r="AO947" s="1" t="s">
        <v>173</v>
      </c>
      <c r="AP947" s="1">
        <v>71.6</v>
      </c>
      <c r="AQ947" s="1"/>
      <c r="AR947" s="1"/>
      <c r="AS947" s="1"/>
      <c r="AT947" s="1"/>
      <c r="AU947" s="1"/>
      <c r="AV947" s="1"/>
      <c r="AW947" s="1"/>
      <c r="AX947" s="1" t="s">
        <v>16975</v>
      </c>
      <c r="AY947" s="1" t="s">
        <v>16976</v>
      </c>
      <c r="AZ947" s="1" t="s">
        <v>681</v>
      </c>
      <c r="BA947" s="1" t="s">
        <v>10140</v>
      </c>
      <c r="BB947" s="1">
        <v>77.58</v>
      </c>
      <c r="BC947" s="1"/>
      <c r="BD947" s="1"/>
      <c r="BE947" s="1"/>
      <c r="BF947" s="1"/>
      <c r="BG947" s="1"/>
      <c r="BH947" s="1"/>
      <c r="BI947" s="1"/>
      <c r="BJ947" s="1" t="s">
        <v>734</v>
      </c>
      <c r="BK947" s="1"/>
      <c r="BL947" s="1"/>
      <c r="BM947" s="1"/>
      <c r="BN947" s="1"/>
      <c r="BO947" s="1" t="s">
        <v>16977</v>
      </c>
      <c r="BP947" s="1" t="str">
        <f>HYPERLINK("https://nconnect.nicmar.ac.in/storage/profile/ProfilePhoto_P25703007_257863.jpg","Download")</f>
        <v>0</v>
      </c>
      <c r="BQ947" s="3"/>
      <c r="BR947" s="3"/>
    </row>
    <row r="948" spans="1:70">
      <c r="A948" s="1" t="s">
        <v>552</v>
      </c>
      <c r="B948" s="1" t="s">
        <v>1269</v>
      </c>
      <c r="C948" s="1" t="s">
        <v>16978</v>
      </c>
      <c r="D948" s="1" t="s">
        <v>3180</v>
      </c>
      <c r="E948" s="1" t="s">
        <v>6786</v>
      </c>
      <c r="F948" s="1" t="s">
        <v>16979</v>
      </c>
      <c r="G948" s="1" t="s">
        <v>16980</v>
      </c>
      <c r="H948" s="1" t="s">
        <v>16981</v>
      </c>
      <c r="I948" s="1" t="s">
        <v>16982</v>
      </c>
      <c r="J948" s="1">
        <v>9370792447</v>
      </c>
      <c r="K948" s="1" t="s">
        <v>79</v>
      </c>
      <c r="L948" s="1" t="s">
        <v>13481</v>
      </c>
      <c r="M948" s="1" t="s">
        <v>81</v>
      </c>
      <c r="N948" s="1" t="s">
        <v>1618</v>
      </c>
      <c r="O948" s="1"/>
      <c r="P948" s="1" t="s">
        <v>1298</v>
      </c>
      <c r="Q948" s="1" t="s">
        <v>16983</v>
      </c>
      <c r="R948" s="1" t="s">
        <v>16984</v>
      </c>
      <c r="S948" s="1">
        <v>9370792447</v>
      </c>
      <c r="T948" s="1" t="s">
        <v>16985</v>
      </c>
      <c r="U948" s="1" t="s">
        <v>16986</v>
      </c>
      <c r="V948" s="1">
        <v>8208767064</v>
      </c>
      <c r="W948" s="1" t="s">
        <v>156</v>
      </c>
      <c r="X948" s="1" t="s">
        <v>16987</v>
      </c>
      <c r="Y948" s="1" t="s">
        <v>405</v>
      </c>
      <c r="Z948" s="1" t="s">
        <v>92</v>
      </c>
      <c r="AA948" s="1" t="s">
        <v>16987</v>
      </c>
      <c r="AB948" s="1" t="s">
        <v>405</v>
      </c>
      <c r="AC948" s="1" t="s">
        <v>92</v>
      </c>
      <c r="AD948" s="1">
        <v>7.97</v>
      </c>
      <c r="AE948" s="1" t="s">
        <v>93</v>
      </c>
      <c r="AF948" s="1" t="s">
        <v>16988</v>
      </c>
      <c r="AG948" s="1" t="s">
        <v>16989</v>
      </c>
      <c r="AH948" s="1" t="s">
        <v>165</v>
      </c>
      <c r="AI948" s="1" t="s">
        <v>281</v>
      </c>
      <c r="AJ948" s="1">
        <v>83.4</v>
      </c>
      <c r="AK948" s="1">
        <v>0</v>
      </c>
      <c r="AL948" s="1"/>
      <c r="AM948" s="1"/>
      <c r="AN948" s="1"/>
      <c r="AO948" s="1"/>
      <c r="AP948" s="1"/>
      <c r="AQ948" s="1"/>
      <c r="AR948" s="1" t="s">
        <v>16990</v>
      </c>
      <c r="AS948" s="1" t="s">
        <v>8138</v>
      </c>
      <c r="AT948" s="1" t="s">
        <v>636</v>
      </c>
      <c r="AU948" s="1" t="s">
        <v>1051</v>
      </c>
      <c r="AV948" s="1">
        <v>91.6</v>
      </c>
      <c r="AW948" s="1">
        <v>0</v>
      </c>
      <c r="AX948" s="1" t="s">
        <v>16991</v>
      </c>
      <c r="AY948" s="1" t="s">
        <v>16991</v>
      </c>
      <c r="AZ948" s="1" t="s">
        <v>897</v>
      </c>
      <c r="BA948" s="1" t="s">
        <v>413</v>
      </c>
      <c r="BB948" s="1">
        <v>77.6</v>
      </c>
      <c r="BC948" s="1">
        <v>8.51</v>
      </c>
      <c r="BD948" s="1"/>
      <c r="BE948" s="1"/>
      <c r="BF948" s="1"/>
      <c r="BG948" s="1"/>
      <c r="BH948" s="1"/>
      <c r="BI948" s="1"/>
      <c r="BJ948" s="1" t="s">
        <v>16992</v>
      </c>
      <c r="BK948" s="1" t="s">
        <v>16993</v>
      </c>
      <c r="BL948" s="1" t="s">
        <v>1895</v>
      </c>
      <c r="BM948" s="1" t="s">
        <v>16994</v>
      </c>
      <c r="BN948" s="1">
        <v>21</v>
      </c>
      <c r="BO948" s="1"/>
      <c r="BP948" s="1" t="str">
        <f>HYPERLINK("https://nconnect.nicmar.ac.in/storage/profile/ProfilePhoto_P25703008_815249.jpg","Download")</f>
        <v>0</v>
      </c>
      <c r="BQ948" s="3"/>
      <c r="BR948" s="3"/>
    </row>
    <row r="949" spans="1:70">
      <c r="A949" s="1" t="s">
        <v>552</v>
      </c>
      <c r="B949" s="1" t="s">
        <v>1269</v>
      </c>
      <c r="C949" s="1" t="s">
        <v>16995</v>
      </c>
      <c r="D949" s="1" t="s">
        <v>16996</v>
      </c>
      <c r="E949" s="1"/>
      <c r="F949" s="1" t="s">
        <v>111</v>
      </c>
      <c r="G949" s="1" t="s">
        <v>16997</v>
      </c>
      <c r="H949" s="1" t="s">
        <v>16998</v>
      </c>
      <c r="I949" s="1" t="s">
        <v>16999</v>
      </c>
      <c r="J949" s="1">
        <v>8970457027</v>
      </c>
      <c r="K949" s="1" t="s">
        <v>148</v>
      </c>
      <c r="L949" s="1" t="s">
        <v>17000</v>
      </c>
      <c r="M949" s="1" t="s">
        <v>81</v>
      </c>
      <c r="N949" s="1" t="s">
        <v>17001</v>
      </c>
      <c r="O949" s="1"/>
      <c r="P949" s="1" t="s">
        <v>1323</v>
      </c>
      <c r="Q949" s="1" t="s">
        <v>17002</v>
      </c>
      <c r="R949" s="1" t="s">
        <v>17003</v>
      </c>
      <c r="S949" s="1">
        <v>8618498638</v>
      </c>
      <c r="T949" s="1" t="s">
        <v>87</v>
      </c>
      <c r="U949" s="1" t="s">
        <v>11933</v>
      </c>
      <c r="V949" s="1">
        <v>8618831030</v>
      </c>
      <c r="W949" s="1" t="s">
        <v>89</v>
      </c>
      <c r="X949" s="1" t="s">
        <v>17004</v>
      </c>
      <c r="Y949" s="1" t="s">
        <v>1083</v>
      </c>
      <c r="Z949" s="1" t="s">
        <v>1084</v>
      </c>
      <c r="AA949" s="1" t="s">
        <v>17004</v>
      </c>
      <c r="AB949" s="1" t="s">
        <v>1083</v>
      </c>
      <c r="AC949" s="1" t="s">
        <v>1084</v>
      </c>
      <c r="AD949" s="1">
        <v>9.26</v>
      </c>
      <c r="AE949" s="1" t="s">
        <v>93</v>
      </c>
      <c r="AF949" s="1" t="s">
        <v>17005</v>
      </c>
      <c r="AG949" s="1" t="s">
        <v>17006</v>
      </c>
      <c r="AH949" s="1" t="s">
        <v>658</v>
      </c>
      <c r="AI949" s="1" t="s">
        <v>129</v>
      </c>
      <c r="AJ949" s="1">
        <v>81.7</v>
      </c>
      <c r="AK949" s="1">
        <v>8.6</v>
      </c>
      <c r="AL949" s="1" t="s">
        <v>17007</v>
      </c>
      <c r="AM949" s="1" t="s">
        <v>11436</v>
      </c>
      <c r="AN949" s="1" t="s">
        <v>96</v>
      </c>
      <c r="AO949" s="1" t="s">
        <v>131</v>
      </c>
      <c r="AP949" s="1">
        <v>75.5</v>
      </c>
      <c r="AQ949" s="1"/>
      <c r="AR949" s="1"/>
      <c r="AS949" s="1"/>
      <c r="AT949" s="1"/>
      <c r="AU949" s="1"/>
      <c r="AV949" s="1"/>
      <c r="AW949" s="1"/>
      <c r="AX949" s="1" t="s">
        <v>1088</v>
      </c>
      <c r="AY949" s="1" t="s">
        <v>17008</v>
      </c>
      <c r="AZ949" s="1" t="s">
        <v>100</v>
      </c>
      <c r="BA949" s="1" t="s">
        <v>201</v>
      </c>
      <c r="BB949" s="1">
        <v>65.5</v>
      </c>
      <c r="BC949" s="1">
        <v>7.3</v>
      </c>
      <c r="BD949" s="1"/>
      <c r="BE949" s="1"/>
      <c r="BF949" s="1"/>
      <c r="BG949" s="1"/>
      <c r="BH949" s="1"/>
      <c r="BI949" s="1"/>
      <c r="BJ949" s="1" t="s">
        <v>17009</v>
      </c>
      <c r="BK949" s="1" t="s">
        <v>17010</v>
      </c>
      <c r="BL949" s="1" t="s">
        <v>17011</v>
      </c>
      <c r="BM949" s="1" t="s">
        <v>17012</v>
      </c>
      <c r="BN949" s="1">
        <v>13</v>
      </c>
      <c r="BO949" s="1"/>
      <c r="BP949" s="1" t="str">
        <f>HYPERLINK("https://nconnect.nicmar.ac.in/storage/profile/ProfilePhoto_P25703009_857219.jpg","Download")</f>
        <v>0</v>
      </c>
      <c r="BQ949" s="3"/>
      <c r="BR949" s="3"/>
    </row>
    <row r="950" spans="1:70">
      <c r="A950" s="1" t="s">
        <v>552</v>
      </c>
      <c r="B950" s="1" t="s">
        <v>1269</v>
      </c>
      <c r="C950" s="1" t="s">
        <v>17013</v>
      </c>
      <c r="D950" s="1" t="s">
        <v>1759</v>
      </c>
      <c r="E950" s="1" t="s">
        <v>13620</v>
      </c>
      <c r="F950" s="1" t="s">
        <v>17014</v>
      </c>
      <c r="G950" s="1" t="s">
        <v>17015</v>
      </c>
      <c r="H950" s="1" t="s">
        <v>17016</v>
      </c>
      <c r="I950" s="1" t="s">
        <v>17017</v>
      </c>
      <c r="J950" s="1">
        <v>7498649773</v>
      </c>
      <c r="K950" s="1" t="s">
        <v>79</v>
      </c>
      <c r="L950" s="1" t="s">
        <v>17018</v>
      </c>
      <c r="M950" s="1" t="s">
        <v>81</v>
      </c>
      <c r="N950" s="1" t="s">
        <v>860</v>
      </c>
      <c r="O950" s="1"/>
      <c r="P950" s="1" t="s">
        <v>1298</v>
      </c>
      <c r="Q950" s="1" t="s">
        <v>17019</v>
      </c>
      <c r="R950" s="1" t="s">
        <v>17020</v>
      </c>
      <c r="S950" s="1">
        <v>9823403493</v>
      </c>
      <c r="T950" s="1" t="s">
        <v>154</v>
      </c>
      <c r="U950" s="1" t="s">
        <v>17021</v>
      </c>
      <c r="V950" s="1">
        <v>8390555647</v>
      </c>
      <c r="W950" s="1" t="s">
        <v>156</v>
      </c>
      <c r="X950" s="1" t="s">
        <v>17022</v>
      </c>
      <c r="Y950" s="1" t="s">
        <v>523</v>
      </c>
      <c r="Z950" s="1" t="s">
        <v>92</v>
      </c>
      <c r="AA950" s="1" t="s">
        <v>17022</v>
      </c>
      <c r="AB950" s="1" t="s">
        <v>523</v>
      </c>
      <c r="AC950" s="1" t="s">
        <v>92</v>
      </c>
      <c r="AD950" s="1" t="s">
        <v>93</v>
      </c>
      <c r="AE950" s="1" t="s">
        <v>93</v>
      </c>
      <c r="AF950" s="1" t="s">
        <v>17023</v>
      </c>
      <c r="AG950" s="1" t="s">
        <v>17024</v>
      </c>
      <c r="AH950" s="1" t="s">
        <v>17025</v>
      </c>
      <c r="AI950" s="1" t="s">
        <v>281</v>
      </c>
      <c r="AJ950" s="1">
        <v>76</v>
      </c>
      <c r="AK950" s="1"/>
      <c r="AL950" s="1" t="s">
        <v>17026</v>
      </c>
      <c r="AM950" s="1" t="s">
        <v>544</v>
      </c>
      <c r="AN950" s="1" t="s">
        <v>169</v>
      </c>
      <c r="AO950" s="1" t="s">
        <v>941</v>
      </c>
      <c r="AP950" s="1">
        <v>67.85</v>
      </c>
      <c r="AQ950" s="1"/>
      <c r="AR950" s="1"/>
      <c r="AS950" s="1"/>
      <c r="AT950" s="1"/>
      <c r="AU950" s="1"/>
      <c r="AV950" s="1"/>
      <c r="AW950" s="1"/>
      <c r="AX950" s="1" t="s">
        <v>17027</v>
      </c>
      <c r="AY950" s="1" t="s">
        <v>17028</v>
      </c>
      <c r="AZ950" s="1" t="s">
        <v>173</v>
      </c>
      <c r="BA950" s="1" t="s">
        <v>702</v>
      </c>
      <c r="BB950" s="1">
        <v>71.1</v>
      </c>
      <c r="BC950" s="1">
        <v>7.86</v>
      </c>
      <c r="BD950" s="1"/>
      <c r="BE950" s="1"/>
      <c r="BF950" s="1"/>
      <c r="BG950" s="1"/>
      <c r="BH950" s="1"/>
      <c r="BI950" s="1"/>
      <c r="BJ950" s="1" t="s">
        <v>17029</v>
      </c>
      <c r="BK950" s="1"/>
      <c r="BL950" s="1"/>
      <c r="BM950" s="1" t="s">
        <v>17030</v>
      </c>
      <c r="BN950" s="1">
        <v>16</v>
      </c>
      <c r="BO950" s="1"/>
      <c r="BP950" s="1" t="str">
        <f>HYPERLINK("https://nconnect.nicmar.ac.in/storage/profile/ProfilePhoto_P25703010_526749.jpg","Download")</f>
        <v>0</v>
      </c>
      <c r="BQ950" s="3"/>
      <c r="BR950" s="3"/>
    </row>
    <row r="951" spans="1:70">
      <c r="A951" s="1" t="s">
        <v>552</v>
      </c>
      <c r="B951" s="1" t="s">
        <v>1269</v>
      </c>
      <c r="C951" s="1" t="s">
        <v>17031</v>
      </c>
      <c r="D951" s="1" t="s">
        <v>17032</v>
      </c>
      <c r="E951" s="1"/>
      <c r="F951" s="1" t="s">
        <v>17033</v>
      </c>
      <c r="G951" s="1" t="s">
        <v>17034</v>
      </c>
      <c r="H951" s="1" t="s">
        <v>17035</v>
      </c>
      <c r="I951" s="1" t="s">
        <v>17036</v>
      </c>
      <c r="J951" s="1">
        <v>8102412210</v>
      </c>
      <c r="K951" s="1" t="s">
        <v>148</v>
      </c>
      <c r="L951" s="1" t="s">
        <v>17037</v>
      </c>
      <c r="M951" s="1" t="s">
        <v>81</v>
      </c>
      <c r="N951" s="1" t="s">
        <v>3779</v>
      </c>
      <c r="O951" s="1"/>
      <c r="P951" s="1" t="s">
        <v>2817</v>
      </c>
      <c r="Q951" s="1" t="s">
        <v>17038</v>
      </c>
      <c r="R951" s="1" t="s">
        <v>17039</v>
      </c>
      <c r="S951" s="1">
        <v>8986562633</v>
      </c>
      <c r="T951" s="1" t="s">
        <v>17040</v>
      </c>
      <c r="U951" s="1" t="s">
        <v>17041</v>
      </c>
      <c r="V951" s="1">
        <v>8318824248</v>
      </c>
      <c r="W951" s="1" t="s">
        <v>122</v>
      </c>
      <c r="X951" s="1" t="s">
        <v>17042</v>
      </c>
      <c r="Y951" s="1" t="s">
        <v>845</v>
      </c>
      <c r="Z951" s="1" t="s">
        <v>846</v>
      </c>
      <c r="AA951" s="1" t="s">
        <v>17042</v>
      </c>
      <c r="AB951" s="1" t="s">
        <v>845</v>
      </c>
      <c r="AC951" s="1" t="s">
        <v>846</v>
      </c>
      <c r="AD951" s="1">
        <v>7.65</v>
      </c>
      <c r="AE951" s="1" t="s">
        <v>93</v>
      </c>
      <c r="AF951" s="1" t="s">
        <v>17043</v>
      </c>
      <c r="AG951" s="1" t="s">
        <v>17044</v>
      </c>
      <c r="AH951" s="1" t="s">
        <v>281</v>
      </c>
      <c r="AI951" s="1" t="s">
        <v>308</v>
      </c>
      <c r="AJ951" s="1">
        <v>66.4</v>
      </c>
      <c r="AK951" s="1"/>
      <c r="AL951" s="1" t="s">
        <v>17043</v>
      </c>
      <c r="AM951" s="1" t="s">
        <v>17045</v>
      </c>
      <c r="AN951" s="1" t="s">
        <v>941</v>
      </c>
      <c r="AO951" s="1" t="s">
        <v>506</v>
      </c>
      <c r="AP951" s="1">
        <v>77.8</v>
      </c>
      <c r="AQ951" s="1"/>
      <c r="AR951" s="1"/>
      <c r="AS951" s="1"/>
      <c r="AT951" s="1"/>
      <c r="AU951" s="1"/>
      <c r="AV951" s="1"/>
      <c r="AW951" s="1"/>
      <c r="AX951" s="1" t="s">
        <v>17046</v>
      </c>
      <c r="AY951" s="1" t="s">
        <v>17047</v>
      </c>
      <c r="AZ951" s="1" t="s">
        <v>436</v>
      </c>
      <c r="BA951" s="1" t="s">
        <v>202</v>
      </c>
      <c r="BB951" s="1">
        <v>67.2</v>
      </c>
      <c r="BC951" s="1">
        <v>7.17</v>
      </c>
      <c r="BD951" s="1"/>
      <c r="BE951" s="1"/>
      <c r="BF951" s="1"/>
      <c r="BG951" s="1"/>
      <c r="BH951" s="1"/>
      <c r="BI951" s="1"/>
      <c r="BJ951" s="1" t="s">
        <v>17048</v>
      </c>
      <c r="BK951" s="1"/>
      <c r="BL951" s="1"/>
      <c r="BM951" s="1"/>
      <c r="BN951" s="1"/>
      <c r="BO951" s="1" t="s">
        <v>17049</v>
      </c>
      <c r="BP951" s="1" t="str">
        <f>HYPERLINK("https://nconnect.nicmar.ac.in/storage/profile/ProfilePhoto_P25703011_825793.jpg","Download")</f>
        <v>0</v>
      </c>
      <c r="BQ951" s="3"/>
      <c r="BR951" s="3"/>
    </row>
    <row r="952" spans="1:70">
      <c r="A952" s="1" t="s">
        <v>552</v>
      </c>
      <c r="B952" s="1" t="s">
        <v>1269</v>
      </c>
      <c r="C952" s="1" t="s">
        <v>17050</v>
      </c>
      <c r="D952" s="1" t="s">
        <v>443</v>
      </c>
      <c r="E952" s="1"/>
      <c r="F952" s="1" t="s">
        <v>835</v>
      </c>
      <c r="G952" s="1" t="s">
        <v>17051</v>
      </c>
      <c r="H952" s="1" t="s">
        <v>17052</v>
      </c>
      <c r="I952" s="1" t="s">
        <v>17053</v>
      </c>
      <c r="J952" s="1">
        <v>7303466650</v>
      </c>
      <c r="K952" s="1" t="s">
        <v>79</v>
      </c>
      <c r="L952" s="1" t="s">
        <v>14105</v>
      </c>
      <c r="M952" s="1" t="s">
        <v>81</v>
      </c>
      <c r="N952" s="1" t="s">
        <v>3779</v>
      </c>
      <c r="O952" s="1"/>
      <c r="P952" s="1" t="s">
        <v>1323</v>
      </c>
      <c r="Q952" s="1" t="s">
        <v>17054</v>
      </c>
      <c r="R952" s="1" t="s">
        <v>17055</v>
      </c>
      <c r="S952" s="1">
        <v>9818994708</v>
      </c>
      <c r="T952" s="1" t="s">
        <v>87</v>
      </c>
      <c r="U952" s="1" t="s">
        <v>17056</v>
      </c>
      <c r="V952" s="1">
        <v>9211474664</v>
      </c>
      <c r="W952" s="1" t="s">
        <v>89</v>
      </c>
      <c r="X952" s="1" t="s">
        <v>17057</v>
      </c>
      <c r="Y952" s="1" t="s">
        <v>718</v>
      </c>
      <c r="Z952" s="1" t="s">
        <v>719</v>
      </c>
      <c r="AA952" s="1" t="s">
        <v>17057</v>
      </c>
      <c r="AB952" s="1" t="s">
        <v>718</v>
      </c>
      <c r="AC952" s="1" t="s">
        <v>719</v>
      </c>
      <c r="AD952" s="1">
        <v>7.45</v>
      </c>
      <c r="AE952" s="1" t="s">
        <v>93</v>
      </c>
      <c r="AF952" s="1" t="s">
        <v>17058</v>
      </c>
      <c r="AG952" s="1" t="s">
        <v>17059</v>
      </c>
      <c r="AH952" s="1" t="s">
        <v>279</v>
      </c>
      <c r="AI952" s="1" t="s">
        <v>165</v>
      </c>
      <c r="AJ952" s="1">
        <v>55.1</v>
      </c>
      <c r="AK952" s="1"/>
      <c r="AL952" s="1" t="s">
        <v>17058</v>
      </c>
      <c r="AM952" s="1" t="s">
        <v>17059</v>
      </c>
      <c r="AN952" s="1" t="s">
        <v>409</v>
      </c>
      <c r="AO952" s="1" t="s">
        <v>173</v>
      </c>
      <c r="AP952" s="1">
        <v>63.83</v>
      </c>
      <c r="AQ952" s="1"/>
      <c r="AR952" s="1"/>
      <c r="AS952" s="1"/>
      <c r="AT952" s="1"/>
      <c r="AU952" s="1"/>
      <c r="AV952" s="1"/>
      <c r="AW952" s="1"/>
      <c r="AX952" s="1" t="s">
        <v>17060</v>
      </c>
      <c r="AY952" s="1" t="s">
        <v>17061</v>
      </c>
      <c r="AZ952" s="1" t="s">
        <v>173</v>
      </c>
      <c r="BA952" s="1" t="s">
        <v>2103</v>
      </c>
      <c r="BB952" s="1">
        <v>76.95</v>
      </c>
      <c r="BC952" s="1">
        <v>8.1</v>
      </c>
      <c r="BD952" s="1"/>
      <c r="BE952" s="1"/>
      <c r="BF952" s="1"/>
      <c r="BG952" s="1"/>
      <c r="BH952" s="1"/>
      <c r="BI952" s="1"/>
      <c r="BJ952" s="1" t="s">
        <v>15474</v>
      </c>
      <c r="BK952" s="1" t="s">
        <v>17062</v>
      </c>
      <c r="BL952" s="1" t="s">
        <v>1895</v>
      </c>
      <c r="BM952" s="1"/>
      <c r="BN952" s="1"/>
      <c r="BO952" s="1" t="s">
        <v>17063</v>
      </c>
      <c r="BP952" s="1" t="str">
        <f>HYPERLINK("https://nconnect.nicmar.ac.in/storage/profile/ProfilePhoto_P25703014_598123.jpg","Download")</f>
        <v>0</v>
      </c>
      <c r="BQ952" s="3"/>
      <c r="BR952" s="3"/>
    </row>
    <row r="953" spans="1:70">
      <c r="A953" s="1" t="s">
        <v>552</v>
      </c>
      <c r="B953" s="1" t="s">
        <v>1269</v>
      </c>
      <c r="C953" s="1" t="s">
        <v>17064</v>
      </c>
      <c r="D953" s="1" t="s">
        <v>3180</v>
      </c>
      <c r="E953" s="1" t="s">
        <v>7555</v>
      </c>
      <c r="F953" s="1" t="s">
        <v>17065</v>
      </c>
      <c r="G953" s="1" t="s">
        <v>17066</v>
      </c>
      <c r="H953" s="1" t="s">
        <v>17067</v>
      </c>
      <c r="I953" s="1" t="s">
        <v>17068</v>
      </c>
      <c r="J953" s="1">
        <v>7278881818</v>
      </c>
      <c r="K953" s="1" t="s">
        <v>79</v>
      </c>
      <c r="L953" s="1" t="s">
        <v>17069</v>
      </c>
      <c r="M953" s="1" t="s">
        <v>81</v>
      </c>
      <c r="N953" s="1" t="s">
        <v>1418</v>
      </c>
      <c r="O953" s="1"/>
      <c r="P953" s="1" t="s">
        <v>1323</v>
      </c>
      <c r="Q953" s="1" t="s">
        <v>17070</v>
      </c>
      <c r="R953" s="1" t="s">
        <v>17071</v>
      </c>
      <c r="S953" s="1">
        <v>9890930951</v>
      </c>
      <c r="T953" s="1" t="s">
        <v>1147</v>
      </c>
      <c r="U953" s="1" t="s">
        <v>17072</v>
      </c>
      <c r="V953" s="1">
        <v>9890930951</v>
      </c>
      <c r="W953" s="1" t="s">
        <v>156</v>
      </c>
      <c r="X953" s="1" t="s">
        <v>17073</v>
      </c>
      <c r="Y953" s="1" t="s">
        <v>191</v>
      </c>
      <c r="Z953" s="1" t="s">
        <v>92</v>
      </c>
      <c r="AA953" s="1" t="s">
        <v>17073</v>
      </c>
      <c r="AB953" s="1" t="s">
        <v>191</v>
      </c>
      <c r="AC953" s="1" t="s">
        <v>92</v>
      </c>
      <c r="AD953" s="1">
        <v>8.85</v>
      </c>
      <c r="AE953" s="1" t="s">
        <v>93</v>
      </c>
      <c r="AF953" s="1" t="s">
        <v>17074</v>
      </c>
      <c r="AG953" s="1" t="s">
        <v>476</v>
      </c>
      <c r="AH953" s="1" t="s">
        <v>96</v>
      </c>
      <c r="AI953" s="1" t="s">
        <v>97</v>
      </c>
      <c r="AJ953" s="1">
        <v>83.2</v>
      </c>
      <c r="AK953" s="1"/>
      <c r="AL953" s="1" t="s">
        <v>17075</v>
      </c>
      <c r="AM953" s="1" t="s">
        <v>476</v>
      </c>
      <c r="AN953" s="1" t="s">
        <v>162</v>
      </c>
      <c r="AO953" s="1" t="s">
        <v>1332</v>
      </c>
      <c r="AP953" s="1">
        <v>63.38</v>
      </c>
      <c r="AQ953" s="1"/>
      <c r="AR953" s="1"/>
      <c r="AS953" s="1"/>
      <c r="AT953" s="1"/>
      <c r="AU953" s="1"/>
      <c r="AV953" s="1"/>
      <c r="AW953" s="1"/>
      <c r="AX953" s="1" t="s">
        <v>361</v>
      </c>
      <c r="AY953" s="1" t="s">
        <v>17076</v>
      </c>
      <c r="AZ953" s="1" t="s">
        <v>165</v>
      </c>
      <c r="BA953" s="1" t="s">
        <v>1833</v>
      </c>
      <c r="BB953" s="1">
        <v>69.04</v>
      </c>
      <c r="BC953" s="1"/>
      <c r="BD953" s="1"/>
      <c r="BE953" s="1"/>
      <c r="BF953" s="1"/>
      <c r="BG953" s="1"/>
      <c r="BH953" s="1"/>
      <c r="BI953" s="1"/>
      <c r="BJ953" s="1" t="s">
        <v>4102</v>
      </c>
      <c r="BK953" s="1" t="s">
        <v>17077</v>
      </c>
      <c r="BL953" s="1" t="s">
        <v>4196</v>
      </c>
      <c r="BM953" s="1" t="s">
        <v>17078</v>
      </c>
      <c r="BN953" s="1">
        <v>60</v>
      </c>
      <c r="BO953" s="1"/>
      <c r="BP953" s="1" t="str">
        <f>HYPERLINK("https://nconnect.nicmar.ac.in/storage/profile/ProfilePhoto_P25703015_461932.jpg","Download")</f>
        <v>0</v>
      </c>
      <c r="BQ953" s="3"/>
      <c r="BR953" s="3"/>
    </row>
    <row r="954" spans="1:70">
      <c r="A954" s="1" t="s">
        <v>552</v>
      </c>
      <c r="B954" s="1" t="s">
        <v>1269</v>
      </c>
      <c r="C954" s="1" t="s">
        <v>17079</v>
      </c>
      <c r="D954" s="1" t="s">
        <v>17080</v>
      </c>
      <c r="E954" s="1"/>
      <c r="F954" s="1" t="s">
        <v>17081</v>
      </c>
      <c r="G954" s="1" t="s">
        <v>17082</v>
      </c>
      <c r="H954" s="1" t="s">
        <v>17083</v>
      </c>
      <c r="I954" s="1" t="s">
        <v>17084</v>
      </c>
      <c r="J954" s="1">
        <v>8989439955</v>
      </c>
      <c r="K954" s="1" t="s">
        <v>148</v>
      </c>
      <c r="L954" s="1" t="s">
        <v>1297</v>
      </c>
      <c r="M954" s="1" t="s">
        <v>81</v>
      </c>
      <c r="N954" s="1" t="s">
        <v>5040</v>
      </c>
      <c r="O954" s="1" t="s">
        <v>17085</v>
      </c>
      <c r="P954" s="1" t="s">
        <v>1323</v>
      </c>
      <c r="Q954" s="1" t="s">
        <v>17086</v>
      </c>
      <c r="R954" s="1" t="s">
        <v>17087</v>
      </c>
      <c r="S954" s="1">
        <v>9425676019</v>
      </c>
      <c r="T954" s="1" t="s">
        <v>17088</v>
      </c>
      <c r="U954" s="1" t="s">
        <v>17089</v>
      </c>
      <c r="V954" s="1">
        <v>9425676019</v>
      </c>
      <c r="W954" s="1" t="s">
        <v>156</v>
      </c>
      <c r="X954" s="1" t="s">
        <v>17090</v>
      </c>
      <c r="Y954" s="1" t="s">
        <v>191</v>
      </c>
      <c r="Z954" s="1" t="s">
        <v>92</v>
      </c>
      <c r="AA954" s="1" t="s">
        <v>17091</v>
      </c>
      <c r="AB954" s="1" t="s">
        <v>935</v>
      </c>
      <c r="AC954" s="1" t="s">
        <v>936</v>
      </c>
      <c r="AD954" s="1">
        <v>7.93</v>
      </c>
      <c r="AE954" s="1" t="s">
        <v>93</v>
      </c>
      <c r="AF954" s="1" t="s">
        <v>17092</v>
      </c>
      <c r="AG954" s="1" t="s">
        <v>9678</v>
      </c>
      <c r="AH954" s="1" t="s">
        <v>281</v>
      </c>
      <c r="AI954" s="1" t="s">
        <v>308</v>
      </c>
      <c r="AJ954" s="1">
        <v>74</v>
      </c>
      <c r="AK954" s="1"/>
      <c r="AL954" s="1" t="s">
        <v>17092</v>
      </c>
      <c r="AM954" s="1" t="s">
        <v>9678</v>
      </c>
      <c r="AN954" s="1" t="s">
        <v>941</v>
      </c>
      <c r="AO954" s="1" t="s">
        <v>506</v>
      </c>
      <c r="AP954" s="1">
        <v>81</v>
      </c>
      <c r="AQ954" s="1"/>
      <c r="AR954" s="1"/>
      <c r="AS954" s="1"/>
      <c r="AT954" s="1"/>
      <c r="AU954" s="1"/>
      <c r="AV954" s="1"/>
      <c r="AW954" s="1"/>
      <c r="AX954" s="1" t="s">
        <v>17093</v>
      </c>
      <c r="AY954" s="1" t="s">
        <v>17094</v>
      </c>
      <c r="AZ954" s="1" t="s">
        <v>436</v>
      </c>
      <c r="BA954" s="1" t="s">
        <v>413</v>
      </c>
      <c r="BB954" s="1">
        <v>66.1</v>
      </c>
      <c r="BC954" s="1">
        <v>6.61</v>
      </c>
      <c r="BD954" s="1"/>
      <c r="BE954" s="1"/>
      <c r="BF954" s="1"/>
      <c r="BG954" s="1"/>
      <c r="BH954" s="1"/>
      <c r="BI954" s="1"/>
      <c r="BJ954" s="1" t="s">
        <v>734</v>
      </c>
      <c r="BK954" s="1"/>
      <c r="BL954" s="1"/>
      <c r="BM954" s="1"/>
      <c r="BN954" s="1"/>
      <c r="BO954" s="1"/>
      <c r="BP954" s="1" t="str">
        <f>HYPERLINK("https://nconnect.nicmar.ac.in/storage/profile/ProfilePhoto_P25703016_352178.jpg","Download")</f>
        <v>0</v>
      </c>
      <c r="BQ954" s="3"/>
      <c r="BR954" s="3"/>
    </row>
    <row r="955" spans="1:70">
      <c r="A955" s="1" t="s">
        <v>552</v>
      </c>
      <c r="B955" s="1" t="s">
        <v>1269</v>
      </c>
      <c r="C955" s="1" t="s">
        <v>17095</v>
      </c>
      <c r="D955" s="1" t="s">
        <v>6348</v>
      </c>
      <c r="E955" s="1" t="s">
        <v>17096</v>
      </c>
      <c r="F955" s="1" t="s">
        <v>7847</v>
      </c>
      <c r="G955" s="1" t="s">
        <v>17097</v>
      </c>
      <c r="H955" s="1" t="s">
        <v>17098</v>
      </c>
      <c r="I955" s="1" t="s">
        <v>17099</v>
      </c>
      <c r="J955" s="1">
        <v>9370348171</v>
      </c>
      <c r="K955" s="1" t="s">
        <v>79</v>
      </c>
      <c r="L955" s="1" t="s">
        <v>17100</v>
      </c>
      <c r="M955" s="1" t="s">
        <v>81</v>
      </c>
      <c r="N955" s="1" t="s">
        <v>9154</v>
      </c>
      <c r="O955" s="1"/>
      <c r="P955" s="1" t="s">
        <v>1766</v>
      </c>
      <c r="Q955" s="1" t="s">
        <v>17101</v>
      </c>
      <c r="R955" s="1" t="s">
        <v>17102</v>
      </c>
      <c r="S955" s="1">
        <v>7083028414</v>
      </c>
      <c r="T955" s="1" t="s">
        <v>842</v>
      </c>
      <c r="U955" s="1" t="s">
        <v>17103</v>
      </c>
      <c r="V955" s="1">
        <v>8805616167</v>
      </c>
      <c r="W955" s="1" t="s">
        <v>156</v>
      </c>
      <c r="X955" s="1" t="s">
        <v>17104</v>
      </c>
      <c r="Y955" s="1" t="s">
        <v>2786</v>
      </c>
      <c r="Z955" s="1" t="s">
        <v>92</v>
      </c>
      <c r="AA955" s="1" t="s">
        <v>17104</v>
      </c>
      <c r="AB955" s="1" t="s">
        <v>2786</v>
      </c>
      <c r="AC955" s="1" t="s">
        <v>92</v>
      </c>
      <c r="AD955" s="1">
        <v>6.59</v>
      </c>
      <c r="AE955" s="1" t="s">
        <v>93</v>
      </c>
      <c r="AF955" s="1" t="s">
        <v>17105</v>
      </c>
      <c r="AG955" s="1" t="s">
        <v>17106</v>
      </c>
      <c r="AH955" s="1" t="s">
        <v>479</v>
      </c>
      <c r="AI955" s="1" t="s">
        <v>166</v>
      </c>
      <c r="AJ955" s="1">
        <v>88.8</v>
      </c>
      <c r="AK955" s="1"/>
      <c r="AL955" s="1" t="s">
        <v>17107</v>
      </c>
      <c r="AM955" s="1" t="s">
        <v>17106</v>
      </c>
      <c r="AN955" s="1" t="s">
        <v>308</v>
      </c>
      <c r="AO955" s="1" t="s">
        <v>412</v>
      </c>
      <c r="AP955" s="1">
        <v>68.31</v>
      </c>
      <c r="AQ955" s="1"/>
      <c r="AR955" s="1"/>
      <c r="AS955" s="1"/>
      <c r="AT955" s="1"/>
      <c r="AU955" s="1"/>
      <c r="AV955" s="1"/>
      <c r="AW955" s="1"/>
      <c r="AX955" s="1" t="s">
        <v>361</v>
      </c>
      <c r="AY955" s="1" t="s">
        <v>17108</v>
      </c>
      <c r="AZ955" s="1" t="s">
        <v>682</v>
      </c>
      <c r="BA955" s="1" t="s">
        <v>413</v>
      </c>
      <c r="BB955" s="1">
        <v>72.2</v>
      </c>
      <c r="BC955" s="1">
        <v>7.69</v>
      </c>
      <c r="BD955" s="1"/>
      <c r="BE955" s="1"/>
      <c r="BF955" s="1"/>
      <c r="BG955" s="1"/>
      <c r="BH955" s="1"/>
      <c r="BI955" s="1"/>
      <c r="BJ955" s="1" t="s">
        <v>734</v>
      </c>
      <c r="BK955" s="1"/>
      <c r="BL955" s="1"/>
      <c r="BM955" s="1"/>
      <c r="BN955" s="1"/>
      <c r="BO955" s="1"/>
      <c r="BP955" s="1" t="str">
        <f>HYPERLINK("https://nconnect.nicmar.ac.in/storage/profile/ProfilePhoto_P25703017_348917.jpg","Download")</f>
        <v>0</v>
      </c>
      <c r="BQ955" s="3"/>
      <c r="BR955" s="3"/>
    </row>
    <row r="956" spans="1:70">
      <c r="A956" s="1" t="s">
        <v>552</v>
      </c>
      <c r="B956" s="1" t="s">
        <v>1269</v>
      </c>
      <c r="C956" s="1" t="s">
        <v>17109</v>
      </c>
      <c r="D956" s="1" t="s">
        <v>2892</v>
      </c>
      <c r="E956" s="1" t="s">
        <v>1455</v>
      </c>
      <c r="F956" s="1" t="s">
        <v>17110</v>
      </c>
      <c r="G956" s="1" t="s">
        <v>17111</v>
      </c>
      <c r="H956" s="1" t="s">
        <v>17112</v>
      </c>
      <c r="I956" s="1" t="s">
        <v>17113</v>
      </c>
      <c r="J956" s="1">
        <v>8856913448</v>
      </c>
      <c r="K956" s="1" t="s">
        <v>79</v>
      </c>
      <c r="L956" s="1" t="s">
        <v>9138</v>
      </c>
      <c r="M956" s="1" t="s">
        <v>81</v>
      </c>
      <c r="N956" s="1" t="s">
        <v>860</v>
      </c>
      <c r="O956" s="1"/>
      <c r="P956" s="1"/>
      <c r="Q956" s="1" t="s">
        <v>17114</v>
      </c>
      <c r="R956" s="1" t="s">
        <v>1455</v>
      </c>
      <c r="S956" s="1">
        <v>9422431767</v>
      </c>
      <c r="T956" s="1" t="s">
        <v>7415</v>
      </c>
      <c r="U956" s="1" t="s">
        <v>301</v>
      </c>
      <c r="V956" s="1">
        <v>8483892546</v>
      </c>
      <c r="W956" s="1" t="s">
        <v>156</v>
      </c>
      <c r="X956" s="1" t="s">
        <v>17115</v>
      </c>
      <c r="Y956" s="1" t="s">
        <v>1886</v>
      </c>
      <c r="Z956" s="1" t="s">
        <v>92</v>
      </c>
      <c r="AA956" s="1" t="s">
        <v>17115</v>
      </c>
      <c r="AB956" s="1" t="s">
        <v>1886</v>
      </c>
      <c r="AC956" s="1" t="s">
        <v>92</v>
      </c>
      <c r="AD956" s="1">
        <v>8.13</v>
      </c>
      <c r="AE956" s="1" t="s">
        <v>93</v>
      </c>
      <c r="AF956" s="1" t="s">
        <v>17116</v>
      </c>
      <c r="AG956" s="1" t="s">
        <v>160</v>
      </c>
      <c r="AH956" s="1" t="s">
        <v>162</v>
      </c>
      <c r="AI956" s="1" t="s">
        <v>479</v>
      </c>
      <c r="AJ956" s="1">
        <v>83.2</v>
      </c>
      <c r="AK956" s="1"/>
      <c r="AL956" s="1" t="s">
        <v>17117</v>
      </c>
      <c r="AM956" s="1" t="s">
        <v>160</v>
      </c>
      <c r="AN956" s="1" t="s">
        <v>101</v>
      </c>
      <c r="AO956" s="1" t="s">
        <v>1065</v>
      </c>
      <c r="AP956" s="1">
        <v>66.46</v>
      </c>
      <c r="AQ956" s="1"/>
      <c r="AR956" s="1"/>
      <c r="AS956" s="1"/>
      <c r="AT956" s="1"/>
      <c r="AU956" s="1"/>
      <c r="AV956" s="1"/>
      <c r="AW956" s="1"/>
      <c r="AX956" s="1" t="s">
        <v>1891</v>
      </c>
      <c r="AY956" s="1" t="s">
        <v>13672</v>
      </c>
      <c r="AZ956" s="1" t="s">
        <v>201</v>
      </c>
      <c r="BA956" s="1" t="s">
        <v>682</v>
      </c>
      <c r="BB956" s="1">
        <v>63.2</v>
      </c>
      <c r="BC956" s="1">
        <v>7.07</v>
      </c>
      <c r="BD956" s="1"/>
      <c r="BE956" s="1"/>
      <c r="BF956" s="1"/>
      <c r="BG956" s="1"/>
      <c r="BH956" s="1"/>
      <c r="BI956" s="1"/>
      <c r="BJ956" s="1" t="s">
        <v>364</v>
      </c>
      <c r="BK956" s="1"/>
      <c r="BL956" s="1"/>
      <c r="BM956" s="1" t="s">
        <v>17118</v>
      </c>
      <c r="BN956" s="1">
        <v>21</v>
      </c>
      <c r="BO956" s="1" t="s">
        <v>17119</v>
      </c>
      <c r="BP956" s="1" t="str">
        <f>HYPERLINK("https://nconnect.nicmar.ac.in/storage/profile/ProfilePhoto_P25703020_189736.jpg","Download")</f>
        <v>0</v>
      </c>
      <c r="BQ956" s="3"/>
      <c r="BR956" s="3"/>
    </row>
    <row r="957" spans="1:70">
      <c r="A957" s="1" t="s">
        <v>552</v>
      </c>
      <c r="B957" s="1" t="s">
        <v>1269</v>
      </c>
      <c r="C957" s="1" t="s">
        <v>17120</v>
      </c>
      <c r="D957" s="1" t="s">
        <v>17121</v>
      </c>
      <c r="E957" s="1"/>
      <c r="F957" s="1" t="s">
        <v>3539</v>
      </c>
      <c r="G957" s="1" t="s">
        <v>17122</v>
      </c>
      <c r="H957" s="1" t="s">
        <v>17123</v>
      </c>
      <c r="I957" s="1" t="s">
        <v>17124</v>
      </c>
      <c r="J957" s="1">
        <v>9627176190</v>
      </c>
      <c r="K957" s="1" t="s">
        <v>79</v>
      </c>
      <c r="L957" s="1" t="s">
        <v>17125</v>
      </c>
      <c r="M957" s="1" t="s">
        <v>81</v>
      </c>
      <c r="N957" s="1" t="s">
        <v>82</v>
      </c>
      <c r="O957" s="1"/>
      <c r="P957" s="1" t="s">
        <v>1298</v>
      </c>
      <c r="Q957" s="1" t="s">
        <v>17126</v>
      </c>
      <c r="R957" s="1" t="s">
        <v>17127</v>
      </c>
      <c r="S957" s="1">
        <v>9759199626</v>
      </c>
      <c r="T957" s="1" t="s">
        <v>154</v>
      </c>
      <c r="U957" s="1" t="s">
        <v>17128</v>
      </c>
      <c r="V957" s="1">
        <v>9368986593</v>
      </c>
      <c r="W957" s="1" t="s">
        <v>89</v>
      </c>
      <c r="X957" s="1" t="s">
        <v>17129</v>
      </c>
      <c r="Y957" s="1" t="s">
        <v>5699</v>
      </c>
      <c r="Z957" s="1" t="s">
        <v>1355</v>
      </c>
      <c r="AA957" s="1" t="s">
        <v>17129</v>
      </c>
      <c r="AB957" s="1" t="s">
        <v>5699</v>
      </c>
      <c r="AC957" s="1" t="s">
        <v>1355</v>
      </c>
      <c r="AD957" s="1">
        <v>7.59</v>
      </c>
      <c r="AE957" s="1" t="s">
        <v>93</v>
      </c>
      <c r="AF957" s="1" t="s">
        <v>17130</v>
      </c>
      <c r="AG957" s="1" t="s">
        <v>17131</v>
      </c>
      <c r="AH957" s="1" t="s">
        <v>1065</v>
      </c>
      <c r="AI957" s="1" t="s">
        <v>699</v>
      </c>
      <c r="AJ957" s="1">
        <v>71.83</v>
      </c>
      <c r="AK957" s="1">
        <v>7.56</v>
      </c>
      <c r="AL957" s="1" t="s">
        <v>17130</v>
      </c>
      <c r="AM957" s="1" t="s">
        <v>17131</v>
      </c>
      <c r="AN957" s="1" t="s">
        <v>3081</v>
      </c>
      <c r="AO957" s="1" t="s">
        <v>284</v>
      </c>
      <c r="AP957" s="1">
        <v>58.4</v>
      </c>
      <c r="AQ957" s="1">
        <v>6.14</v>
      </c>
      <c r="AR957" s="1"/>
      <c r="AS957" s="1"/>
      <c r="AT957" s="1"/>
      <c r="AU957" s="1"/>
      <c r="AV957" s="1"/>
      <c r="AW957" s="1"/>
      <c r="AX957" s="1" t="s">
        <v>17132</v>
      </c>
      <c r="AY957" s="1" t="s">
        <v>17133</v>
      </c>
      <c r="AZ957" s="1" t="s">
        <v>481</v>
      </c>
      <c r="BA957" s="1" t="s">
        <v>1584</v>
      </c>
      <c r="BB957" s="1">
        <v>71.02</v>
      </c>
      <c r="BC957" s="1"/>
      <c r="BD957" s="1"/>
      <c r="BE957" s="1"/>
      <c r="BF957" s="1"/>
      <c r="BG957" s="1"/>
      <c r="BH957" s="1"/>
      <c r="BI957" s="1"/>
      <c r="BJ957" s="1" t="s">
        <v>4102</v>
      </c>
      <c r="BK957" s="1"/>
      <c r="BL957" s="1"/>
      <c r="BM957" s="1"/>
      <c r="BN957" s="1"/>
      <c r="BO957" s="1" t="s">
        <v>17134</v>
      </c>
      <c r="BP957" s="1" t="str">
        <f>HYPERLINK("https://nconnect.nicmar.ac.in/storage/profile/ProfilePhoto_P25703021_349281.jpg","Download")</f>
        <v>0</v>
      </c>
      <c r="BQ957" s="3"/>
      <c r="BR957" s="3"/>
    </row>
    <row r="958" spans="1:70">
      <c r="A958" s="1" t="s">
        <v>552</v>
      </c>
      <c r="B958" s="1" t="s">
        <v>1269</v>
      </c>
      <c r="C958" s="1" t="s">
        <v>17135</v>
      </c>
      <c r="D958" s="1" t="s">
        <v>11611</v>
      </c>
      <c r="E958" s="1" t="s">
        <v>513</v>
      </c>
      <c r="F958" s="1" t="s">
        <v>7759</v>
      </c>
      <c r="G958" s="1" t="s">
        <v>17136</v>
      </c>
      <c r="H958" s="1" t="s">
        <v>17137</v>
      </c>
      <c r="I958" s="1" t="s">
        <v>17138</v>
      </c>
      <c r="J958" s="1">
        <v>8767817626</v>
      </c>
      <c r="K958" s="1" t="s">
        <v>148</v>
      </c>
      <c r="L958" s="1" t="s">
        <v>17139</v>
      </c>
      <c r="M958" s="1" t="s">
        <v>81</v>
      </c>
      <c r="N958" s="1" t="s">
        <v>1418</v>
      </c>
      <c r="O958" s="1"/>
      <c r="P958" s="1" t="s">
        <v>1323</v>
      </c>
      <c r="Q958" s="1" t="s">
        <v>17140</v>
      </c>
      <c r="R958" s="1" t="s">
        <v>17141</v>
      </c>
      <c r="S958" s="1">
        <v>9112618330</v>
      </c>
      <c r="T958" s="1" t="s">
        <v>13697</v>
      </c>
      <c r="U958" s="1" t="s">
        <v>17142</v>
      </c>
      <c r="V958" s="1">
        <v>9325719433</v>
      </c>
      <c r="W958" s="1" t="s">
        <v>156</v>
      </c>
      <c r="X958" s="1" t="s">
        <v>17143</v>
      </c>
      <c r="Y958" s="1" t="s">
        <v>91</v>
      </c>
      <c r="Z958" s="1" t="s">
        <v>92</v>
      </c>
      <c r="AA958" s="1" t="s">
        <v>17143</v>
      </c>
      <c r="AB958" s="1" t="s">
        <v>91</v>
      </c>
      <c r="AC958" s="1" t="s">
        <v>92</v>
      </c>
      <c r="AD958" s="1">
        <v>7.46</v>
      </c>
      <c r="AE958" s="1" t="s">
        <v>93</v>
      </c>
      <c r="AF958" s="1" t="s">
        <v>17144</v>
      </c>
      <c r="AG958" s="1" t="s">
        <v>476</v>
      </c>
      <c r="AH958" s="1" t="s">
        <v>101</v>
      </c>
      <c r="AI958" s="1" t="s">
        <v>409</v>
      </c>
      <c r="AJ958" s="1">
        <v>79.2</v>
      </c>
      <c r="AK958" s="1"/>
      <c r="AL958" s="1" t="s">
        <v>17145</v>
      </c>
      <c r="AM958" s="1" t="s">
        <v>476</v>
      </c>
      <c r="AN958" s="1" t="s">
        <v>412</v>
      </c>
      <c r="AO958" s="1" t="s">
        <v>504</v>
      </c>
      <c r="AP958" s="1">
        <v>90.17</v>
      </c>
      <c r="AQ958" s="1"/>
      <c r="AR958" s="1"/>
      <c r="AS958" s="1"/>
      <c r="AT958" s="1"/>
      <c r="AU958" s="1"/>
      <c r="AV958" s="1"/>
      <c r="AW958" s="1"/>
      <c r="AX958" s="1" t="s">
        <v>10157</v>
      </c>
      <c r="AY958" s="1" t="s">
        <v>15473</v>
      </c>
      <c r="AZ958" s="1" t="s">
        <v>1131</v>
      </c>
      <c r="BA958" s="1" t="s">
        <v>702</v>
      </c>
      <c r="BB958" s="1">
        <v>59.5</v>
      </c>
      <c r="BC958" s="1">
        <v>5.95</v>
      </c>
      <c r="BD958" s="1"/>
      <c r="BE958" s="1"/>
      <c r="BF958" s="1"/>
      <c r="BG958" s="1"/>
      <c r="BH958" s="1"/>
      <c r="BI958" s="1"/>
      <c r="BJ958" s="1" t="s">
        <v>4102</v>
      </c>
      <c r="BK958" s="1"/>
      <c r="BL958" s="1"/>
      <c r="BM958" s="1"/>
      <c r="BN958" s="1"/>
      <c r="BO958" s="1"/>
      <c r="BP958" s="1" t="str">
        <f>HYPERLINK("https://nconnect.nicmar.ac.in/storage/profile/ProfilePhoto_P25703022_834792.jpg","Download")</f>
        <v>0</v>
      </c>
      <c r="BQ958" s="3"/>
      <c r="BR958" s="3"/>
    </row>
    <row r="959" spans="1:70">
      <c r="A959" s="1" t="s">
        <v>552</v>
      </c>
      <c r="B959" s="1" t="s">
        <v>1269</v>
      </c>
      <c r="C959" s="1" t="s">
        <v>17146</v>
      </c>
      <c r="D959" s="1" t="s">
        <v>8471</v>
      </c>
      <c r="E959" s="1"/>
      <c r="F959" s="1" t="s">
        <v>8979</v>
      </c>
      <c r="G959" s="1" t="s">
        <v>17147</v>
      </c>
      <c r="H959" s="1" t="s">
        <v>17148</v>
      </c>
      <c r="I959" s="1" t="s">
        <v>17149</v>
      </c>
      <c r="J959" s="1">
        <v>9122423202</v>
      </c>
      <c r="K959" s="1" t="s">
        <v>79</v>
      </c>
      <c r="L959" s="1" t="s">
        <v>17150</v>
      </c>
      <c r="M959" s="1" t="s">
        <v>81</v>
      </c>
      <c r="N959" s="1" t="s">
        <v>241</v>
      </c>
      <c r="O959" s="1"/>
      <c r="P959" s="1" t="s">
        <v>1323</v>
      </c>
      <c r="Q959" s="1" t="s">
        <v>17151</v>
      </c>
      <c r="R959" s="1" t="s">
        <v>17152</v>
      </c>
      <c r="S959" s="1">
        <v>7979933985</v>
      </c>
      <c r="T959" s="1" t="s">
        <v>17153</v>
      </c>
      <c r="U959" s="1" t="s">
        <v>17154</v>
      </c>
      <c r="V959" s="1">
        <v>7369000179</v>
      </c>
      <c r="W959" s="1" t="s">
        <v>89</v>
      </c>
      <c r="X959" s="1" t="s">
        <v>17155</v>
      </c>
      <c r="Y959" s="1" t="s">
        <v>17156</v>
      </c>
      <c r="Z959" s="1" t="s">
        <v>846</v>
      </c>
      <c r="AA959" s="1" t="s">
        <v>17155</v>
      </c>
      <c r="AB959" s="1" t="s">
        <v>17156</v>
      </c>
      <c r="AC959" s="1" t="s">
        <v>846</v>
      </c>
      <c r="AD959" s="1">
        <v>7.73</v>
      </c>
      <c r="AE959" s="1" t="s">
        <v>93</v>
      </c>
      <c r="AF959" s="1" t="s">
        <v>17157</v>
      </c>
      <c r="AG959" s="1" t="s">
        <v>7110</v>
      </c>
      <c r="AH959" s="1" t="s">
        <v>279</v>
      </c>
      <c r="AI959" s="1" t="s">
        <v>165</v>
      </c>
      <c r="AJ959" s="1">
        <v>85.5</v>
      </c>
      <c r="AK959" s="1">
        <v>9</v>
      </c>
      <c r="AL959" s="1" t="s">
        <v>17158</v>
      </c>
      <c r="AM959" s="1" t="s">
        <v>7110</v>
      </c>
      <c r="AN959" s="1" t="s">
        <v>166</v>
      </c>
      <c r="AO959" s="1" t="s">
        <v>308</v>
      </c>
      <c r="AP959" s="1">
        <v>66</v>
      </c>
      <c r="AQ959" s="1"/>
      <c r="AR959" s="1"/>
      <c r="AS959" s="1"/>
      <c r="AT959" s="1"/>
      <c r="AU959" s="1"/>
      <c r="AV959" s="1"/>
      <c r="AW959" s="1"/>
      <c r="AX959" s="1" t="s">
        <v>17159</v>
      </c>
      <c r="AY959" s="1" t="s">
        <v>17160</v>
      </c>
      <c r="AZ959" s="1" t="s">
        <v>436</v>
      </c>
      <c r="BA959" s="1" t="s">
        <v>944</v>
      </c>
      <c r="BB959" s="1">
        <v>75.13</v>
      </c>
      <c r="BC959" s="1"/>
      <c r="BD959" s="1"/>
      <c r="BE959" s="1"/>
      <c r="BF959" s="1"/>
      <c r="BG959" s="1"/>
      <c r="BH959" s="1"/>
      <c r="BI959" s="1"/>
      <c r="BJ959" s="1" t="s">
        <v>4102</v>
      </c>
      <c r="BK959" s="1"/>
      <c r="BL959" s="1"/>
      <c r="BM959" s="1"/>
      <c r="BN959" s="1"/>
      <c r="BO959" s="1" t="s">
        <v>17161</v>
      </c>
      <c r="BP959" s="1" t="str">
        <f>HYPERLINK("https://nconnect.nicmar.ac.in/storage/profile/ProfilePhoto_P25703023_618729.jpg","Download")</f>
        <v>0</v>
      </c>
      <c r="BQ959" s="3"/>
      <c r="BR959" s="3"/>
    </row>
    <row r="960" spans="1:70">
      <c r="A960" s="1" t="s">
        <v>552</v>
      </c>
      <c r="B960" s="1" t="s">
        <v>1269</v>
      </c>
      <c r="C960" s="1" t="s">
        <v>17162</v>
      </c>
      <c r="D960" s="1" t="s">
        <v>17163</v>
      </c>
      <c r="E960" s="1"/>
      <c r="F960" s="1" t="s">
        <v>17164</v>
      </c>
      <c r="G960" s="1" t="s">
        <v>17165</v>
      </c>
      <c r="H960" s="1" t="s">
        <v>17166</v>
      </c>
      <c r="I960" s="1" t="s">
        <v>17167</v>
      </c>
      <c r="J960" s="1">
        <v>9861116372</v>
      </c>
      <c r="K960" s="1" t="s">
        <v>148</v>
      </c>
      <c r="L960" s="1" t="s">
        <v>17168</v>
      </c>
      <c r="M960" s="1" t="s">
        <v>81</v>
      </c>
      <c r="N960" s="1" t="s">
        <v>17169</v>
      </c>
      <c r="O960" s="1"/>
      <c r="P960" s="1" t="s">
        <v>1323</v>
      </c>
      <c r="Q960" s="1" t="s">
        <v>17170</v>
      </c>
      <c r="R960" s="1" t="s">
        <v>17171</v>
      </c>
      <c r="S960" s="1">
        <v>9337836550</v>
      </c>
      <c r="T960" s="1" t="s">
        <v>842</v>
      </c>
      <c r="U960" s="1" t="s">
        <v>17172</v>
      </c>
      <c r="V960" s="1">
        <v>8249213208</v>
      </c>
      <c r="W960" s="1" t="s">
        <v>651</v>
      </c>
      <c r="X960" s="1" t="s">
        <v>17173</v>
      </c>
      <c r="Y960" s="1" t="s">
        <v>2096</v>
      </c>
      <c r="Z960" s="1" t="s">
        <v>1731</v>
      </c>
      <c r="AA960" s="1" t="s">
        <v>17173</v>
      </c>
      <c r="AB960" s="1" t="s">
        <v>2096</v>
      </c>
      <c r="AC960" s="1" t="s">
        <v>1731</v>
      </c>
      <c r="AD960" s="1">
        <v>9.19</v>
      </c>
      <c r="AE960" s="1" t="s">
        <v>93</v>
      </c>
      <c r="AF960" s="1" t="s">
        <v>17174</v>
      </c>
      <c r="AG960" s="1" t="s">
        <v>17175</v>
      </c>
      <c r="AH960" s="1" t="s">
        <v>503</v>
      </c>
      <c r="AI960" s="1" t="s">
        <v>527</v>
      </c>
      <c r="AJ960" s="1">
        <v>81.7</v>
      </c>
      <c r="AK960" s="1">
        <v>8.6</v>
      </c>
      <c r="AL960" s="1" t="s">
        <v>17176</v>
      </c>
      <c r="AM960" s="1" t="s">
        <v>17175</v>
      </c>
      <c r="AN960" s="1" t="s">
        <v>527</v>
      </c>
      <c r="AO960" s="1" t="s">
        <v>166</v>
      </c>
      <c r="AP960" s="1">
        <v>60.16</v>
      </c>
      <c r="AQ960" s="1"/>
      <c r="AR960" s="1"/>
      <c r="AS960" s="1"/>
      <c r="AT960" s="1"/>
      <c r="AU960" s="1"/>
      <c r="AV960" s="1"/>
      <c r="AW960" s="1"/>
      <c r="AX960" s="1" t="s">
        <v>2829</v>
      </c>
      <c r="AY960" s="1" t="s">
        <v>17177</v>
      </c>
      <c r="AZ960" s="1" t="s">
        <v>636</v>
      </c>
      <c r="BA960" s="1" t="s">
        <v>174</v>
      </c>
      <c r="BB960" s="1">
        <v>81.2</v>
      </c>
      <c r="BC960" s="1">
        <v>8.12</v>
      </c>
      <c r="BD960" s="1"/>
      <c r="BE960" s="1"/>
      <c r="BF960" s="1"/>
      <c r="BG960" s="1"/>
      <c r="BH960" s="1"/>
      <c r="BI960" s="1"/>
      <c r="BJ960" s="1" t="s">
        <v>17178</v>
      </c>
      <c r="BK960" s="1"/>
      <c r="BL960" s="1"/>
      <c r="BM960" s="1" t="s">
        <v>17179</v>
      </c>
      <c r="BN960" s="1">
        <v>19</v>
      </c>
      <c r="BO960" s="1"/>
      <c r="BP960" s="1" t="str">
        <f>HYPERLINK("https://nconnect.nicmar.ac.in/storage/profile/ProfilePhoto_P25703024_753916.jpg","Download")</f>
        <v>0</v>
      </c>
      <c r="BQ960" s="3"/>
      <c r="BR960" s="3"/>
    </row>
    <row r="961" spans="1:70">
      <c r="A961" s="1" t="s">
        <v>552</v>
      </c>
      <c r="B961" s="1" t="s">
        <v>1269</v>
      </c>
      <c r="C961" s="1" t="s">
        <v>17180</v>
      </c>
      <c r="D961" s="1" t="s">
        <v>17181</v>
      </c>
      <c r="E961" s="1" t="s">
        <v>262</v>
      </c>
      <c r="F961" s="1" t="s">
        <v>17182</v>
      </c>
      <c r="G961" s="1" t="s">
        <v>17183</v>
      </c>
      <c r="H961" s="1" t="s">
        <v>17184</v>
      </c>
      <c r="I961" s="1" t="s">
        <v>17185</v>
      </c>
      <c r="J961" s="1">
        <v>7569202194</v>
      </c>
      <c r="K961" s="1" t="s">
        <v>79</v>
      </c>
      <c r="L961" s="1" t="s">
        <v>17186</v>
      </c>
      <c r="M961" s="1" t="s">
        <v>81</v>
      </c>
      <c r="N961" s="1" t="s">
        <v>3283</v>
      </c>
      <c r="O961" s="1"/>
      <c r="P961" s="1" t="s">
        <v>2505</v>
      </c>
      <c r="Q961" s="1" t="s">
        <v>17187</v>
      </c>
      <c r="R961" s="1" t="s">
        <v>17188</v>
      </c>
      <c r="S961" s="1">
        <v>9848954962</v>
      </c>
      <c r="T961" s="1" t="s">
        <v>17189</v>
      </c>
      <c r="U961" s="1" t="s">
        <v>17190</v>
      </c>
      <c r="V961" s="1">
        <v>9705125634</v>
      </c>
      <c r="W961" s="1" t="s">
        <v>496</v>
      </c>
      <c r="X961" s="1" t="s">
        <v>17191</v>
      </c>
      <c r="Y961" s="1" t="s">
        <v>608</v>
      </c>
      <c r="Z961" s="1" t="s">
        <v>609</v>
      </c>
      <c r="AA961" s="1" t="s">
        <v>17191</v>
      </c>
      <c r="AB961" s="1" t="s">
        <v>608</v>
      </c>
      <c r="AC961" s="1" t="s">
        <v>609</v>
      </c>
      <c r="AD961" s="1">
        <v>6.63</v>
      </c>
      <c r="AE961" s="1" t="s">
        <v>93</v>
      </c>
      <c r="AF961" s="1" t="s">
        <v>3459</v>
      </c>
      <c r="AG961" s="1" t="s">
        <v>611</v>
      </c>
      <c r="AH961" s="1" t="s">
        <v>161</v>
      </c>
      <c r="AI961" s="1" t="s">
        <v>195</v>
      </c>
      <c r="AJ961" s="1">
        <v>80</v>
      </c>
      <c r="AK961" s="1">
        <v>8</v>
      </c>
      <c r="AL961" s="1" t="s">
        <v>2419</v>
      </c>
      <c r="AM961" s="1" t="s">
        <v>613</v>
      </c>
      <c r="AN961" s="1" t="s">
        <v>165</v>
      </c>
      <c r="AO961" s="1" t="s">
        <v>409</v>
      </c>
      <c r="AP961" s="1">
        <v>66.4</v>
      </c>
      <c r="AQ961" s="1">
        <v>6.6</v>
      </c>
      <c r="AR961" s="1"/>
      <c r="AS961" s="1"/>
      <c r="AT961" s="1"/>
      <c r="AU961" s="1"/>
      <c r="AV961" s="1"/>
      <c r="AW961" s="1"/>
      <c r="AX961" s="1" t="s">
        <v>3349</v>
      </c>
      <c r="AY961" s="1" t="s">
        <v>17192</v>
      </c>
      <c r="AZ961" s="1" t="s">
        <v>436</v>
      </c>
      <c r="BA961" s="1" t="s">
        <v>413</v>
      </c>
      <c r="BB961" s="1">
        <v>70.3</v>
      </c>
      <c r="BC961" s="1">
        <v>7.03</v>
      </c>
      <c r="BD961" s="1"/>
      <c r="BE961" s="1"/>
      <c r="BF961" s="1"/>
      <c r="BG961" s="1"/>
      <c r="BH961" s="1"/>
      <c r="BI961" s="1"/>
      <c r="BJ961" s="1" t="s">
        <v>734</v>
      </c>
      <c r="BK961" s="1"/>
      <c r="BL961" s="1"/>
      <c r="BM961" s="1"/>
      <c r="BN961" s="1"/>
      <c r="BO961" s="1"/>
      <c r="BP961" s="1" t="str">
        <f>HYPERLINK("https://nconnect.nicmar.ac.in/storage/profile/ProfilePhoto_P25703025_329654.jpg","Download")</f>
        <v>0</v>
      </c>
      <c r="BQ961" s="3"/>
      <c r="BR961" s="3"/>
    </row>
    <row r="962" spans="1:70">
      <c r="A962" s="1" t="s">
        <v>552</v>
      </c>
      <c r="B962" s="1" t="s">
        <v>1269</v>
      </c>
      <c r="C962" s="1" t="s">
        <v>17193</v>
      </c>
      <c r="D962" s="1" t="s">
        <v>17194</v>
      </c>
      <c r="E962" s="1"/>
      <c r="F962" s="1" t="s">
        <v>12221</v>
      </c>
      <c r="G962" s="1" t="s">
        <v>17195</v>
      </c>
      <c r="H962" s="1" t="s">
        <v>17196</v>
      </c>
      <c r="I962" s="1" t="s">
        <v>17197</v>
      </c>
      <c r="J962" s="1">
        <v>9792555169</v>
      </c>
      <c r="K962" s="1" t="s">
        <v>148</v>
      </c>
      <c r="L962" s="1" t="s">
        <v>10339</v>
      </c>
      <c r="M962" s="1" t="s">
        <v>81</v>
      </c>
      <c r="N962" s="1" t="s">
        <v>13713</v>
      </c>
      <c r="O962" s="1"/>
      <c r="P962" s="1" t="s">
        <v>1323</v>
      </c>
      <c r="Q962" s="1" t="s">
        <v>17198</v>
      </c>
      <c r="R962" s="1" t="s">
        <v>17199</v>
      </c>
      <c r="S962" s="1">
        <v>9125921538</v>
      </c>
      <c r="T962" s="1" t="s">
        <v>122</v>
      </c>
      <c r="U962" s="1" t="s">
        <v>12227</v>
      </c>
      <c r="V962" s="1">
        <v>9511049332</v>
      </c>
      <c r="W962" s="1" t="s">
        <v>89</v>
      </c>
      <c r="X962" s="1" t="s">
        <v>17200</v>
      </c>
      <c r="Y962" s="1" t="s">
        <v>17201</v>
      </c>
      <c r="Z962" s="1" t="s">
        <v>1355</v>
      </c>
      <c r="AA962" s="1" t="s">
        <v>17200</v>
      </c>
      <c r="AB962" s="1" t="s">
        <v>17201</v>
      </c>
      <c r="AC962" s="1" t="s">
        <v>1355</v>
      </c>
      <c r="AD962" s="1">
        <v>8.09</v>
      </c>
      <c r="AE962" s="1" t="s">
        <v>93</v>
      </c>
      <c r="AF962" s="1" t="s">
        <v>17202</v>
      </c>
      <c r="AG962" s="1" t="s">
        <v>17203</v>
      </c>
      <c r="AH962" s="1" t="s">
        <v>97</v>
      </c>
      <c r="AI962" s="1" t="s">
        <v>162</v>
      </c>
      <c r="AJ962" s="1">
        <v>81.7</v>
      </c>
      <c r="AK962" s="1">
        <v>8.6</v>
      </c>
      <c r="AL962" s="1" t="s">
        <v>17204</v>
      </c>
      <c r="AM962" s="1" t="s">
        <v>17205</v>
      </c>
      <c r="AN962" s="1" t="s">
        <v>678</v>
      </c>
      <c r="AO962" s="1" t="s">
        <v>101</v>
      </c>
      <c r="AP962" s="1">
        <v>67.6</v>
      </c>
      <c r="AQ962" s="1"/>
      <c r="AR962" s="1"/>
      <c r="AS962" s="1"/>
      <c r="AT962" s="1"/>
      <c r="AU962" s="1"/>
      <c r="AV962" s="1"/>
      <c r="AW962" s="1"/>
      <c r="AX962" s="1" t="s">
        <v>17206</v>
      </c>
      <c r="AY962" s="1" t="s">
        <v>17207</v>
      </c>
      <c r="AZ962" s="1" t="s">
        <v>169</v>
      </c>
      <c r="BA962" s="1" t="s">
        <v>436</v>
      </c>
      <c r="BB962" s="1">
        <v>54.06</v>
      </c>
      <c r="BC962" s="1"/>
      <c r="BD962" s="1"/>
      <c r="BE962" s="1"/>
      <c r="BF962" s="1"/>
      <c r="BG962" s="1"/>
      <c r="BH962" s="1"/>
      <c r="BI962" s="1"/>
      <c r="BJ962" s="1" t="s">
        <v>17208</v>
      </c>
      <c r="BK962" s="1" t="s">
        <v>17209</v>
      </c>
      <c r="BL962" s="1" t="s">
        <v>1629</v>
      </c>
      <c r="BM962" s="1" t="s">
        <v>17210</v>
      </c>
      <c r="BN962" s="1">
        <v>24</v>
      </c>
      <c r="BO962" s="1" t="s">
        <v>17211</v>
      </c>
      <c r="BP962" s="1" t="str">
        <f>HYPERLINK("https://nconnect.nicmar.ac.in/storage/profile/ProfilePhoto_P25703026_473982.jpg","Download")</f>
        <v>0</v>
      </c>
      <c r="BQ962" s="3"/>
      <c r="BR962" s="3"/>
    </row>
    <row r="963" spans="1:70">
      <c r="A963" s="1" t="s">
        <v>552</v>
      </c>
      <c r="B963" s="1" t="s">
        <v>1269</v>
      </c>
      <c r="C963" s="1" t="s">
        <v>17212</v>
      </c>
      <c r="D963" s="1" t="s">
        <v>17213</v>
      </c>
      <c r="E963" s="1"/>
      <c r="F963" s="1" t="s">
        <v>1226</v>
      </c>
      <c r="G963" s="1" t="s">
        <v>17214</v>
      </c>
      <c r="H963" s="1" t="s">
        <v>17215</v>
      </c>
      <c r="I963" s="1" t="s">
        <v>17216</v>
      </c>
      <c r="J963" s="1">
        <v>9971701710</v>
      </c>
      <c r="K963" s="1" t="s">
        <v>148</v>
      </c>
      <c r="L963" s="1" t="s">
        <v>17217</v>
      </c>
      <c r="M963" s="1" t="s">
        <v>150</v>
      </c>
      <c r="N963" s="1" t="s">
        <v>241</v>
      </c>
      <c r="O963" s="1"/>
      <c r="P963" s="1" t="s">
        <v>1323</v>
      </c>
      <c r="Q963" s="1" t="s">
        <v>17218</v>
      </c>
      <c r="R963" s="1" t="s">
        <v>17219</v>
      </c>
      <c r="S963" s="1">
        <v>9971701710</v>
      </c>
      <c r="T963" s="1" t="s">
        <v>93</v>
      </c>
      <c r="U963" s="1" t="s">
        <v>17220</v>
      </c>
      <c r="V963" s="1">
        <v>9530047407</v>
      </c>
      <c r="W963" s="1" t="s">
        <v>156</v>
      </c>
      <c r="X963" s="1" t="s">
        <v>17221</v>
      </c>
      <c r="Y963" s="1" t="s">
        <v>2945</v>
      </c>
      <c r="Z963" s="1" t="s">
        <v>867</v>
      </c>
      <c r="AA963" s="1" t="s">
        <v>17221</v>
      </c>
      <c r="AB963" s="1" t="s">
        <v>2945</v>
      </c>
      <c r="AC963" s="1" t="s">
        <v>867</v>
      </c>
      <c r="AD963" s="1">
        <v>9.82</v>
      </c>
      <c r="AE963" s="1" t="s">
        <v>93</v>
      </c>
      <c r="AF963" s="1" t="s">
        <v>17222</v>
      </c>
      <c r="AG963" s="1" t="s">
        <v>894</v>
      </c>
      <c r="AH963" s="1" t="s">
        <v>10734</v>
      </c>
      <c r="AI963" s="1" t="s">
        <v>2991</v>
      </c>
      <c r="AJ963" s="1">
        <v>75.4</v>
      </c>
      <c r="AK963" s="1"/>
      <c r="AL963" s="1" t="s">
        <v>17222</v>
      </c>
      <c r="AM963" s="1" t="s">
        <v>894</v>
      </c>
      <c r="AN963" s="1" t="s">
        <v>725</v>
      </c>
      <c r="AO963" s="1" t="s">
        <v>1670</v>
      </c>
      <c r="AP963" s="1">
        <v>71.6</v>
      </c>
      <c r="AQ963" s="1"/>
      <c r="AR963" s="1"/>
      <c r="AS963" s="1"/>
      <c r="AT963" s="1"/>
      <c r="AU963" s="1"/>
      <c r="AV963" s="1"/>
      <c r="AW963" s="1"/>
      <c r="AX963" s="1" t="s">
        <v>17223</v>
      </c>
      <c r="AY963" s="1" t="s">
        <v>17224</v>
      </c>
      <c r="AZ963" s="1" t="s">
        <v>249</v>
      </c>
      <c r="BA963" s="1" t="s">
        <v>161</v>
      </c>
      <c r="BB963" s="1">
        <v>76.4</v>
      </c>
      <c r="BC963" s="1"/>
      <c r="BD963" s="1" t="s">
        <v>17225</v>
      </c>
      <c r="BE963" s="1" t="s">
        <v>17226</v>
      </c>
      <c r="BF963" s="1" t="s">
        <v>337</v>
      </c>
      <c r="BG963" s="1" t="s">
        <v>165</v>
      </c>
      <c r="BH963" s="1">
        <v>74.42</v>
      </c>
      <c r="BI963" s="1"/>
      <c r="BJ963" s="1" t="s">
        <v>734</v>
      </c>
      <c r="BK963" s="1" t="s">
        <v>17227</v>
      </c>
      <c r="BL963" s="1" t="s">
        <v>4917</v>
      </c>
      <c r="BM963" s="1" t="s">
        <v>17228</v>
      </c>
      <c r="BN963" s="1">
        <v>31</v>
      </c>
      <c r="BO963" s="1"/>
      <c r="BP963" s="1" t="str">
        <f>HYPERLINK("https://nconnect.nicmar.ac.in/storage/profile/ProfilePhoto_P25703027_638754.jpg","Download")</f>
        <v>0</v>
      </c>
      <c r="BQ963" s="3"/>
      <c r="BR963" s="3"/>
    </row>
    <row r="964" spans="1:70">
      <c r="A964" s="1" t="s">
        <v>552</v>
      </c>
      <c r="B964" s="1" t="s">
        <v>1269</v>
      </c>
      <c r="C964" s="1" t="s">
        <v>17229</v>
      </c>
      <c r="D964" s="1" t="s">
        <v>17230</v>
      </c>
      <c r="E964" s="1" t="s">
        <v>17231</v>
      </c>
      <c r="F964" s="1" t="s">
        <v>17232</v>
      </c>
      <c r="G964" s="1" t="s">
        <v>17233</v>
      </c>
      <c r="H964" s="1" t="s">
        <v>17234</v>
      </c>
      <c r="I964" s="1" t="s">
        <v>17235</v>
      </c>
      <c r="J964" s="1">
        <v>9765373493</v>
      </c>
      <c r="K964" s="1" t="s">
        <v>79</v>
      </c>
      <c r="L964" s="1" t="s">
        <v>17236</v>
      </c>
      <c r="M964" s="1" t="s">
        <v>81</v>
      </c>
      <c r="N964" s="1" t="s">
        <v>17237</v>
      </c>
      <c r="O964" s="1"/>
      <c r="P964" s="1" t="s">
        <v>1298</v>
      </c>
      <c r="Q964" s="1" t="s">
        <v>17238</v>
      </c>
      <c r="R964" s="1" t="s">
        <v>17239</v>
      </c>
      <c r="S964" s="1">
        <v>9665199540</v>
      </c>
      <c r="T964" s="1" t="s">
        <v>154</v>
      </c>
      <c r="U964" s="1" t="s">
        <v>17240</v>
      </c>
      <c r="V964" s="1">
        <v>9665199540</v>
      </c>
      <c r="W964" s="1" t="s">
        <v>154</v>
      </c>
      <c r="X964" s="1" t="s">
        <v>17241</v>
      </c>
      <c r="Y964" s="1" t="s">
        <v>219</v>
      </c>
      <c r="Z964" s="1" t="s">
        <v>92</v>
      </c>
      <c r="AA964" s="1" t="s">
        <v>17241</v>
      </c>
      <c r="AB964" s="1" t="s">
        <v>219</v>
      </c>
      <c r="AC964" s="1" t="s">
        <v>92</v>
      </c>
      <c r="AD964" s="1" t="s">
        <v>93</v>
      </c>
      <c r="AE964" s="1" t="s">
        <v>93</v>
      </c>
      <c r="AF964" s="1" t="s">
        <v>17242</v>
      </c>
      <c r="AG964" s="1" t="s">
        <v>17243</v>
      </c>
      <c r="AH964" s="1" t="s">
        <v>130</v>
      </c>
      <c r="AI964" s="1" t="s">
        <v>97</v>
      </c>
      <c r="AJ964" s="1">
        <v>68.4</v>
      </c>
      <c r="AK964" s="1"/>
      <c r="AL964" s="1"/>
      <c r="AM964" s="1"/>
      <c r="AN964" s="1"/>
      <c r="AO964" s="1"/>
      <c r="AP964" s="1"/>
      <c r="AQ964" s="1"/>
      <c r="AR964" s="1" t="s">
        <v>98</v>
      </c>
      <c r="AS964" s="1" t="s">
        <v>17244</v>
      </c>
      <c r="AT964" s="1" t="s">
        <v>337</v>
      </c>
      <c r="AU964" s="1" t="s">
        <v>433</v>
      </c>
      <c r="AV964" s="1">
        <v>71.94</v>
      </c>
      <c r="AW964" s="1"/>
      <c r="AX964" s="1" t="s">
        <v>361</v>
      </c>
      <c r="AY964" s="1" t="s">
        <v>17245</v>
      </c>
      <c r="AZ964" s="1" t="s">
        <v>173</v>
      </c>
      <c r="BA964" s="1" t="s">
        <v>682</v>
      </c>
      <c r="BB964" s="1">
        <v>73.7</v>
      </c>
      <c r="BC964" s="1">
        <v>8.12</v>
      </c>
      <c r="BD964" s="1"/>
      <c r="BE964" s="1"/>
      <c r="BF964" s="1"/>
      <c r="BG964" s="1"/>
      <c r="BH964" s="1"/>
      <c r="BI964" s="1"/>
      <c r="BJ964" s="1" t="s">
        <v>17246</v>
      </c>
      <c r="BK964" s="1" t="s">
        <v>17247</v>
      </c>
      <c r="BL964" s="1" t="s">
        <v>8309</v>
      </c>
      <c r="BM964" s="1"/>
      <c r="BN964" s="1"/>
      <c r="BO964" s="1"/>
      <c r="BP964" s="1" t="str">
        <f>HYPERLINK("https://nconnect.nicmar.ac.in/storage/profile/ProfilePhoto_P25703028_281695.jpg","Download")</f>
        <v>0</v>
      </c>
      <c r="BQ964" s="3"/>
      <c r="BR964" s="3"/>
    </row>
    <row r="965" spans="1:70">
      <c r="A965" s="1" t="s">
        <v>552</v>
      </c>
      <c r="B965" s="1" t="s">
        <v>1269</v>
      </c>
      <c r="C965" s="1" t="s">
        <v>17248</v>
      </c>
      <c r="D965" s="1" t="s">
        <v>17249</v>
      </c>
      <c r="E965" s="1"/>
      <c r="F965" s="1" t="s">
        <v>17250</v>
      </c>
      <c r="G965" s="1" t="s">
        <v>17251</v>
      </c>
      <c r="H965" s="1" t="s">
        <v>17252</v>
      </c>
      <c r="I965" s="1" t="s">
        <v>17253</v>
      </c>
      <c r="J965" s="1">
        <v>9508582245</v>
      </c>
      <c r="K965" s="1" t="s">
        <v>148</v>
      </c>
      <c r="L965" s="1" t="s">
        <v>17254</v>
      </c>
      <c r="M965" s="1" t="s">
        <v>81</v>
      </c>
      <c r="N965" s="1" t="s">
        <v>350</v>
      </c>
      <c r="O965" s="1"/>
      <c r="P965" s="1" t="s">
        <v>1278</v>
      </c>
      <c r="Q965" s="1" t="s">
        <v>17255</v>
      </c>
      <c r="R965" s="1" t="s">
        <v>17256</v>
      </c>
      <c r="S965" s="1">
        <v>9123435051</v>
      </c>
      <c r="T965" s="1" t="s">
        <v>842</v>
      </c>
      <c r="U965" s="1" t="s">
        <v>17257</v>
      </c>
      <c r="V965" s="1">
        <v>9153580282</v>
      </c>
      <c r="W965" s="1" t="s">
        <v>156</v>
      </c>
      <c r="X965" s="1" t="s">
        <v>17258</v>
      </c>
      <c r="Y965" s="1" t="s">
        <v>17156</v>
      </c>
      <c r="Z965" s="1" t="s">
        <v>846</v>
      </c>
      <c r="AA965" s="1" t="s">
        <v>17258</v>
      </c>
      <c r="AB965" s="1" t="s">
        <v>17156</v>
      </c>
      <c r="AC965" s="1" t="s">
        <v>846</v>
      </c>
      <c r="AD965" s="1" t="s">
        <v>93</v>
      </c>
      <c r="AE965" s="1" t="s">
        <v>93</v>
      </c>
      <c r="AF965" s="1" t="s">
        <v>17259</v>
      </c>
      <c r="AG965" s="1" t="s">
        <v>1470</v>
      </c>
      <c r="AH965" s="1" t="s">
        <v>456</v>
      </c>
      <c r="AI965" s="1" t="s">
        <v>479</v>
      </c>
      <c r="AJ965" s="1">
        <v>67</v>
      </c>
      <c r="AK965" s="1">
        <v>7.05</v>
      </c>
      <c r="AL965" s="1" t="s">
        <v>17260</v>
      </c>
      <c r="AM965" s="1" t="s">
        <v>17261</v>
      </c>
      <c r="AN965" s="1" t="s">
        <v>281</v>
      </c>
      <c r="AO965" s="1" t="s">
        <v>104</v>
      </c>
      <c r="AP965" s="1">
        <v>72</v>
      </c>
      <c r="AQ965" s="1">
        <v>7.58</v>
      </c>
      <c r="AR965" s="1"/>
      <c r="AS965" s="1"/>
      <c r="AT965" s="1"/>
      <c r="AU965" s="1"/>
      <c r="AV965" s="1"/>
      <c r="AW965" s="1"/>
      <c r="AX965" s="1" t="s">
        <v>17262</v>
      </c>
      <c r="AY965" s="1" t="s">
        <v>17263</v>
      </c>
      <c r="AZ965" s="1" t="s">
        <v>699</v>
      </c>
      <c r="BA965" s="1" t="s">
        <v>1134</v>
      </c>
      <c r="BB965" s="1">
        <v>72.5</v>
      </c>
      <c r="BC965" s="1"/>
      <c r="BD965" s="1"/>
      <c r="BE965" s="1"/>
      <c r="BF965" s="1"/>
      <c r="BG965" s="1"/>
      <c r="BH965" s="1"/>
      <c r="BI965" s="1"/>
      <c r="BJ965" s="1" t="s">
        <v>734</v>
      </c>
      <c r="BK965" s="1"/>
      <c r="BL965" s="1"/>
      <c r="BM965" s="1"/>
      <c r="BN965" s="1"/>
      <c r="BO965" s="1"/>
      <c r="BP965" s="1" t="str">
        <f>HYPERLINK("https://nconnect.nicmar.ac.in/storage/profile/ProfilePhoto_P25703029_945782.jpg","Download")</f>
        <v>0</v>
      </c>
      <c r="BQ965" s="3"/>
      <c r="BR965" s="3"/>
    </row>
    <row r="966" spans="1:70">
      <c r="A966" s="1" t="s">
        <v>552</v>
      </c>
      <c r="B966" s="1" t="s">
        <v>1269</v>
      </c>
      <c r="C966" s="1" t="s">
        <v>17264</v>
      </c>
      <c r="D966" s="1" t="s">
        <v>17265</v>
      </c>
      <c r="E966" s="1"/>
      <c r="F966" s="1" t="s">
        <v>6736</v>
      </c>
      <c r="G966" s="1" t="s">
        <v>17266</v>
      </c>
      <c r="H966" s="1" t="s">
        <v>17267</v>
      </c>
      <c r="I966" s="1" t="s">
        <v>17268</v>
      </c>
      <c r="J966" s="1">
        <v>9146039824</v>
      </c>
      <c r="K966" s="1" t="s">
        <v>148</v>
      </c>
      <c r="L966" s="1" t="s">
        <v>17269</v>
      </c>
      <c r="M966" s="1" t="s">
        <v>81</v>
      </c>
      <c r="N966" s="1" t="s">
        <v>13951</v>
      </c>
      <c r="O966" s="1"/>
      <c r="P966" s="1" t="s">
        <v>1298</v>
      </c>
      <c r="Q966" s="1" t="s">
        <v>17270</v>
      </c>
      <c r="R966" s="1" t="s">
        <v>17271</v>
      </c>
      <c r="S966" s="1">
        <v>7028628022</v>
      </c>
      <c r="T966" s="1" t="s">
        <v>17272</v>
      </c>
      <c r="U966" s="1" t="s">
        <v>17273</v>
      </c>
      <c r="V966" s="1">
        <v>9226752018</v>
      </c>
      <c r="W966" s="1" t="s">
        <v>156</v>
      </c>
      <c r="X966" s="1" t="s">
        <v>17274</v>
      </c>
      <c r="Y966" s="1" t="s">
        <v>191</v>
      </c>
      <c r="Z966" s="1" t="s">
        <v>92</v>
      </c>
      <c r="AA966" s="1" t="s">
        <v>17274</v>
      </c>
      <c r="AB966" s="1" t="s">
        <v>191</v>
      </c>
      <c r="AC966" s="1" t="s">
        <v>92</v>
      </c>
      <c r="AD966" s="1">
        <v>8.73</v>
      </c>
      <c r="AE966" s="1" t="s">
        <v>93</v>
      </c>
      <c r="AF966" s="1" t="s">
        <v>17275</v>
      </c>
      <c r="AG966" s="1" t="s">
        <v>307</v>
      </c>
      <c r="AH966" s="1" t="s">
        <v>279</v>
      </c>
      <c r="AI966" s="1" t="s">
        <v>383</v>
      </c>
      <c r="AJ966" s="1">
        <v>74.1</v>
      </c>
      <c r="AK966" s="1">
        <v>7.8</v>
      </c>
      <c r="AL966" s="1" t="s">
        <v>17275</v>
      </c>
      <c r="AM966" s="1" t="s">
        <v>307</v>
      </c>
      <c r="AN966" s="1" t="s">
        <v>281</v>
      </c>
      <c r="AO966" s="1" t="s">
        <v>308</v>
      </c>
      <c r="AP966" s="1">
        <v>80</v>
      </c>
      <c r="AQ966" s="1"/>
      <c r="AR966" s="1"/>
      <c r="AS966" s="1"/>
      <c r="AT966" s="1"/>
      <c r="AU966" s="1"/>
      <c r="AV966" s="1"/>
      <c r="AW966" s="1"/>
      <c r="AX966" s="1" t="s">
        <v>361</v>
      </c>
      <c r="AY966" s="1" t="s">
        <v>17276</v>
      </c>
      <c r="AZ966" s="1" t="s">
        <v>310</v>
      </c>
      <c r="BA966" s="1" t="s">
        <v>874</v>
      </c>
      <c r="BB966" s="1">
        <v>82.96</v>
      </c>
      <c r="BC966" s="1">
        <v>8.86</v>
      </c>
      <c r="BD966" s="1"/>
      <c r="BE966" s="1"/>
      <c r="BF966" s="1"/>
      <c r="BG966" s="1"/>
      <c r="BH966" s="1"/>
      <c r="BI966" s="1"/>
      <c r="BJ966" s="1" t="s">
        <v>4102</v>
      </c>
      <c r="BK966" s="1"/>
      <c r="BL966" s="1"/>
      <c r="BM966" s="1" t="s">
        <v>17277</v>
      </c>
      <c r="BN966" s="1">
        <v>23</v>
      </c>
      <c r="BO966" s="1" t="s">
        <v>17278</v>
      </c>
      <c r="BP966" s="1" t="str">
        <f>HYPERLINK("https://nconnect.nicmar.ac.in/storage/profile/ProfilePhoto_P25703030_982536.jpg","Download")</f>
        <v>0</v>
      </c>
      <c r="BQ966" s="3"/>
      <c r="BR966" s="3"/>
    </row>
    <row r="967" spans="1:70">
      <c r="A967" s="1" t="s">
        <v>552</v>
      </c>
      <c r="B967" s="1" t="s">
        <v>1269</v>
      </c>
      <c r="C967" s="1" t="s">
        <v>17279</v>
      </c>
      <c r="D967" s="1" t="s">
        <v>17280</v>
      </c>
      <c r="E967" s="1"/>
      <c r="F967" s="1" t="s">
        <v>111</v>
      </c>
      <c r="G967" s="1" t="s">
        <v>17281</v>
      </c>
      <c r="H967" s="1" t="s">
        <v>17282</v>
      </c>
      <c r="I967" s="1" t="s">
        <v>17283</v>
      </c>
      <c r="J967" s="1">
        <v>8547292749</v>
      </c>
      <c r="K967" s="1" t="s">
        <v>148</v>
      </c>
      <c r="L967" s="1" t="s">
        <v>17284</v>
      </c>
      <c r="M967" s="1" t="s">
        <v>81</v>
      </c>
      <c r="N967" s="1" t="s">
        <v>3945</v>
      </c>
      <c r="O967" s="1"/>
      <c r="P967" s="1" t="s">
        <v>1323</v>
      </c>
      <c r="Q967" s="1" t="s">
        <v>17285</v>
      </c>
      <c r="R967" s="1" t="s">
        <v>17286</v>
      </c>
      <c r="S967" s="1">
        <v>9495155695</v>
      </c>
      <c r="T967" s="1" t="s">
        <v>120</v>
      </c>
      <c r="U967" s="1" t="s">
        <v>17287</v>
      </c>
      <c r="V967" s="1">
        <v>9446842375</v>
      </c>
      <c r="W967" s="1" t="s">
        <v>120</v>
      </c>
      <c r="X967" s="1" t="s">
        <v>17288</v>
      </c>
      <c r="Y967" s="1" t="s">
        <v>1260</v>
      </c>
      <c r="Z967" s="1" t="s">
        <v>125</v>
      </c>
      <c r="AA967" s="1" t="s">
        <v>17288</v>
      </c>
      <c r="AB967" s="1" t="s">
        <v>1260</v>
      </c>
      <c r="AC967" s="1" t="s">
        <v>125</v>
      </c>
      <c r="AD967" s="1">
        <v>9.1</v>
      </c>
      <c r="AE967" s="1" t="s">
        <v>93</v>
      </c>
      <c r="AF967" s="1" t="s">
        <v>17289</v>
      </c>
      <c r="AG967" s="1" t="s">
        <v>17290</v>
      </c>
      <c r="AH967" s="1" t="s">
        <v>162</v>
      </c>
      <c r="AI967" s="1" t="s">
        <v>195</v>
      </c>
      <c r="AJ967" s="1">
        <v>89.3</v>
      </c>
      <c r="AK967" s="1">
        <v>9.4</v>
      </c>
      <c r="AL967" s="1" t="s">
        <v>17289</v>
      </c>
      <c r="AM967" s="1" t="s">
        <v>17290</v>
      </c>
      <c r="AN967" s="1" t="s">
        <v>101</v>
      </c>
      <c r="AO967" s="1" t="s">
        <v>409</v>
      </c>
      <c r="AP967" s="1">
        <v>93.8</v>
      </c>
      <c r="AQ967" s="1">
        <v>0</v>
      </c>
      <c r="AR967" s="1"/>
      <c r="AS967" s="1"/>
      <c r="AT967" s="1"/>
      <c r="AU967" s="1"/>
      <c r="AV967" s="1"/>
      <c r="AW967" s="1"/>
      <c r="AX967" s="1" t="s">
        <v>729</v>
      </c>
      <c r="AY967" s="1" t="s">
        <v>17291</v>
      </c>
      <c r="AZ967" s="1" t="s">
        <v>506</v>
      </c>
      <c r="BA967" s="1" t="s">
        <v>1938</v>
      </c>
      <c r="BB967" s="1">
        <v>70.76</v>
      </c>
      <c r="BC967" s="1">
        <v>7.07</v>
      </c>
      <c r="BD967" s="1"/>
      <c r="BE967" s="1"/>
      <c r="BF967" s="1"/>
      <c r="BG967" s="1"/>
      <c r="BH967" s="1"/>
      <c r="BI967" s="1"/>
      <c r="BJ967" s="1" t="s">
        <v>17292</v>
      </c>
      <c r="BK967" s="1"/>
      <c r="BL967" s="1"/>
      <c r="BM967" s="1" t="s">
        <v>17293</v>
      </c>
      <c r="BN967" s="1">
        <v>9</v>
      </c>
      <c r="BO967" s="1"/>
      <c r="BP967" s="1" t="str">
        <f>HYPERLINK("https://nconnect.nicmar.ac.in/storage/profile/ProfilePhoto_P25703031_654879.jpg","Download")</f>
        <v>0</v>
      </c>
      <c r="BQ967" s="3"/>
      <c r="BR967" s="3"/>
    </row>
    <row r="968" spans="1:70">
      <c r="A968" s="1" t="s">
        <v>552</v>
      </c>
      <c r="B968" s="1" t="s">
        <v>1269</v>
      </c>
      <c r="C968" s="1" t="s">
        <v>17294</v>
      </c>
      <c r="D968" s="1" t="s">
        <v>533</v>
      </c>
      <c r="E968" s="1" t="s">
        <v>1032</v>
      </c>
      <c r="F968" s="1" t="s">
        <v>17295</v>
      </c>
      <c r="G968" s="1" t="s">
        <v>17296</v>
      </c>
      <c r="H968" s="1" t="s">
        <v>17297</v>
      </c>
      <c r="I968" s="1" t="s">
        <v>17298</v>
      </c>
      <c r="J968" s="1">
        <v>9969358907</v>
      </c>
      <c r="K968" s="1" t="s">
        <v>79</v>
      </c>
      <c r="L968" s="1" t="s">
        <v>17299</v>
      </c>
      <c r="M968" s="1" t="s">
        <v>81</v>
      </c>
      <c r="N968" s="1" t="s">
        <v>1765</v>
      </c>
      <c r="O968" s="1"/>
      <c r="P968" s="1" t="s">
        <v>1278</v>
      </c>
      <c r="Q968" s="1" t="s">
        <v>17300</v>
      </c>
      <c r="R968" s="1" t="s">
        <v>1032</v>
      </c>
      <c r="S968" s="1">
        <v>9930019435</v>
      </c>
      <c r="T968" s="1" t="s">
        <v>763</v>
      </c>
      <c r="U968" s="1" t="s">
        <v>7694</v>
      </c>
      <c r="V968" s="1">
        <v>7045841499</v>
      </c>
      <c r="W968" s="1" t="s">
        <v>763</v>
      </c>
      <c r="X968" s="1" t="s">
        <v>17301</v>
      </c>
      <c r="Y968" s="1" t="s">
        <v>523</v>
      </c>
      <c r="Z968" s="1" t="s">
        <v>92</v>
      </c>
      <c r="AA968" s="1" t="s">
        <v>17301</v>
      </c>
      <c r="AB968" s="1" t="s">
        <v>523</v>
      </c>
      <c r="AC968" s="1" t="s">
        <v>92</v>
      </c>
      <c r="AD968" s="1" t="s">
        <v>93</v>
      </c>
      <c r="AE968" s="1" t="s">
        <v>93</v>
      </c>
      <c r="AF968" s="1" t="s">
        <v>17302</v>
      </c>
      <c r="AG968" s="1" t="s">
        <v>17303</v>
      </c>
      <c r="AH968" s="1" t="s">
        <v>101</v>
      </c>
      <c r="AI968" s="1" t="s">
        <v>433</v>
      </c>
      <c r="AJ968" s="1">
        <v>66</v>
      </c>
      <c r="AK968" s="1"/>
      <c r="AL968" s="1" t="s">
        <v>17304</v>
      </c>
      <c r="AM968" s="1" t="s">
        <v>455</v>
      </c>
      <c r="AN968" s="1" t="s">
        <v>173</v>
      </c>
      <c r="AO968" s="1" t="s">
        <v>1131</v>
      </c>
      <c r="AP968" s="1">
        <v>88.17</v>
      </c>
      <c r="AQ968" s="1"/>
      <c r="AR968" s="1"/>
      <c r="AS968" s="1"/>
      <c r="AT968" s="1"/>
      <c r="AU968" s="1"/>
      <c r="AV968" s="1"/>
      <c r="AW968" s="1"/>
      <c r="AX968" s="1" t="s">
        <v>253</v>
      </c>
      <c r="AY968" s="1" t="s">
        <v>17305</v>
      </c>
      <c r="AZ968" s="1" t="s">
        <v>1131</v>
      </c>
      <c r="BA968" s="1" t="s">
        <v>413</v>
      </c>
      <c r="BB968" s="1">
        <v>52.39</v>
      </c>
      <c r="BC968" s="1"/>
      <c r="BD968" s="1"/>
      <c r="BE968" s="1"/>
      <c r="BF968" s="1"/>
      <c r="BG968" s="1"/>
      <c r="BH968" s="1"/>
      <c r="BI968" s="1"/>
      <c r="BJ968" s="1" t="s">
        <v>17306</v>
      </c>
      <c r="BK968" s="1"/>
      <c r="BL968" s="1"/>
      <c r="BM968" s="1" t="s">
        <v>17307</v>
      </c>
      <c r="BN968" s="1">
        <v>7</v>
      </c>
      <c r="BO968" s="1"/>
      <c r="BP968" s="1" t="str">
        <f>HYPERLINK("https://nconnect.nicmar.ac.in/storage/profile/ProfilePhoto_P25703032_493712.jpg","Download")</f>
        <v>0</v>
      </c>
      <c r="BQ968" s="3"/>
      <c r="BR968" s="3"/>
    </row>
    <row r="969" spans="1:70">
      <c r="A969" s="1" t="s">
        <v>552</v>
      </c>
      <c r="B969" s="1" t="s">
        <v>1269</v>
      </c>
      <c r="C969" s="1" t="s">
        <v>17308</v>
      </c>
      <c r="D969" s="1" t="s">
        <v>17309</v>
      </c>
      <c r="E969" s="1" t="s">
        <v>9767</v>
      </c>
      <c r="F969" s="1" t="s">
        <v>13458</v>
      </c>
      <c r="G969" s="1" t="s">
        <v>17310</v>
      </c>
      <c r="H969" s="1" t="s">
        <v>17311</v>
      </c>
      <c r="I969" s="1" t="s">
        <v>17312</v>
      </c>
      <c r="J969" s="1">
        <v>9409411468</v>
      </c>
      <c r="K969" s="1" t="s">
        <v>79</v>
      </c>
      <c r="L969" s="1" t="s">
        <v>17313</v>
      </c>
      <c r="M969" s="1" t="s">
        <v>81</v>
      </c>
      <c r="N969" s="1" t="s">
        <v>17314</v>
      </c>
      <c r="O969" s="1"/>
      <c r="P969" s="1" t="s">
        <v>1278</v>
      </c>
      <c r="Q969" s="1" t="s">
        <v>17315</v>
      </c>
      <c r="R969" s="1" t="s">
        <v>17316</v>
      </c>
      <c r="S969" s="1">
        <v>9824298968</v>
      </c>
      <c r="T969" s="1" t="s">
        <v>271</v>
      </c>
      <c r="U969" s="1" t="s">
        <v>17317</v>
      </c>
      <c r="V969" s="1">
        <v>9924514924</v>
      </c>
      <c r="W969" s="1" t="s">
        <v>651</v>
      </c>
      <c r="X969" s="1" t="s">
        <v>17318</v>
      </c>
      <c r="Y969" s="1" t="s">
        <v>17319</v>
      </c>
      <c r="Z969" s="1" t="s">
        <v>1468</v>
      </c>
      <c r="AA969" s="1" t="s">
        <v>17318</v>
      </c>
      <c r="AB969" s="1" t="s">
        <v>17319</v>
      </c>
      <c r="AC969" s="1" t="s">
        <v>1468</v>
      </c>
      <c r="AD969" s="1">
        <v>7.9</v>
      </c>
      <c r="AE969" s="1" t="s">
        <v>93</v>
      </c>
      <c r="AF969" s="1" t="s">
        <v>12985</v>
      </c>
      <c r="AG969" s="1" t="s">
        <v>10695</v>
      </c>
      <c r="AH969" s="1" t="s">
        <v>456</v>
      </c>
      <c r="AI969" s="1" t="s">
        <v>195</v>
      </c>
      <c r="AJ969" s="1">
        <v>65.5</v>
      </c>
      <c r="AK969" s="1">
        <v>0</v>
      </c>
      <c r="AL969" s="1" t="s">
        <v>12985</v>
      </c>
      <c r="AM969" s="1" t="s">
        <v>10695</v>
      </c>
      <c r="AN969" s="1" t="s">
        <v>281</v>
      </c>
      <c r="AO969" s="1" t="s">
        <v>409</v>
      </c>
      <c r="AP969" s="1">
        <v>61.54</v>
      </c>
      <c r="AQ969" s="1">
        <v>0</v>
      </c>
      <c r="AR969" s="1"/>
      <c r="AS969" s="1"/>
      <c r="AT969" s="1"/>
      <c r="AU969" s="1"/>
      <c r="AV969" s="1"/>
      <c r="AW969" s="1"/>
      <c r="AX969" s="1" t="s">
        <v>17320</v>
      </c>
      <c r="AY969" s="1" t="s">
        <v>17321</v>
      </c>
      <c r="AZ969" s="1" t="s">
        <v>310</v>
      </c>
      <c r="BA969" s="1" t="s">
        <v>682</v>
      </c>
      <c r="BB969" s="1">
        <v>59.75</v>
      </c>
      <c r="BC969" s="1">
        <v>2.39</v>
      </c>
      <c r="BD969" s="1"/>
      <c r="BE969" s="1"/>
      <c r="BF969" s="1"/>
      <c r="BG969" s="1"/>
      <c r="BH969" s="1"/>
      <c r="BI969" s="1"/>
      <c r="BJ969" s="1" t="s">
        <v>17322</v>
      </c>
      <c r="BK969" s="1" t="s">
        <v>17323</v>
      </c>
      <c r="BL969" s="1" t="s">
        <v>947</v>
      </c>
      <c r="BM969" s="1" t="s">
        <v>17324</v>
      </c>
      <c r="BN969" s="1">
        <v>8</v>
      </c>
      <c r="BO969" s="1"/>
      <c r="BP969" s="1" t="str">
        <f>HYPERLINK("https://nconnect.nicmar.ac.in/storage/profile/ProfilePhoto_P25703033_265831.jpg","Download")</f>
        <v>0</v>
      </c>
      <c r="BQ969" s="3"/>
      <c r="BR969" s="3"/>
    </row>
    <row r="970" spans="1:70">
      <c r="A970" s="1" t="s">
        <v>552</v>
      </c>
      <c r="B970" s="1" t="s">
        <v>1269</v>
      </c>
      <c r="C970" s="1" t="s">
        <v>17325</v>
      </c>
      <c r="D970" s="1" t="s">
        <v>17326</v>
      </c>
      <c r="E970" s="1" t="s">
        <v>1760</v>
      </c>
      <c r="F970" s="1" t="s">
        <v>17327</v>
      </c>
      <c r="G970" s="1" t="s">
        <v>17328</v>
      </c>
      <c r="H970" s="1" t="s">
        <v>17329</v>
      </c>
      <c r="I970" s="1" t="s">
        <v>17330</v>
      </c>
      <c r="J970" s="1">
        <v>8605091971</v>
      </c>
      <c r="K970" s="1" t="s">
        <v>79</v>
      </c>
      <c r="L970" s="1" t="s">
        <v>17331</v>
      </c>
      <c r="M970" s="1" t="s">
        <v>81</v>
      </c>
      <c r="N970" s="1" t="s">
        <v>17332</v>
      </c>
      <c r="O970" s="1"/>
      <c r="P970" s="1" t="s">
        <v>1323</v>
      </c>
      <c r="Q970" s="1" t="s">
        <v>17333</v>
      </c>
      <c r="R970" s="1" t="s">
        <v>1760</v>
      </c>
      <c r="S970" s="1">
        <v>9420739091</v>
      </c>
      <c r="T970" s="1" t="s">
        <v>87</v>
      </c>
      <c r="U970" s="1" t="s">
        <v>17334</v>
      </c>
      <c r="V970" s="1">
        <v>9404740558</v>
      </c>
      <c r="W970" s="1" t="s">
        <v>156</v>
      </c>
      <c r="X970" s="1" t="s">
        <v>17335</v>
      </c>
      <c r="Y970" s="1" t="s">
        <v>191</v>
      </c>
      <c r="Z970" s="1" t="s">
        <v>92</v>
      </c>
      <c r="AA970" s="1" t="s">
        <v>17336</v>
      </c>
      <c r="AB970" s="1" t="s">
        <v>6832</v>
      </c>
      <c r="AC970" s="1" t="s">
        <v>92</v>
      </c>
      <c r="AD970" s="1">
        <v>6.54</v>
      </c>
      <c r="AE970" s="1" t="s">
        <v>93</v>
      </c>
      <c r="AF970" s="1" t="s">
        <v>17337</v>
      </c>
      <c r="AG970" s="1" t="s">
        <v>160</v>
      </c>
      <c r="AH970" s="1" t="s">
        <v>162</v>
      </c>
      <c r="AI970" s="1" t="s">
        <v>165</v>
      </c>
      <c r="AJ970" s="1">
        <v>73.8</v>
      </c>
      <c r="AK970" s="1"/>
      <c r="AL970" s="1" t="s">
        <v>17338</v>
      </c>
      <c r="AM970" s="1" t="s">
        <v>544</v>
      </c>
      <c r="AN970" s="1" t="s">
        <v>101</v>
      </c>
      <c r="AO970" s="1" t="s">
        <v>433</v>
      </c>
      <c r="AP970" s="1">
        <v>57.08</v>
      </c>
      <c r="AQ970" s="1"/>
      <c r="AR970" s="1"/>
      <c r="AS970" s="1"/>
      <c r="AT970" s="1"/>
      <c r="AU970" s="1"/>
      <c r="AV970" s="1"/>
      <c r="AW970" s="1"/>
      <c r="AX970" s="1" t="s">
        <v>3972</v>
      </c>
      <c r="AY970" s="1" t="s">
        <v>17339</v>
      </c>
      <c r="AZ970" s="1" t="s">
        <v>201</v>
      </c>
      <c r="BA970" s="1" t="s">
        <v>229</v>
      </c>
      <c r="BB970" s="1">
        <v>71.73</v>
      </c>
      <c r="BC970" s="1">
        <v>8.06</v>
      </c>
      <c r="BD970" s="1"/>
      <c r="BE970" s="1"/>
      <c r="BF970" s="1"/>
      <c r="BG970" s="1"/>
      <c r="BH970" s="1"/>
      <c r="BI970" s="1"/>
      <c r="BJ970" s="1" t="s">
        <v>17340</v>
      </c>
      <c r="BK970" s="1"/>
      <c r="BL970" s="1"/>
      <c r="BM970" s="1" t="s">
        <v>17341</v>
      </c>
      <c r="BN970" s="1">
        <v>61</v>
      </c>
      <c r="BO970" s="1"/>
      <c r="BP970" s="1" t="str">
        <f>HYPERLINK("https://nconnect.nicmar.ac.in/storage/profile/ProfilePhoto_P25703034_743562.jpg","Download")</f>
        <v>0</v>
      </c>
      <c r="BQ970" s="3"/>
      <c r="BR970" s="3"/>
    </row>
    <row r="971" spans="1:70">
      <c r="A971" s="1" t="s">
        <v>552</v>
      </c>
      <c r="B971" s="1" t="s">
        <v>1269</v>
      </c>
      <c r="C971" s="1" t="s">
        <v>17342</v>
      </c>
      <c r="D971" s="1" t="s">
        <v>14048</v>
      </c>
      <c r="E971" s="1" t="s">
        <v>1875</v>
      </c>
      <c r="F971" s="1" t="s">
        <v>17343</v>
      </c>
      <c r="G971" s="1" t="s">
        <v>17344</v>
      </c>
      <c r="H971" s="1" t="s">
        <v>17345</v>
      </c>
      <c r="I971" s="1" t="s">
        <v>17346</v>
      </c>
      <c r="J971" s="1">
        <v>7264004459</v>
      </c>
      <c r="K971" s="1" t="s">
        <v>148</v>
      </c>
      <c r="L971" s="1" t="s">
        <v>17347</v>
      </c>
      <c r="M971" s="1" t="s">
        <v>81</v>
      </c>
      <c r="N971" s="1" t="s">
        <v>2008</v>
      </c>
      <c r="O971" s="1" t="s">
        <v>17348</v>
      </c>
      <c r="P971" s="1" t="s">
        <v>1323</v>
      </c>
      <c r="Q971" s="1" t="s">
        <v>17349</v>
      </c>
      <c r="R971" s="1" t="s">
        <v>17350</v>
      </c>
      <c r="S971" s="1">
        <v>9764004459</v>
      </c>
      <c r="T971" s="1" t="s">
        <v>496</v>
      </c>
      <c r="U971" s="1" t="s">
        <v>17351</v>
      </c>
      <c r="V971" s="1">
        <v>9764004495</v>
      </c>
      <c r="W971" s="1" t="s">
        <v>17352</v>
      </c>
      <c r="X971" s="1" t="s">
        <v>17353</v>
      </c>
      <c r="Y971" s="1" t="s">
        <v>191</v>
      </c>
      <c r="Z971" s="1" t="s">
        <v>92</v>
      </c>
      <c r="AA971" s="1" t="s">
        <v>17353</v>
      </c>
      <c r="AB971" s="1" t="s">
        <v>191</v>
      </c>
      <c r="AC971" s="1" t="s">
        <v>92</v>
      </c>
      <c r="AD971" s="1" t="s">
        <v>93</v>
      </c>
      <c r="AE971" s="1" t="s">
        <v>93</v>
      </c>
      <c r="AF971" s="1" t="s">
        <v>17354</v>
      </c>
      <c r="AG971" s="1" t="s">
        <v>476</v>
      </c>
      <c r="AH971" s="1" t="s">
        <v>166</v>
      </c>
      <c r="AI971" s="1" t="s">
        <v>409</v>
      </c>
      <c r="AJ971" s="1">
        <v>84.8</v>
      </c>
      <c r="AK971" s="1">
        <v>0</v>
      </c>
      <c r="AL971" s="1" t="s">
        <v>17355</v>
      </c>
      <c r="AM971" s="1" t="s">
        <v>160</v>
      </c>
      <c r="AN971" s="1" t="s">
        <v>173</v>
      </c>
      <c r="AO971" s="1" t="s">
        <v>504</v>
      </c>
      <c r="AP971" s="1">
        <v>87</v>
      </c>
      <c r="AQ971" s="1">
        <v>0</v>
      </c>
      <c r="AR971" s="1"/>
      <c r="AS971" s="1"/>
      <c r="AT971" s="1"/>
      <c r="AU971" s="1"/>
      <c r="AV971" s="1"/>
      <c r="AW971" s="1"/>
      <c r="AX971" s="1" t="s">
        <v>17356</v>
      </c>
      <c r="AY971" s="1" t="s">
        <v>17357</v>
      </c>
      <c r="AZ971" s="1" t="s">
        <v>436</v>
      </c>
      <c r="BA971" s="1" t="s">
        <v>202</v>
      </c>
      <c r="BB971" s="1">
        <v>70.12</v>
      </c>
      <c r="BC971" s="1">
        <v>8.25</v>
      </c>
      <c r="BD971" s="1"/>
      <c r="BE971" s="1"/>
      <c r="BF971" s="1"/>
      <c r="BG971" s="1"/>
      <c r="BH971" s="1"/>
      <c r="BI971" s="1"/>
      <c r="BJ971" s="1" t="s">
        <v>734</v>
      </c>
      <c r="BK971" s="1" t="s">
        <v>17358</v>
      </c>
      <c r="BL971" s="1" t="s">
        <v>1895</v>
      </c>
      <c r="BM971" s="1"/>
      <c r="BN971" s="1"/>
      <c r="BO971" s="1"/>
      <c r="BP971" s="1" t="str">
        <f>HYPERLINK("https://nconnect.nicmar.ac.in/storage/profile/ProfilePhoto_P25703035_583967.jpg","Download")</f>
        <v>0</v>
      </c>
      <c r="BQ971" s="3"/>
      <c r="BR971" s="3"/>
    </row>
    <row r="972" spans="1:70">
      <c r="A972" s="1" t="s">
        <v>552</v>
      </c>
      <c r="B972" s="1" t="s">
        <v>1269</v>
      </c>
      <c r="C972" s="1" t="s">
        <v>17359</v>
      </c>
      <c r="D972" s="1" t="s">
        <v>8456</v>
      </c>
      <c r="E972" s="1" t="s">
        <v>1945</v>
      </c>
      <c r="F972" s="1" t="s">
        <v>596</v>
      </c>
      <c r="G972" s="1" t="s">
        <v>17360</v>
      </c>
      <c r="H972" s="1" t="s">
        <v>17361</v>
      </c>
      <c r="I972" s="1" t="s">
        <v>17362</v>
      </c>
      <c r="J972" s="1">
        <v>9518528290</v>
      </c>
      <c r="K972" s="1" t="s">
        <v>79</v>
      </c>
      <c r="L972" s="1" t="s">
        <v>17363</v>
      </c>
      <c r="M972" s="1" t="s">
        <v>81</v>
      </c>
      <c r="N972" s="1" t="s">
        <v>3779</v>
      </c>
      <c r="O972" s="1"/>
      <c r="P972" s="1" t="s">
        <v>1323</v>
      </c>
      <c r="Q972" s="1" t="s">
        <v>17364</v>
      </c>
      <c r="R972" s="1" t="s">
        <v>6707</v>
      </c>
      <c r="S972" s="1">
        <v>8888860058</v>
      </c>
      <c r="T972" s="1" t="s">
        <v>763</v>
      </c>
      <c r="U972" s="1" t="s">
        <v>17365</v>
      </c>
      <c r="V972" s="1">
        <v>9284069189</v>
      </c>
      <c r="W972" s="1" t="s">
        <v>273</v>
      </c>
      <c r="X972" s="1" t="s">
        <v>17366</v>
      </c>
      <c r="Y972" s="1" t="s">
        <v>4078</v>
      </c>
      <c r="Z972" s="1" t="s">
        <v>783</v>
      </c>
      <c r="AA972" s="1" t="s">
        <v>17366</v>
      </c>
      <c r="AB972" s="1" t="s">
        <v>4078</v>
      </c>
      <c r="AC972" s="1" t="s">
        <v>783</v>
      </c>
      <c r="AD972" s="1" t="s">
        <v>93</v>
      </c>
      <c r="AE972" s="1" t="s">
        <v>93</v>
      </c>
      <c r="AF972" s="1" t="s">
        <v>17367</v>
      </c>
      <c r="AG972" s="1" t="s">
        <v>17368</v>
      </c>
      <c r="AH972" s="1" t="s">
        <v>4549</v>
      </c>
      <c r="AI972" s="1" t="s">
        <v>1197</v>
      </c>
      <c r="AJ972" s="1">
        <v>70.3</v>
      </c>
      <c r="AK972" s="1">
        <v>7.4</v>
      </c>
      <c r="AL972" s="1" t="s">
        <v>17369</v>
      </c>
      <c r="AM972" s="1" t="s">
        <v>17370</v>
      </c>
      <c r="AN972" s="1" t="s">
        <v>1197</v>
      </c>
      <c r="AO972" s="1" t="s">
        <v>195</v>
      </c>
      <c r="AP972" s="1">
        <v>59.38</v>
      </c>
      <c r="AQ972" s="1"/>
      <c r="AR972" s="1"/>
      <c r="AS972" s="1"/>
      <c r="AT972" s="1"/>
      <c r="AU972" s="1"/>
      <c r="AV972" s="1"/>
      <c r="AW972" s="1"/>
      <c r="AX972" s="1" t="s">
        <v>361</v>
      </c>
      <c r="AY972" s="1" t="s">
        <v>17371</v>
      </c>
      <c r="AZ972" s="1" t="s">
        <v>165</v>
      </c>
      <c r="BA972" s="1" t="s">
        <v>105</v>
      </c>
      <c r="BB972" s="1">
        <v>67.8</v>
      </c>
      <c r="BC972" s="1">
        <v>7.62</v>
      </c>
      <c r="BD972" s="1"/>
      <c r="BE972" s="1"/>
      <c r="BF972" s="1"/>
      <c r="BG972" s="1"/>
      <c r="BH972" s="1"/>
      <c r="BI972" s="1"/>
      <c r="BJ972" s="1" t="s">
        <v>1383</v>
      </c>
      <c r="BK972" s="1" t="s">
        <v>17372</v>
      </c>
      <c r="BL972" s="1" t="s">
        <v>5625</v>
      </c>
      <c r="BM972" s="1"/>
      <c r="BN972" s="1"/>
      <c r="BO972" s="1"/>
      <c r="BP972" s="1" t="str">
        <f>HYPERLINK("https://nconnect.nicmar.ac.in/storage/profile/ProfilePhoto_P25703037_975312.jpg","Download")</f>
        <v>0</v>
      </c>
      <c r="BQ972" s="3"/>
      <c r="BR972" s="3"/>
    </row>
    <row r="973" spans="1:70">
      <c r="A973" s="1" t="s">
        <v>552</v>
      </c>
      <c r="B973" s="1" t="s">
        <v>1269</v>
      </c>
      <c r="C973" s="1" t="s">
        <v>17373</v>
      </c>
      <c r="D973" s="1" t="s">
        <v>17374</v>
      </c>
      <c r="E973" s="1"/>
      <c r="F973" s="1" t="s">
        <v>17375</v>
      </c>
      <c r="G973" s="1" t="s">
        <v>17376</v>
      </c>
      <c r="H973" s="1" t="s">
        <v>17377</v>
      </c>
      <c r="I973" s="1" t="s">
        <v>17378</v>
      </c>
      <c r="J973" s="1">
        <v>6370072487</v>
      </c>
      <c r="K973" s="1" t="s">
        <v>79</v>
      </c>
      <c r="L973" s="1" t="s">
        <v>17379</v>
      </c>
      <c r="M973" s="1" t="s">
        <v>81</v>
      </c>
      <c r="N973" s="1" t="s">
        <v>17380</v>
      </c>
      <c r="O973" s="1"/>
      <c r="P973" s="1" t="s">
        <v>1323</v>
      </c>
      <c r="Q973" s="1" t="s">
        <v>17381</v>
      </c>
      <c r="R973" s="1" t="s">
        <v>17382</v>
      </c>
      <c r="S973" s="1">
        <v>9437164912</v>
      </c>
      <c r="T973" s="1" t="s">
        <v>496</v>
      </c>
      <c r="U973" s="1" t="s">
        <v>17383</v>
      </c>
      <c r="V973" s="1">
        <v>9439042314</v>
      </c>
      <c r="W973" s="1" t="s">
        <v>716</v>
      </c>
      <c r="X973" s="1" t="s">
        <v>17384</v>
      </c>
      <c r="Y973" s="1" t="s">
        <v>2096</v>
      </c>
      <c r="Z973" s="1" t="s">
        <v>1731</v>
      </c>
      <c r="AA973" s="1" t="s">
        <v>17384</v>
      </c>
      <c r="AB973" s="1" t="s">
        <v>2096</v>
      </c>
      <c r="AC973" s="1" t="s">
        <v>1731</v>
      </c>
      <c r="AD973" s="1">
        <v>8.9</v>
      </c>
      <c r="AE973" s="1" t="s">
        <v>93</v>
      </c>
      <c r="AF973" s="1" t="s">
        <v>17385</v>
      </c>
      <c r="AG973" s="1" t="s">
        <v>1152</v>
      </c>
      <c r="AH973" s="1" t="s">
        <v>195</v>
      </c>
      <c r="AI973" s="1" t="s">
        <v>166</v>
      </c>
      <c r="AJ973" s="1">
        <v>70.16</v>
      </c>
      <c r="AK973" s="1"/>
      <c r="AL973" s="1" t="s">
        <v>17385</v>
      </c>
      <c r="AM973" s="1" t="s">
        <v>1152</v>
      </c>
      <c r="AN973" s="1" t="s">
        <v>433</v>
      </c>
      <c r="AO973" s="1" t="s">
        <v>173</v>
      </c>
      <c r="AP973" s="1">
        <v>52.2</v>
      </c>
      <c r="AQ973" s="1"/>
      <c r="AR973" s="1"/>
      <c r="AS973" s="1"/>
      <c r="AT973" s="1"/>
      <c r="AU973" s="1"/>
      <c r="AV973" s="1"/>
      <c r="AW973" s="1"/>
      <c r="AX973" s="1" t="s">
        <v>17386</v>
      </c>
      <c r="AY973" s="1" t="s">
        <v>17387</v>
      </c>
      <c r="AZ973" s="1" t="s">
        <v>170</v>
      </c>
      <c r="BA973" s="1" t="s">
        <v>10140</v>
      </c>
      <c r="BB973" s="1">
        <v>85.76</v>
      </c>
      <c r="BC973" s="1"/>
      <c r="BD973" s="1"/>
      <c r="BE973" s="1"/>
      <c r="BF973" s="1"/>
      <c r="BG973" s="1"/>
      <c r="BH973" s="1"/>
      <c r="BI973" s="1"/>
      <c r="BJ973" s="1" t="s">
        <v>17388</v>
      </c>
      <c r="BK973" s="1" t="s">
        <v>17389</v>
      </c>
      <c r="BL973" s="1" t="s">
        <v>2888</v>
      </c>
      <c r="BM973" s="1" t="s">
        <v>17390</v>
      </c>
      <c r="BN973" s="1">
        <v>25</v>
      </c>
      <c r="BO973" s="1" t="s">
        <v>17391</v>
      </c>
      <c r="BP973" s="1" t="str">
        <f>HYPERLINK("https://nconnect.nicmar.ac.in/storage/profile/ProfilePhoto_P25703038_123479.jpg","Download")</f>
        <v>0</v>
      </c>
      <c r="BQ973" s="3"/>
      <c r="BR973" s="3"/>
    </row>
    <row r="974" spans="1:70">
      <c r="A974" s="1" t="s">
        <v>552</v>
      </c>
      <c r="B974" s="1" t="s">
        <v>1269</v>
      </c>
      <c r="C974" s="1" t="s">
        <v>17392</v>
      </c>
      <c r="D974" s="1" t="s">
        <v>10485</v>
      </c>
      <c r="E974" s="1" t="s">
        <v>971</v>
      </c>
      <c r="F974" s="1" t="s">
        <v>10624</v>
      </c>
      <c r="G974" s="1" t="s">
        <v>17393</v>
      </c>
      <c r="H974" s="1" t="s">
        <v>17394</v>
      </c>
      <c r="I974" s="1" t="s">
        <v>17395</v>
      </c>
      <c r="J974" s="1">
        <v>9860624106</v>
      </c>
      <c r="K974" s="1" t="s">
        <v>148</v>
      </c>
      <c r="L974" s="1" t="s">
        <v>17396</v>
      </c>
      <c r="M974" s="1" t="s">
        <v>81</v>
      </c>
      <c r="N974" s="1" t="s">
        <v>1418</v>
      </c>
      <c r="O974" s="1"/>
      <c r="P974" s="1" t="s">
        <v>1278</v>
      </c>
      <c r="Q974" s="1" t="s">
        <v>17397</v>
      </c>
      <c r="R974" s="1" t="s">
        <v>17398</v>
      </c>
      <c r="S974" s="1">
        <v>9657535247</v>
      </c>
      <c r="T974" s="1" t="s">
        <v>17399</v>
      </c>
      <c r="U974" s="1" t="s">
        <v>17400</v>
      </c>
      <c r="V974" s="1">
        <v>9421880152</v>
      </c>
      <c r="W974" s="1" t="s">
        <v>3344</v>
      </c>
      <c r="X974" s="1" t="s">
        <v>17401</v>
      </c>
      <c r="Y974" s="1" t="s">
        <v>1424</v>
      </c>
      <c r="Z974" s="1" t="s">
        <v>92</v>
      </c>
      <c r="AA974" s="1" t="s">
        <v>17401</v>
      </c>
      <c r="AB974" s="1" t="s">
        <v>1424</v>
      </c>
      <c r="AC974" s="1" t="s">
        <v>92</v>
      </c>
      <c r="AD974" s="1">
        <v>7.5</v>
      </c>
      <c r="AE974" s="1" t="s">
        <v>93</v>
      </c>
      <c r="AF974" s="1" t="s">
        <v>1831</v>
      </c>
      <c r="AG974" s="1" t="s">
        <v>17402</v>
      </c>
      <c r="AH974" s="1" t="s">
        <v>162</v>
      </c>
      <c r="AI974" s="1" t="s">
        <v>165</v>
      </c>
      <c r="AJ974" s="1">
        <v>76.8</v>
      </c>
      <c r="AK974" s="1">
        <v>8.4</v>
      </c>
      <c r="AL974" s="1" t="s">
        <v>17403</v>
      </c>
      <c r="AM974" s="1" t="s">
        <v>17404</v>
      </c>
      <c r="AN974" s="1" t="s">
        <v>101</v>
      </c>
      <c r="AO974" s="1" t="s">
        <v>198</v>
      </c>
      <c r="AP974" s="1">
        <v>63.38</v>
      </c>
      <c r="AQ974" s="1"/>
      <c r="AR974" s="1"/>
      <c r="AS974" s="1"/>
      <c r="AT974" s="1"/>
      <c r="AU974" s="1"/>
      <c r="AV974" s="1"/>
      <c r="AW974" s="1"/>
      <c r="AX974" s="1" t="s">
        <v>410</v>
      </c>
      <c r="AY974" s="1" t="s">
        <v>17405</v>
      </c>
      <c r="AZ974" s="1" t="s">
        <v>201</v>
      </c>
      <c r="BA974" s="1" t="s">
        <v>229</v>
      </c>
      <c r="BB974" s="1">
        <v>69.9</v>
      </c>
      <c r="BC974" s="1">
        <v>7.74</v>
      </c>
      <c r="BD974" s="1"/>
      <c r="BE974" s="1"/>
      <c r="BF974" s="1"/>
      <c r="BG974" s="1"/>
      <c r="BH974" s="1"/>
      <c r="BI974" s="1"/>
      <c r="BJ974" s="1" t="s">
        <v>17406</v>
      </c>
      <c r="BK974" s="1"/>
      <c r="BL974" s="1"/>
      <c r="BM974" s="1"/>
      <c r="BN974" s="1"/>
      <c r="BO974" s="1"/>
      <c r="BP974" s="1" t="str">
        <f>HYPERLINK("https://nconnect.nicmar.ac.in/storage/profile/ProfilePhoto_P25703039_812957.jpg","Download")</f>
        <v>0</v>
      </c>
      <c r="BQ974" s="3"/>
      <c r="BR974" s="3"/>
    </row>
    <row r="975" spans="1:70">
      <c r="A975" s="1" t="s">
        <v>552</v>
      </c>
      <c r="B975" s="1" t="s">
        <v>1269</v>
      </c>
      <c r="C975" s="1" t="s">
        <v>17407</v>
      </c>
      <c r="D975" s="1" t="s">
        <v>17408</v>
      </c>
      <c r="E975" s="1" t="s">
        <v>17409</v>
      </c>
      <c r="F975" s="1" t="s">
        <v>17410</v>
      </c>
      <c r="G975" s="1" t="s">
        <v>17411</v>
      </c>
      <c r="H975" s="1" t="s">
        <v>17412</v>
      </c>
      <c r="I975" s="1" t="s">
        <v>17413</v>
      </c>
      <c r="J975" s="1">
        <v>8698771216</v>
      </c>
      <c r="K975" s="1" t="s">
        <v>79</v>
      </c>
      <c r="L975" s="1" t="s">
        <v>17414</v>
      </c>
      <c r="M975" s="1" t="s">
        <v>81</v>
      </c>
      <c r="N975" s="1" t="s">
        <v>1986</v>
      </c>
      <c r="O975" s="1"/>
      <c r="P975" s="1" t="s">
        <v>1278</v>
      </c>
      <c r="Q975" s="1" t="s">
        <v>17415</v>
      </c>
      <c r="R975" s="1" t="s">
        <v>17416</v>
      </c>
      <c r="S975" s="1">
        <v>8329206277</v>
      </c>
      <c r="T975" s="1" t="s">
        <v>1398</v>
      </c>
      <c r="U975" s="1" t="s">
        <v>17417</v>
      </c>
      <c r="V975" s="1">
        <v>9604238948</v>
      </c>
      <c r="W975" s="1" t="s">
        <v>156</v>
      </c>
      <c r="X975" s="1" t="s">
        <v>17418</v>
      </c>
      <c r="Y975" s="1" t="s">
        <v>191</v>
      </c>
      <c r="Z975" s="1" t="s">
        <v>92</v>
      </c>
      <c r="AA975" s="1" t="s">
        <v>17419</v>
      </c>
      <c r="AB975" s="1" t="s">
        <v>5915</v>
      </c>
      <c r="AC975" s="1" t="s">
        <v>92</v>
      </c>
      <c r="AD975" s="1">
        <v>7.84</v>
      </c>
      <c r="AE975" s="1" t="s">
        <v>93</v>
      </c>
      <c r="AF975" s="1" t="s">
        <v>17420</v>
      </c>
      <c r="AG975" s="1" t="s">
        <v>17421</v>
      </c>
      <c r="AH975" s="1" t="s">
        <v>281</v>
      </c>
      <c r="AI975" s="1" t="s">
        <v>409</v>
      </c>
      <c r="AJ975" s="1">
        <v>87.2</v>
      </c>
      <c r="AK975" s="1"/>
      <c r="AL975" s="1" t="s">
        <v>17422</v>
      </c>
      <c r="AM975" s="1" t="s">
        <v>17423</v>
      </c>
      <c r="AN975" s="1" t="s">
        <v>941</v>
      </c>
      <c r="AO975" s="1" t="s">
        <v>504</v>
      </c>
      <c r="AP975" s="1">
        <v>84.33</v>
      </c>
      <c r="AQ975" s="1"/>
      <c r="AR975" s="1"/>
      <c r="AS975" s="1"/>
      <c r="AT975" s="1"/>
      <c r="AU975" s="1"/>
      <c r="AV975" s="1"/>
      <c r="AW975" s="1"/>
      <c r="AX975" s="1" t="s">
        <v>361</v>
      </c>
      <c r="AY975" s="1" t="s">
        <v>17424</v>
      </c>
      <c r="AZ975" s="1" t="s">
        <v>436</v>
      </c>
      <c r="BA975" s="1" t="s">
        <v>202</v>
      </c>
      <c r="BB975" s="1">
        <v>74.6</v>
      </c>
      <c r="BC975" s="1">
        <v>8.3</v>
      </c>
      <c r="BD975" s="1"/>
      <c r="BE975" s="1"/>
      <c r="BF975" s="1"/>
      <c r="BG975" s="1"/>
      <c r="BH975" s="1"/>
      <c r="BI975" s="1"/>
      <c r="BJ975" s="1" t="s">
        <v>17425</v>
      </c>
      <c r="BK975" s="1"/>
      <c r="BL975" s="1"/>
      <c r="BM975" s="1" t="s">
        <v>17426</v>
      </c>
      <c r="BN975" s="1">
        <v>7</v>
      </c>
      <c r="BO975" s="1" t="s">
        <v>17427</v>
      </c>
      <c r="BP975" s="1" t="str">
        <f>HYPERLINK("https://nconnect.nicmar.ac.in/storage/profile/ProfilePhoto_P25703040_795461.jpg","Download")</f>
        <v>0</v>
      </c>
      <c r="BQ975" s="3"/>
      <c r="BR975" s="3"/>
    </row>
    <row r="976" spans="1:70">
      <c r="A976" s="1" t="s">
        <v>552</v>
      </c>
      <c r="B976" s="1" t="s">
        <v>1269</v>
      </c>
      <c r="C976" s="1" t="s">
        <v>17428</v>
      </c>
      <c r="D976" s="1" t="s">
        <v>11611</v>
      </c>
      <c r="E976" s="1" t="s">
        <v>3297</v>
      </c>
      <c r="F976" s="1" t="s">
        <v>17429</v>
      </c>
      <c r="G976" s="1" t="s">
        <v>17430</v>
      </c>
      <c r="H976" s="1" t="s">
        <v>17431</v>
      </c>
      <c r="I976" s="1" t="s">
        <v>17432</v>
      </c>
      <c r="J976" s="1">
        <v>8109609982</v>
      </c>
      <c r="K976" s="1" t="s">
        <v>148</v>
      </c>
      <c r="L976" s="1" t="s">
        <v>17433</v>
      </c>
      <c r="M976" s="1" t="s">
        <v>81</v>
      </c>
      <c r="N976" s="1" t="s">
        <v>4965</v>
      </c>
      <c r="O976" s="1"/>
      <c r="P976" s="1" t="s">
        <v>1278</v>
      </c>
      <c r="Q976" s="1" t="s">
        <v>17434</v>
      </c>
      <c r="R976" s="1" t="s">
        <v>17435</v>
      </c>
      <c r="S976" s="1">
        <v>8319708262</v>
      </c>
      <c r="T976" s="1" t="s">
        <v>17436</v>
      </c>
      <c r="U976" s="1" t="s">
        <v>17437</v>
      </c>
      <c r="V976" s="1">
        <v>9826709888</v>
      </c>
      <c r="W976" s="1" t="s">
        <v>89</v>
      </c>
      <c r="X976" s="1" t="s">
        <v>17438</v>
      </c>
      <c r="Y976" s="1" t="s">
        <v>3744</v>
      </c>
      <c r="Z976" s="1" t="s">
        <v>1237</v>
      </c>
      <c r="AA976" s="1" t="s">
        <v>17438</v>
      </c>
      <c r="AB976" s="1" t="s">
        <v>3744</v>
      </c>
      <c r="AC976" s="1" t="s">
        <v>1237</v>
      </c>
      <c r="AD976" s="1">
        <v>8.33</v>
      </c>
      <c r="AE976" s="1" t="s">
        <v>93</v>
      </c>
      <c r="AF976" s="1" t="s">
        <v>17439</v>
      </c>
      <c r="AG976" s="1" t="s">
        <v>17440</v>
      </c>
      <c r="AH976" s="1" t="s">
        <v>1307</v>
      </c>
      <c r="AI976" s="1" t="s">
        <v>308</v>
      </c>
      <c r="AJ976" s="1">
        <v>90.6</v>
      </c>
      <c r="AK976" s="1"/>
      <c r="AL976" s="1" t="s">
        <v>17439</v>
      </c>
      <c r="AM976" s="1" t="s">
        <v>17440</v>
      </c>
      <c r="AN976" s="1" t="s">
        <v>1833</v>
      </c>
      <c r="AO976" s="1" t="s">
        <v>506</v>
      </c>
      <c r="AP976" s="1">
        <v>95</v>
      </c>
      <c r="AQ976" s="1"/>
      <c r="AR976" s="1"/>
      <c r="AS976" s="1"/>
      <c r="AT976" s="1"/>
      <c r="AU976" s="1"/>
      <c r="AV976" s="1"/>
      <c r="AW976" s="1"/>
      <c r="AX976" s="1" t="s">
        <v>17441</v>
      </c>
      <c r="AY976" s="1" t="s">
        <v>17442</v>
      </c>
      <c r="AZ976" s="1" t="s">
        <v>436</v>
      </c>
      <c r="BA976" s="1" t="s">
        <v>702</v>
      </c>
      <c r="BB976" s="1">
        <v>64.83</v>
      </c>
      <c r="BC976" s="1"/>
      <c r="BD976" s="1"/>
      <c r="BE976" s="1"/>
      <c r="BF976" s="1"/>
      <c r="BG976" s="1"/>
      <c r="BH976" s="1"/>
      <c r="BI976" s="1"/>
      <c r="BJ976" s="1" t="s">
        <v>734</v>
      </c>
      <c r="BK976" s="1"/>
      <c r="BL976" s="1"/>
      <c r="BM976" s="1"/>
      <c r="BN976" s="1"/>
      <c r="BO976" s="1"/>
      <c r="BP976" s="1" t="str">
        <f>HYPERLINK("https://nconnect.nicmar.ac.in/storage/profile/ProfilePhoto_P25703041_689342.jpg","Download")</f>
        <v>0</v>
      </c>
      <c r="BQ976" s="3"/>
      <c r="BR976" s="3"/>
    </row>
    <row r="977" spans="1:70">
      <c r="A977" s="1" t="s">
        <v>552</v>
      </c>
      <c r="B977" s="1" t="s">
        <v>1269</v>
      </c>
      <c r="C977" s="1" t="s">
        <v>17443</v>
      </c>
      <c r="D977" s="1" t="s">
        <v>4328</v>
      </c>
      <c r="E977" s="1" t="s">
        <v>513</v>
      </c>
      <c r="F977" s="1" t="s">
        <v>903</v>
      </c>
      <c r="G977" s="1" t="s">
        <v>17444</v>
      </c>
      <c r="H977" s="1" t="s">
        <v>17445</v>
      </c>
      <c r="I977" s="1" t="s">
        <v>17446</v>
      </c>
      <c r="J977" s="1">
        <v>9823231523</v>
      </c>
      <c r="K977" s="1" t="s">
        <v>79</v>
      </c>
      <c r="L977" s="1" t="s">
        <v>17447</v>
      </c>
      <c r="M977" s="1" t="s">
        <v>81</v>
      </c>
      <c r="N977" s="1" t="s">
        <v>2293</v>
      </c>
      <c r="O977" s="1"/>
      <c r="P977" s="1" t="s">
        <v>1278</v>
      </c>
      <c r="Q977" s="1" t="s">
        <v>17448</v>
      </c>
      <c r="R977" s="1" t="s">
        <v>17449</v>
      </c>
      <c r="S977" s="1">
        <v>8806982424</v>
      </c>
      <c r="T977" s="1" t="s">
        <v>496</v>
      </c>
      <c r="U977" s="1" t="s">
        <v>17450</v>
      </c>
      <c r="V977" s="1">
        <v>8806424244</v>
      </c>
      <c r="W977" s="1" t="s">
        <v>156</v>
      </c>
      <c r="X977" s="1" t="s">
        <v>17451</v>
      </c>
      <c r="Y977" s="1" t="s">
        <v>2786</v>
      </c>
      <c r="Z977" s="1" t="s">
        <v>92</v>
      </c>
      <c r="AA977" s="1" t="s">
        <v>17451</v>
      </c>
      <c r="AB977" s="1" t="s">
        <v>2786</v>
      </c>
      <c r="AC977" s="1" t="s">
        <v>92</v>
      </c>
      <c r="AD977" s="1">
        <v>7.78</v>
      </c>
      <c r="AE977" s="1" t="s">
        <v>93</v>
      </c>
      <c r="AF977" s="1" t="s">
        <v>17452</v>
      </c>
      <c r="AG977" s="1" t="s">
        <v>307</v>
      </c>
      <c r="AH977" s="1" t="s">
        <v>166</v>
      </c>
      <c r="AI977" s="1" t="s">
        <v>308</v>
      </c>
      <c r="AJ977" s="1">
        <v>85.2</v>
      </c>
      <c r="AK977" s="1"/>
      <c r="AL977" s="1" t="s">
        <v>17453</v>
      </c>
      <c r="AM977" s="1" t="s">
        <v>307</v>
      </c>
      <c r="AN977" s="1" t="s">
        <v>173</v>
      </c>
      <c r="AO977" s="1" t="s">
        <v>506</v>
      </c>
      <c r="AP977" s="1">
        <v>74.6</v>
      </c>
      <c r="AQ977" s="1"/>
      <c r="AR977" s="1"/>
      <c r="AS977" s="1"/>
      <c r="AT977" s="1"/>
      <c r="AU977" s="1"/>
      <c r="AV977" s="1"/>
      <c r="AW977" s="1"/>
      <c r="AX977" s="1" t="s">
        <v>1891</v>
      </c>
      <c r="AY977" s="1" t="s">
        <v>2789</v>
      </c>
      <c r="AZ977" s="1" t="s">
        <v>436</v>
      </c>
      <c r="BA977" s="1" t="s">
        <v>1714</v>
      </c>
      <c r="BB977" s="1">
        <v>65.4</v>
      </c>
      <c r="BC977" s="1">
        <v>7.04</v>
      </c>
      <c r="BD977" s="1"/>
      <c r="BE977" s="1"/>
      <c r="BF977" s="1"/>
      <c r="BG977" s="1"/>
      <c r="BH977" s="1"/>
      <c r="BI977" s="1"/>
      <c r="BJ977" s="1" t="s">
        <v>17454</v>
      </c>
      <c r="BK977" s="1"/>
      <c r="BL977" s="1"/>
      <c r="BM977" s="1" t="s">
        <v>17455</v>
      </c>
      <c r="BN977" s="1">
        <v>27</v>
      </c>
      <c r="BO977" s="1" t="s">
        <v>17456</v>
      </c>
      <c r="BP977" s="1" t="str">
        <f>HYPERLINK("https://nconnect.nicmar.ac.in/storage/profile/ProfilePhoto_P25703042_139468.jpg","Download")</f>
        <v>0</v>
      </c>
      <c r="BQ977" s="3"/>
      <c r="BR977" s="3"/>
    </row>
    <row r="978" spans="1:70">
      <c r="A978" s="1" t="s">
        <v>552</v>
      </c>
      <c r="B978" s="1" t="s">
        <v>1269</v>
      </c>
      <c r="C978" s="1" t="s">
        <v>17457</v>
      </c>
      <c r="D978" s="1" t="s">
        <v>17458</v>
      </c>
      <c r="E978" s="1"/>
      <c r="F978" s="1" t="s">
        <v>13218</v>
      </c>
      <c r="G978" s="1" t="s">
        <v>17459</v>
      </c>
      <c r="H978" s="1" t="s">
        <v>17460</v>
      </c>
      <c r="I978" s="1" t="s">
        <v>17461</v>
      </c>
      <c r="J978" s="1">
        <v>9746022021</v>
      </c>
      <c r="K978" s="1" t="s">
        <v>79</v>
      </c>
      <c r="L978" s="1" t="s">
        <v>17462</v>
      </c>
      <c r="M978" s="1" t="s">
        <v>81</v>
      </c>
      <c r="N978" s="1" t="s">
        <v>2453</v>
      </c>
      <c r="O978" s="1" t="s">
        <v>17463</v>
      </c>
      <c r="P978" s="1" t="s">
        <v>2505</v>
      </c>
      <c r="Q978" s="1" t="s">
        <v>17464</v>
      </c>
      <c r="R978" s="1" t="s">
        <v>17465</v>
      </c>
      <c r="S978" s="1">
        <v>9447708526</v>
      </c>
      <c r="T978" s="1" t="s">
        <v>4421</v>
      </c>
      <c r="U978" s="1" t="s">
        <v>17466</v>
      </c>
      <c r="V978" s="1">
        <v>9446518526</v>
      </c>
      <c r="W978" s="1" t="s">
        <v>1351</v>
      </c>
      <c r="X978" s="1" t="s">
        <v>17467</v>
      </c>
      <c r="Y978" s="1" t="s">
        <v>1491</v>
      </c>
      <c r="Z978" s="1" t="s">
        <v>125</v>
      </c>
      <c r="AA978" s="1" t="s">
        <v>17467</v>
      </c>
      <c r="AB978" s="1" t="s">
        <v>1491</v>
      </c>
      <c r="AC978" s="1" t="s">
        <v>125</v>
      </c>
      <c r="AD978" s="1" t="s">
        <v>93</v>
      </c>
      <c r="AE978" s="1" t="s">
        <v>93</v>
      </c>
      <c r="AF978" s="1" t="s">
        <v>17468</v>
      </c>
      <c r="AG978" s="1" t="s">
        <v>9678</v>
      </c>
      <c r="AH978" s="1" t="s">
        <v>161</v>
      </c>
      <c r="AI978" s="1" t="s">
        <v>527</v>
      </c>
      <c r="AJ978" s="1">
        <v>85.5</v>
      </c>
      <c r="AK978" s="1">
        <v>9</v>
      </c>
      <c r="AL978" s="1" t="s">
        <v>17469</v>
      </c>
      <c r="AM978" s="1" t="s">
        <v>17470</v>
      </c>
      <c r="AN978" s="1" t="s">
        <v>162</v>
      </c>
      <c r="AO978" s="1" t="s">
        <v>166</v>
      </c>
      <c r="AP978" s="1">
        <v>71.41</v>
      </c>
      <c r="AQ978" s="1"/>
      <c r="AR978" s="1"/>
      <c r="AS978" s="1"/>
      <c r="AT978" s="1"/>
      <c r="AU978" s="1"/>
      <c r="AV978" s="1"/>
      <c r="AW978" s="1"/>
      <c r="AX978" s="1" t="s">
        <v>17471</v>
      </c>
      <c r="AY978" s="1" t="s">
        <v>17472</v>
      </c>
      <c r="AZ978" s="1" t="s">
        <v>101</v>
      </c>
      <c r="BA978" s="1" t="s">
        <v>135</v>
      </c>
      <c r="BB978" s="1">
        <v>64.8</v>
      </c>
      <c r="BC978" s="1"/>
      <c r="BD978" s="1" t="s">
        <v>17473</v>
      </c>
      <c r="BE978" s="1" t="s">
        <v>17474</v>
      </c>
      <c r="BF978" s="1" t="s">
        <v>135</v>
      </c>
      <c r="BG978" s="1" t="s">
        <v>702</v>
      </c>
      <c r="BH978" s="1">
        <v>63.6</v>
      </c>
      <c r="BI978" s="1"/>
      <c r="BJ978" s="1" t="s">
        <v>17475</v>
      </c>
      <c r="BK978" s="1"/>
      <c r="BL978" s="1"/>
      <c r="BM978" s="1" t="s">
        <v>17476</v>
      </c>
      <c r="BN978" s="1">
        <v>39</v>
      </c>
      <c r="BO978" s="1" t="s">
        <v>17477</v>
      </c>
      <c r="BP978" s="1" t="str">
        <f>HYPERLINK("https://nconnect.nicmar.ac.in/storage/profile/ProfilePhoto_P25703043_964875.jpg","Download")</f>
        <v>0</v>
      </c>
      <c r="BQ978" s="3"/>
      <c r="BR978" s="3"/>
    </row>
    <row r="979" spans="1:70">
      <c r="A979" s="1" t="s">
        <v>552</v>
      </c>
      <c r="B979" s="1" t="s">
        <v>1269</v>
      </c>
      <c r="C979" s="1" t="s">
        <v>17478</v>
      </c>
      <c r="D979" s="1" t="s">
        <v>1117</v>
      </c>
      <c r="E979" s="1" t="s">
        <v>17479</v>
      </c>
      <c r="F979" s="1" t="s">
        <v>17480</v>
      </c>
      <c r="G979" s="1" t="s">
        <v>17481</v>
      </c>
      <c r="H979" s="1" t="s">
        <v>17482</v>
      </c>
      <c r="I979" s="1" t="s">
        <v>17483</v>
      </c>
      <c r="J979" s="1">
        <v>9372846400</v>
      </c>
      <c r="K979" s="1" t="s">
        <v>79</v>
      </c>
      <c r="L979" s="1" t="s">
        <v>17484</v>
      </c>
      <c r="M979" s="1" t="s">
        <v>81</v>
      </c>
      <c r="N979" s="1" t="s">
        <v>2293</v>
      </c>
      <c r="O979" s="1"/>
      <c r="P979" s="1" t="s">
        <v>1323</v>
      </c>
      <c r="Q979" s="1" t="s">
        <v>17485</v>
      </c>
      <c r="R979" s="1" t="s">
        <v>17479</v>
      </c>
      <c r="S979" s="1">
        <v>9324268446</v>
      </c>
      <c r="T979" s="1" t="s">
        <v>496</v>
      </c>
      <c r="U979" s="1" t="s">
        <v>3472</v>
      </c>
      <c r="V979" s="1">
        <v>9619699637</v>
      </c>
      <c r="W979" s="1" t="s">
        <v>651</v>
      </c>
      <c r="X979" s="1" t="s">
        <v>17486</v>
      </c>
      <c r="Y979" s="1" t="s">
        <v>191</v>
      </c>
      <c r="Z979" s="1" t="s">
        <v>92</v>
      </c>
      <c r="AA979" s="1" t="s">
        <v>17486</v>
      </c>
      <c r="AB979" s="1" t="s">
        <v>191</v>
      </c>
      <c r="AC979" s="1" t="s">
        <v>92</v>
      </c>
      <c r="AD979" s="1" t="s">
        <v>93</v>
      </c>
      <c r="AE979" s="1" t="s">
        <v>93</v>
      </c>
      <c r="AF979" s="1" t="s">
        <v>17487</v>
      </c>
      <c r="AG979" s="1" t="s">
        <v>17488</v>
      </c>
      <c r="AH979" s="1" t="s">
        <v>1307</v>
      </c>
      <c r="AI979" s="1" t="s">
        <v>409</v>
      </c>
      <c r="AJ979" s="1">
        <v>64</v>
      </c>
      <c r="AK979" s="1"/>
      <c r="AL979" s="1" t="s">
        <v>701</v>
      </c>
      <c r="AM979" s="1" t="s">
        <v>17489</v>
      </c>
      <c r="AN979" s="1" t="s">
        <v>173</v>
      </c>
      <c r="AO979" s="1" t="s">
        <v>436</v>
      </c>
      <c r="AP979" s="1">
        <v>75.83</v>
      </c>
      <c r="AQ979" s="1"/>
      <c r="AR979" s="1"/>
      <c r="AS979" s="1"/>
      <c r="AT979" s="1"/>
      <c r="AU979" s="1"/>
      <c r="AV979" s="1"/>
      <c r="AW979" s="1"/>
      <c r="AX979" s="1" t="s">
        <v>10157</v>
      </c>
      <c r="AY979" s="1" t="s">
        <v>17490</v>
      </c>
      <c r="AZ979" s="1" t="s">
        <v>1131</v>
      </c>
      <c r="BA979" s="1" t="s">
        <v>3158</v>
      </c>
      <c r="BB979" s="1">
        <v>58</v>
      </c>
      <c r="BC979" s="1">
        <v>7.79</v>
      </c>
      <c r="BD979" s="1"/>
      <c r="BE979" s="1"/>
      <c r="BF979" s="1"/>
      <c r="BG979" s="1"/>
      <c r="BH979" s="1"/>
      <c r="BI979" s="1"/>
      <c r="BJ979" s="1" t="s">
        <v>17491</v>
      </c>
      <c r="BK979" s="1"/>
      <c r="BL979" s="1"/>
      <c r="BM979" s="1" t="s">
        <v>17492</v>
      </c>
      <c r="BN979" s="1">
        <v>50</v>
      </c>
      <c r="BO979" s="1" t="s">
        <v>17493</v>
      </c>
      <c r="BP979" s="1" t="str">
        <f>HYPERLINK("https://nconnect.nicmar.ac.in/storage/profile/ProfilePhoto_P25703044_175329.jpg","Download")</f>
        <v>0</v>
      </c>
      <c r="BQ979" s="3"/>
      <c r="BR979" s="3"/>
    </row>
    <row r="980" spans="1:70">
      <c r="A980" s="1" t="s">
        <v>552</v>
      </c>
      <c r="B980" s="1" t="s">
        <v>1269</v>
      </c>
      <c r="C980" s="1" t="s">
        <v>17494</v>
      </c>
      <c r="D980" s="1" t="s">
        <v>17495</v>
      </c>
      <c r="E980" s="1"/>
      <c r="F980" s="1" t="s">
        <v>17496</v>
      </c>
      <c r="G980" s="1" t="s">
        <v>17497</v>
      </c>
      <c r="H980" s="1" t="s">
        <v>17498</v>
      </c>
      <c r="I980" s="1" t="s">
        <v>17499</v>
      </c>
      <c r="J980" s="1">
        <v>9024276546</v>
      </c>
      <c r="K980" s="1" t="s">
        <v>148</v>
      </c>
      <c r="L980" s="1" t="s">
        <v>17500</v>
      </c>
      <c r="M980" s="1" t="s">
        <v>81</v>
      </c>
      <c r="N980" s="1" t="s">
        <v>241</v>
      </c>
      <c r="O980" s="1"/>
      <c r="P980" s="1" t="s">
        <v>1298</v>
      </c>
      <c r="Q980" s="1" t="s">
        <v>17501</v>
      </c>
      <c r="R980" s="1" t="s">
        <v>17502</v>
      </c>
      <c r="S980" s="1">
        <v>9523278702</v>
      </c>
      <c r="T980" s="1" t="s">
        <v>17503</v>
      </c>
      <c r="U980" s="1" t="s">
        <v>17504</v>
      </c>
      <c r="V980" s="1">
        <v>9155061866</v>
      </c>
      <c r="W980" s="1" t="s">
        <v>273</v>
      </c>
      <c r="X980" s="1" t="s">
        <v>17505</v>
      </c>
      <c r="Y980" s="1" t="s">
        <v>191</v>
      </c>
      <c r="Z980" s="1" t="s">
        <v>92</v>
      </c>
      <c r="AA980" s="1" t="s">
        <v>17506</v>
      </c>
      <c r="AB980" s="1" t="s">
        <v>17507</v>
      </c>
      <c r="AC980" s="1" t="s">
        <v>867</v>
      </c>
      <c r="AD980" s="1">
        <v>8.31</v>
      </c>
      <c r="AE980" s="1" t="s">
        <v>93</v>
      </c>
      <c r="AF980" s="1" t="s">
        <v>17508</v>
      </c>
      <c r="AG980" s="1" t="s">
        <v>17509</v>
      </c>
      <c r="AH980" s="1" t="s">
        <v>162</v>
      </c>
      <c r="AI980" s="1" t="s">
        <v>165</v>
      </c>
      <c r="AJ980" s="1">
        <v>85.5</v>
      </c>
      <c r="AK980" s="1">
        <v>9</v>
      </c>
      <c r="AL980" s="1" t="s">
        <v>17510</v>
      </c>
      <c r="AM980" s="1" t="s">
        <v>17509</v>
      </c>
      <c r="AN980" s="1" t="s">
        <v>101</v>
      </c>
      <c r="AO980" s="1" t="s">
        <v>3663</v>
      </c>
      <c r="AP980" s="1">
        <v>58.6</v>
      </c>
      <c r="AQ980" s="1"/>
      <c r="AR980" s="1"/>
      <c r="AS980" s="1"/>
      <c r="AT980" s="1"/>
      <c r="AU980" s="1"/>
      <c r="AV980" s="1"/>
      <c r="AW980" s="1"/>
      <c r="AX980" s="1" t="s">
        <v>17511</v>
      </c>
      <c r="AY980" s="1" t="s">
        <v>17512</v>
      </c>
      <c r="AZ980" s="1" t="s">
        <v>920</v>
      </c>
      <c r="BA980" s="1" t="s">
        <v>202</v>
      </c>
      <c r="BB980" s="1">
        <v>83.2</v>
      </c>
      <c r="BC980" s="1">
        <v>8.82</v>
      </c>
      <c r="BD980" s="1"/>
      <c r="BE980" s="1"/>
      <c r="BF980" s="1"/>
      <c r="BG980" s="1"/>
      <c r="BH980" s="1"/>
      <c r="BI980" s="1"/>
      <c r="BJ980" s="1" t="s">
        <v>17513</v>
      </c>
      <c r="BK980" s="1"/>
      <c r="BL980" s="1"/>
      <c r="BM980" s="1" t="s">
        <v>17514</v>
      </c>
      <c r="BN980" s="1">
        <v>16</v>
      </c>
      <c r="BO980" s="1" t="s">
        <v>17515</v>
      </c>
      <c r="BP980" s="1" t="str">
        <f>HYPERLINK("https://nconnect.nicmar.ac.in/storage/profile/ProfilePhoto_P25703045_971483.jpg","Download")</f>
        <v>0</v>
      </c>
      <c r="BQ980" s="3"/>
      <c r="BR980" s="3"/>
    </row>
    <row r="981" spans="1:70">
      <c r="A981" s="1" t="s">
        <v>552</v>
      </c>
      <c r="B981" s="1" t="s">
        <v>1269</v>
      </c>
      <c r="C981" s="1" t="s">
        <v>17516</v>
      </c>
      <c r="D981" s="1" t="s">
        <v>2127</v>
      </c>
      <c r="E981" s="1"/>
      <c r="F981" s="1" t="s">
        <v>17517</v>
      </c>
      <c r="G981" s="1" t="s">
        <v>17518</v>
      </c>
      <c r="H981" s="1" t="s">
        <v>17519</v>
      </c>
      <c r="I981" s="1" t="s">
        <v>17520</v>
      </c>
      <c r="J981" s="1">
        <v>6370492152</v>
      </c>
      <c r="K981" s="1" t="s">
        <v>79</v>
      </c>
      <c r="L981" s="1" t="s">
        <v>9023</v>
      </c>
      <c r="M981" s="1" t="s">
        <v>81</v>
      </c>
      <c r="N981" s="1" t="s">
        <v>2391</v>
      </c>
      <c r="O981" s="1"/>
      <c r="P981" s="1" t="s">
        <v>1278</v>
      </c>
      <c r="Q981" s="1" t="s">
        <v>17521</v>
      </c>
      <c r="R981" s="1" t="s">
        <v>17522</v>
      </c>
      <c r="S981" s="1">
        <v>9938822832</v>
      </c>
      <c r="T981" s="1" t="s">
        <v>122</v>
      </c>
      <c r="U981" s="1" t="s">
        <v>17523</v>
      </c>
      <c r="V981" s="1">
        <v>9178244590</v>
      </c>
      <c r="W981" s="1" t="s">
        <v>156</v>
      </c>
      <c r="X981" s="1" t="s">
        <v>17524</v>
      </c>
      <c r="Y981" s="1" t="s">
        <v>10190</v>
      </c>
      <c r="Z981" s="1" t="s">
        <v>1731</v>
      </c>
      <c r="AA981" s="1" t="s">
        <v>17524</v>
      </c>
      <c r="AB981" s="1" t="s">
        <v>10190</v>
      </c>
      <c r="AC981" s="1" t="s">
        <v>1731</v>
      </c>
      <c r="AD981" s="1">
        <v>7.42</v>
      </c>
      <c r="AE981" s="1" t="s">
        <v>93</v>
      </c>
      <c r="AF981" s="1" t="s">
        <v>17525</v>
      </c>
      <c r="AG981" s="1" t="s">
        <v>17526</v>
      </c>
      <c r="AH981" s="1" t="s">
        <v>733</v>
      </c>
      <c r="AI981" s="1" t="s">
        <v>166</v>
      </c>
      <c r="AJ981" s="1">
        <v>79.8</v>
      </c>
      <c r="AK981" s="1"/>
      <c r="AL981" s="1" t="s">
        <v>17525</v>
      </c>
      <c r="AM981" s="1" t="s">
        <v>17526</v>
      </c>
      <c r="AN981" s="1" t="s">
        <v>169</v>
      </c>
      <c r="AO981" s="1" t="s">
        <v>941</v>
      </c>
      <c r="AP981" s="1">
        <v>78.8</v>
      </c>
      <c r="AQ981" s="1"/>
      <c r="AR981" s="1"/>
      <c r="AS981" s="1"/>
      <c r="AT981" s="1"/>
      <c r="AU981" s="1"/>
      <c r="AV981" s="1"/>
      <c r="AW981" s="1"/>
      <c r="AX981" s="1" t="s">
        <v>10349</v>
      </c>
      <c r="AY981" s="1" t="s">
        <v>17527</v>
      </c>
      <c r="AZ981" s="1" t="s">
        <v>920</v>
      </c>
      <c r="BA981" s="1" t="s">
        <v>413</v>
      </c>
      <c r="BB981" s="1">
        <v>73.1</v>
      </c>
      <c r="BC981" s="1">
        <v>7.81</v>
      </c>
      <c r="BD981" s="1"/>
      <c r="BE981" s="1"/>
      <c r="BF981" s="1"/>
      <c r="BG981" s="1"/>
      <c r="BH981" s="1"/>
      <c r="BI981" s="1"/>
      <c r="BJ981" s="1" t="s">
        <v>17528</v>
      </c>
      <c r="BK981" s="1"/>
      <c r="BL981" s="1"/>
      <c r="BM981" s="1"/>
      <c r="BN981" s="1"/>
      <c r="BO981" s="1"/>
      <c r="BP981" s="1" t="str">
        <f>HYPERLINK("https://nconnect.nicmar.ac.in/storage/profile/ProfilePhoto_P25703046_682913.jpg","Download")</f>
        <v>0</v>
      </c>
      <c r="BQ981" s="3"/>
      <c r="BR981" s="3"/>
    </row>
    <row r="982" spans="1:70">
      <c r="A982" s="1" t="s">
        <v>552</v>
      </c>
      <c r="B982" s="1" t="s">
        <v>1269</v>
      </c>
      <c r="C982" s="1" t="s">
        <v>17529</v>
      </c>
      <c r="D982" s="1" t="s">
        <v>2793</v>
      </c>
      <c r="E982" s="1" t="s">
        <v>17530</v>
      </c>
      <c r="F982" s="1" t="s">
        <v>17531</v>
      </c>
      <c r="G982" s="1" t="s">
        <v>17532</v>
      </c>
      <c r="H982" s="1" t="s">
        <v>17533</v>
      </c>
      <c r="I982" s="1" t="s">
        <v>17534</v>
      </c>
      <c r="J982" s="1">
        <v>7848078191</v>
      </c>
      <c r="K982" s="1" t="s">
        <v>148</v>
      </c>
      <c r="L982" s="1" t="s">
        <v>17535</v>
      </c>
      <c r="M982" s="1" t="s">
        <v>81</v>
      </c>
      <c r="N982" s="1" t="s">
        <v>17536</v>
      </c>
      <c r="O982" s="1"/>
      <c r="P982" s="1" t="s">
        <v>1278</v>
      </c>
      <c r="Q982" s="1" t="s">
        <v>17537</v>
      </c>
      <c r="R982" s="1" t="s">
        <v>17538</v>
      </c>
      <c r="S982" s="1">
        <v>9040408070</v>
      </c>
      <c r="T982" s="1" t="s">
        <v>842</v>
      </c>
      <c r="U982" s="1" t="s">
        <v>17539</v>
      </c>
      <c r="V982" s="1">
        <v>7008432431</v>
      </c>
      <c r="W982" s="1" t="s">
        <v>89</v>
      </c>
      <c r="X982" s="1" t="s">
        <v>17540</v>
      </c>
      <c r="Y982" s="1" t="s">
        <v>5194</v>
      </c>
      <c r="Z982" s="1" t="s">
        <v>1731</v>
      </c>
      <c r="AA982" s="1" t="s">
        <v>17540</v>
      </c>
      <c r="AB982" s="1" t="s">
        <v>5194</v>
      </c>
      <c r="AC982" s="1" t="s">
        <v>1731</v>
      </c>
      <c r="AD982" s="1">
        <v>7.92</v>
      </c>
      <c r="AE982" s="1" t="s">
        <v>93</v>
      </c>
      <c r="AF982" s="1" t="s">
        <v>17541</v>
      </c>
      <c r="AG982" s="1" t="s">
        <v>17542</v>
      </c>
      <c r="AH982" s="1" t="s">
        <v>433</v>
      </c>
      <c r="AI982" s="1" t="s">
        <v>941</v>
      </c>
      <c r="AJ982" s="1">
        <v>68</v>
      </c>
      <c r="AK982" s="1">
        <v>0</v>
      </c>
      <c r="AL982" s="1" t="s">
        <v>17543</v>
      </c>
      <c r="AM982" s="1" t="s">
        <v>17544</v>
      </c>
      <c r="AN982" s="1" t="s">
        <v>1131</v>
      </c>
      <c r="AO982" s="1" t="s">
        <v>2687</v>
      </c>
      <c r="AP982" s="1">
        <v>81.6</v>
      </c>
      <c r="AQ982" s="1">
        <v>0</v>
      </c>
      <c r="AR982" s="1"/>
      <c r="AS982" s="1"/>
      <c r="AT982" s="1"/>
      <c r="AU982" s="1"/>
      <c r="AV982" s="1"/>
      <c r="AW982" s="1"/>
      <c r="AX982" s="1" t="s">
        <v>17545</v>
      </c>
      <c r="AY982" s="1" t="s">
        <v>17546</v>
      </c>
      <c r="AZ982" s="1" t="s">
        <v>874</v>
      </c>
      <c r="BA982" s="1" t="s">
        <v>9301</v>
      </c>
      <c r="BB982" s="1">
        <v>76.5</v>
      </c>
      <c r="BC982" s="1">
        <v>8.15</v>
      </c>
      <c r="BD982" s="1"/>
      <c r="BE982" s="1"/>
      <c r="BF982" s="1"/>
      <c r="BG982" s="1"/>
      <c r="BH982" s="1"/>
      <c r="BI982" s="1"/>
      <c r="BJ982" s="1" t="s">
        <v>734</v>
      </c>
      <c r="BK982" s="1"/>
      <c r="BL982" s="1"/>
      <c r="BM982" s="1" t="s">
        <v>17547</v>
      </c>
      <c r="BN982" s="1">
        <v>8</v>
      </c>
      <c r="BO982" s="1" t="s">
        <v>17548</v>
      </c>
      <c r="BP982" s="1" t="str">
        <f>HYPERLINK("https://nconnect.nicmar.ac.in/storage/profile/ProfilePhoto_P25703047_245896.jpg","Download")</f>
        <v>0</v>
      </c>
      <c r="BQ982" s="3"/>
      <c r="BR982" s="3"/>
    </row>
    <row r="983" spans="1:70">
      <c r="A983" s="1" t="s">
        <v>552</v>
      </c>
      <c r="B983" s="1" t="s">
        <v>1269</v>
      </c>
      <c r="C983" s="1" t="s">
        <v>17549</v>
      </c>
      <c r="D983" s="1" t="s">
        <v>1740</v>
      </c>
      <c r="E983" s="1"/>
      <c r="F983" s="1" t="s">
        <v>17550</v>
      </c>
      <c r="G983" s="1" t="s">
        <v>17551</v>
      </c>
      <c r="H983" s="1" t="s">
        <v>17552</v>
      </c>
      <c r="I983" s="1" t="s">
        <v>17553</v>
      </c>
      <c r="J983" s="1">
        <v>8219925916</v>
      </c>
      <c r="K983" s="1" t="s">
        <v>79</v>
      </c>
      <c r="L983" s="1" t="s">
        <v>17554</v>
      </c>
      <c r="M983" s="1" t="s">
        <v>81</v>
      </c>
      <c r="N983" s="1" t="s">
        <v>5040</v>
      </c>
      <c r="O983" s="1" t="s">
        <v>17555</v>
      </c>
      <c r="P983" s="1" t="s">
        <v>1766</v>
      </c>
      <c r="Q983" s="1" t="s">
        <v>17556</v>
      </c>
      <c r="R983" s="1" t="s">
        <v>17557</v>
      </c>
      <c r="S983" s="1">
        <v>7876661552</v>
      </c>
      <c r="T983" s="1" t="s">
        <v>1351</v>
      </c>
      <c r="U983" s="1" t="s">
        <v>17558</v>
      </c>
      <c r="V983" s="1">
        <v>8219703855</v>
      </c>
      <c r="W983" s="1" t="s">
        <v>89</v>
      </c>
      <c r="X983" s="1" t="s">
        <v>17559</v>
      </c>
      <c r="Y983" s="1" t="s">
        <v>4676</v>
      </c>
      <c r="Z983" s="1" t="s">
        <v>3419</v>
      </c>
      <c r="AA983" s="1" t="s">
        <v>17559</v>
      </c>
      <c r="AB983" s="1" t="s">
        <v>4676</v>
      </c>
      <c r="AC983" s="1" t="s">
        <v>3419</v>
      </c>
      <c r="AD983" s="1">
        <v>7.7</v>
      </c>
      <c r="AE983" s="1" t="s">
        <v>93</v>
      </c>
      <c r="AF983" s="1" t="s">
        <v>17560</v>
      </c>
      <c r="AG983" s="1" t="s">
        <v>307</v>
      </c>
      <c r="AH983" s="1" t="s">
        <v>281</v>
      </c>
      <c r="AI983" s="1" t="s">
        <v>308</v>
      </c>
      <c r="AJ983" s="1">
        <v>84.6</v>
      </c>
      <c r="AK983" s="1"/>
      <c r="AL983" s="1" t="s">
        <v>17560</v>
      </c>
      <c r="AM983" s="1" t="s">
        <v>307</v>
      </c>
      <c r="AN983" s="1" t="s">
        <v>360</v>
      </c>
      <c r="AO983" s="1" t="s">
        <v>506</v>
      </c>
      <c r="AP983" s="1">
        <v>90.4</v>
      </c>
      <c r="AQ983" s="1"/>
      <c r="AR983" s="1"/>
      <c r="AS983" s="1"/>
      <c r="AT983" s="1"/>
      <c r="AU983" s="1"/>
      <c r="AV983" s="1"/>
      <c r="AW983" s="1"/>
      <c r="AX983" s="1" t="s">
        <v>17561</v>
      </c>
      <c r="AY983" s="1" t="s">
        <v>17562</v>
      </c>
      <c r="AZ983" s="1" t="s">
        <v>1051</v>
      </c>
      <c r="BA983" s="1" t="s">
        <v>944</v>
      </c>
      <c r="BB983" s="1">
        <v>83.3</v>
      </c>
      <c r="BC983" s="1">
        <v>8.33</v>
      </c>
      <c r="BD983" s="1"/>
      <c r="BE983" s="1"/>
      <c r="BF983" s="1"/>
      <c r="BG983" s="1"/>
      <c r="BH983" s="1"/>
      <c r="BI983" s="1"/>
      <c r="BJ983" s="1" t="s">
        <v>17563</v>
      </c>
      <c r="BK983" s="1"/>
      <c r="BL983" s="1"/>
      <c r="BM983" s="1" t="s">
        <v>17564</v>
      </c>
      <c r="BN983" s="1">
        <v>35</v>
      </c>
      <c r="BO983" s="1" t="s">
        <v>17565</v>
      </c>
      <c r="BP983" s="1" t="str">
        <f>HYPERLINK("https://nconnect.nicmar.ac.in/storage/profile/ProfilePhoto_P25703048_983516.jpg","Download")</f>
        <v>0</v>
      </c>
      <c r="BQ983" s="3"/>
      <c r="BR983" s="3"/>
    </row>
    <row r="984" spans="1:70">
      <c r="A984" s="1" t="s">
        <v>552</v>
      </c>
      <c r="B984" s="1" t="s">
        <v>1269</v>
      </c>
      <c r="C984" s="1" t="s">
        <v>17566</v>
      </c>
      <c r="D984" s="1" t="s">
        <v>13771</v>
      </c>
      <c r="E984" s="1"/>
      <c r="F984" s="1" t="s">
        <v>17567</v>
      </c>
      <c r="G984" s="1" t="s">
        <v>17568</v>
      </c>
      <c r="H984" s="1" t="s">
        <v>17569</v>
      </c>
      <c r="I984" s="1" t="s">
        <v>17570</v>
      </c>
      <c r="J984" s="1">
        <v>9503521182</v>
      </c>
      <c r="K984" s="1" t="s">
        <v>148</v>
      </c>
      <c r="L984" s="1" t="s">
        <v>17571</v>
      </c>
      <c r="M984" s="1" t="s">
        <v>150</v>
      </c>
      <c r="N984" s="1" t="s">
        <v>5040</v>
      </c>
      <c r="O984" s="1"/>
      <c r="P984" s="1" t="s">
        <v>1298</v>
      </c>
      <c r="Q984" s="1" t="s">
        <v>17572</v>
      </c>
      <c r="R984" s="1" t="s">
        <v>17573</v>
      </c>
      <c r="S984" s="1">
        <v>9413108658</v>
      </c>
      <c r="T984" s="1" t="s">
        <v>496</v>
      </c>
      <c r="U984" s="1" t="s">
        <v>17574</v>
      </c>
      <c r="V984" s="1">
        <v>9024555685</v>
      </c>
      <c r="W984" s="1" t="s">
        <v>89</v>
      </c>
      <c r="X984" s="1" t="s">
        <v>17575</v>
      </c>
      <c r="Y984" s="1" t="s">
        <v>191</v>
      </c>
      <c r="Z984" s="1" t="s">
        <v>92</v>
      </c>
      <c r="AA984" s="1" t="s">
        <v>17576</v>
      </c>
      <c r="AB984" s="1" t="s">
        <v>766</v>
      </c>
      <c r="AC984" s="1" t="s">
        <v>92</v>
      </c>
      <c r="AD984" s="1">
        <v>9.45</v>
      </c>
      <c r="AE984" s="1" t="s">
        <v>93</v>
      </c>
      <c r="AF984" s="1" t="s">
        <v>17577</v>
      </c>
      <c r="AG984" s="1" t="s">
        <v>17578</v>
      </c>
      <c r="AH984" s="1" t="s">
        <v>2221</v>
      </c>
      <c r="AI984" s="1" t="s">
        <v>17579</v>
      </c>
      <c r="AJ984" s="1">
        <v>68</v>
      </c>
      <c r="AK984" s="1"/>
      <c r="AL984" s="1" t="s">
        <v>17580</v>
      </c>
      <c r="AM984" s="1" t="s">
        <v>17578</v>
      </c>
      <c r="AN984" s="1" t="s">
        <v>17581</v>
      </c>
      <c r="AO984" s="1" t="s">
        <v>17582</v>
      </c>
      <c r="AP984" s="1">
        <v>68.31</v>
      </c>
      <c r="AQ984" s="1"/>
      <c r="AR984" s="1"/>
      <c r="AS984" s="1"/>
      <c r="AT984" s="1"/>
      <c r="AU984" s="1"/>
      <c r="AV984" s="1"/>
      <c r="AW984" s="1"/>
      <c r="AX984" s="1" t="s">
        <v>17583</v>
      </c>
      <c r="AY984" s="1" t="s">
        <v>17584</v>
      </c>
      <c r="AZ984" s="1" t="s">
        <v>17582</v>
      </c>
      <c r="BA984" s="1" t="s">
        <v>2826</v>
      </c>
      <c r="BB984" s="1">
        <v>57.72</v>
      </c>
      <c r="BC984" s="1"/>
      <c r="BD984" s="1" t="s">
        <v>17585</v>
      </c>
      <c r="BE984" s="1" t="s">
        <v>17586</v>
      </c>
      <c r="BF984" s="1" t="s">
        <v>17587</v>
      </c>
      <c r="BG984" s="1" t="s">
        <v>14676</v>
      </c>
      <c r="BH984" s="1">
        <v>56.55</v>
      </c>
      <c r="BI984" s="1"/>
      <c r="BJ984" s="1" t="s">
        <v>17588</v>
      </c>
      <c r="BK984" s="1" t="s">
        <v>17589</v>
      </c>
      <c r="BL984" s="1" t="s">
        <v>17590</v>
      </c>
      <c r="BM984" s="1" t="s">
        <v>17591</v>
      </c>
      <c r="BN984" s="1">
        <v>190</v>
      </c>
      <c r="BO984" s="1"/>
      <c r="BP984" s="1" t="str">
        <f>HYPERLINK("https://nconnect.nicmar.ac.in/storage/profile/ProfilePhoto_P25703049_251834.jpg","Download")</f>
        <v>0</v>
      </c>
      <c r="BQ984" s="3"/>
      <c r="BR984" s="3"/>
    </row>
    <row r="985" spans="1:70">
      <c r="A985" s="1" t="s">
        <v>552</v>
      </c>
      <c r="B985" s="1" t="s">
        <v>1269</v>
      </c>
      <c r="C985" s="1" t="s">
        <v>17592</v>
      </c>
      <c r="D985" s="1" t="s">
        <v>11942</v>
      </c>
      <c r="E985" s="1" t="s">
        <v>13438</v>
      </c>
      <c r="F985" s="1" t="s">
        <v>17593</v>
      </c>
      <c r="G985" s="1" t="s">
        <v>17594</v>
      </c>
      <c r="H985" s="1" t="s">
        <v>17595</v>
      </c>
      <c r="I985" s="1" t="s">
        <v>17596</v>
      </c>
      <c r="J985" s="1">
        <v>9307233096</v>
      </c>
      <c r="K985" s="1" t="s">
        <v>79</v>
      </c>
      <c r="L985" s="1" t="s">
        <v>17597</v>
      </c>
      <c r="M985" s="1" t="s">
        <v>81</v>
      </c>
      <c r="N985" s="1" t="s">
        <v>17598</v>
      </c>
      <c r="O985" s="1" t="s">
        <v>17599</v>
      </c>
      <c r="P985" s="1" t="s">
        <v>1766</v>
      </c>
      <c r="Q985" s="1" t="s">
        <v>17600</v>
      </c>
      <c r="R985" s="1" t="s">
        <v>17601</v>
      </c>
      <c r="S985" s="1">
        <v>8208380543</v>
      </c>
      <c r="T985" s="1" t="s">
        <v>154</v>
      </c>
      <c r="U985" s="1" t="s">
        <v>17602</v>
      </c>
      <c r="V985" s="1">
        <v>7972675544</v>
      </c>
      <c r="W985" s="1" t="s">
        <v>156</v>
      </c>
      <c r="X985" s="1" t="s">
        <v>17603</v>
      </c>
      <c r="Y985" s="1" t="s">
        <v>191</v>
      </c>
      <c r="Z985" s="1" t="s">
        <v>92</v>
      </c>
      <c r="AA985" s="1" t="s">
        <v>17604</v>
      </c>
      <c r="AB985" s="1" t="s">
        <v>1886</v>
      </c>
      <c r="AC985" s="1" t="s">
        <v>92</v>
      </c>
      <c r="AD985" s="1" t="s">
        <v>93</v>
      </c>
      <c r="AE985" s="1" t="s">
        <v>93</v>
      </c>
      <c r="AF985" s="1" t="s">
        <v>17605</v>
      </c>
      <c r="AG985" s="1" t="s">
        <v>544</v>
      </c>
      <c r="AH985" s="1" t="s">
        <v>162</v>
      </c>
      <c r="AI985" s="1" t="s">
        <v>165</v>
      </c>
      <c r="AJ985" s="1">
        <v>88.8</v>
      </c>
      <c r="AK985" s="1">
        <v>0</v>
      </c>
      <c r="AL985" s="1" t="s">
        <v>17606</v>
      </c>
      <c r="AM985" s="1" t="s">
        <v>17607</v>
      </c>
      <c r="AN985" s="1" t="s">
        <v>101</v>
      </c>
      <c r="AO985" s="1" t="s">
        <v>433</v>
      </c>
      <c r="AP985" s="1">
        <v>63.69</v>
      </c>
      <c r="AQ985" s="1">
        <v>0</v>
      </c>
      <c r="AR985" s="1"/>
      <c r="AS985" s="1"/>
      <c r="AT985" s="1"/>
      <c r="AU985" s="1"/>
      <c r="AV985" s="1"/>
      <c r="AW985" s="1"/>
      <c r="AX985" s="1" t="s">
        <v>2688</v>
      </c>
      <c r="AY985" s="1" t="s">
        <v>17608</v>
      </c>
      <c r="AZ985" s="1" t="s">
        <v>310</v>
      </c>
      <c r="BA985" s="1" t="s">
        <v>8050</v>
      </c>
      <c r="BB985" s="1">
        <v>55</v>
      </c>
      <c r="BC985" s="1">
        <v>6.02</v>
      </c>
      <c r="BD985" s="1"/>
      <c r="BE985" s="1"/>
      <c r="BF985" s="1"/>
      <c r="BG985" s="1"/>
      <c r="BH985" s="1"/>
      <c r="BI985" s="1"/>
      <c r="BJ985" s="1" t="s">
        <v>17609</v>
      </c>
      <c r="BK985" s="1"/>
      <c r="BL985" s="1"/>
      <c r="BM985" s="1" t="s">
        <v>17610</v>
      </c>
      <c r="BN985" s="1">
        <v>20</v>
      </c>
      <c r="BO985" s="1"/>
      <c r="BP985" s="1" t="str">
        <f>HYPERLINK("https://nconnect.nicmar.ac.in/storage/profile/ProfilePhoto_P25703050_934657.jpg","Download")</f>
        <v>0</v>
      </c>
      <c r="BQ985" s="3"/>
      <c r="BR985" s="3"/>
    </row>
    <row r="986" spans="1:70">
      <c r="A986" s="1" t="s">
        <v>552</v>
      </c>
      <c r="B986" s="1" t="s">
        <v>1269</v>
      </c>
      <c r="C986" s="1" t="s">
        <v>17611</v>
      </c>
      <c r="D986" s="1" t="s">
        <v>17612</v>
      </c>
      <c r="E986" s="1"/>
      <c r="F986" s="1" t="s">
        <v>17613</v>
      </c>
      <c r="G986" s="1" t="s">
        <v>17614</v>
      </c>
      <c r="H986" s="1" t="s">
        <v>17615</v>
      </c>
      <c r="I986" s="1" t="s">
        <v>17616</v>
      </c>
      <c r="J986" s="1">
        <v>9149518010</v>
      </c>
      <c r="K986" s="1" t="s">
        <v>148</v>
      </c>
      <c r="L986" s="1" t="s">
        <v>17617</v>
      </c>
      <c r="M986" s="1" t="s">
        <v>81</v>
      </c>
      <c r="N986" s="1" t="s">
        <v>17618</v>
      </c>
      <c r="O986" s="1" t="s">
        <v>17619</v>
      </c>
      <c r="P986" s="1" t="s">
        <v>1766</v>
      </c>
      <c r="Q986" s="1" t="s">
        <v>17620</v>
      </c>
      <c r="R986" s="1" t="s">
        <v>17621</v>
      </c>
      <c r="S986" s="1">
        <v>9906272595</v>
      </c>
      <c r="T986" s="1" t="s">
        <v>910</v>
      </c>
      <c r="U986" s="1" t="s">
        <v>17622</v>
      </c>
      <c r="V986" s="1">
        <v>9596953999</v>
      </c>
      <c r="W986" s="1" t="s">
        <v>156</v>
      </c>
      <c r="X986" s="1" t="s">
        <v>17623</v>
      </c>
      <c r="Y986" s="1" t="s">
        <v>17624</v>
      </c>
      <c r="Z986" s="1" t="s">
        <v>9520</v>
      </c>
      <c r="AA986" s="1" t="s">
        <v>17623</v>
      </c>
      <c r="AB986" s="1" t="s">
        <v>17624</v>
      </c>
      <c r="AC986" s="1" t="s">
        <v>9520</v>
      </c>
      <c r="AD986" s="1">
        <v>7.34</v>
      </c>
      <c r="AE986" s="1" t="s">
        <v>93</v>
      </c>
      <c r="AF986" s="1" t="s">
        <v>17625</v>
      </c>
      <c r="AG986" s="1" t="s">
        <v>17626</v>
      </c>
      <c r="AH986" s="1" t="s">
        <v>1307</v>
      </c>
      <c r="AI986" s="1" t="s">
        <v>308</v>
      </c>
      <c r="AJ986" s="1">
        <v>91.2</v>
      </c>
      <c r="AK986" s="1">
        <v>9.6</v>
      </c>
      <c r="AL986" s="1" t="s">
        <v>17627</v>
      </c>
      <c r="AM986" s="1" t="s">
        <v>17628</v>
      </c>
      <c r="AN986" s="1" t="s">
        <v>1833</v>
      </c>
      <c r="AO986" s="1" t="s">
        <v>506</v>
      </c>
      <c r="AP986" s="1">
        <v>75.6</v>
      </c>
      <c r="AQ986" s="1"/>
      <c r="AR986" s="1"/>
      <c r="AS986" s="1"/>
      <c r="AT986" s="1"/>
      <c r="AU986" s="1"/>
      <c r="AV986" s="1"/>
      <c r="AW986" s="1"/>
      <c r="AX986" s="1" t="s">
        <v>17629</v>
      </c>
      <c r="AY986" s="1" t="s">
        <v>17629</v>
      </c>
      <c r="AZ986" s="1" t="s">
        <v>1407</v>
      </c>
      <c r="BA986" s="1" t="s">
        <v>202</v>
      </c>
      <c r="BB986" s="1">
        <v>67.2</v>
      </c>
      <c r="BC986" s="1">
        <v>6.72</v>
      </c>
      <c r="BD986" s="1"/>
      <c r="BE986" s="1"/>
      <c r="BF986" s="1"/>
      <c r="BG986" s="1"/>
      <c r="BH986" s="1"/>
      <c r="BI986" s="1"/>
      <c r="BJ986" s="1" t="s">
        <v>734</v>
      </c>
      <c r="BK986" s="1"/>
      <c r="BL986" s="1"/>
      <c r="BM986" s="1" t="s">
        <v>17630</v>
      </c>
      <c r="BN986" s="1">
        <v>14</v>
      </c>
      <c r="BO986" s="1" t="s">
        <v>17631</v>
      </c>
      <c r="BP986" s="1" t="str">
        <f>HYPERLINK("https://nconnect.nicmar.ac.in/storage/profile/ProfilePhoto_P25703051_276439.jpg","Download")</f>
        <v>0</v>
      </c>
      <c r="BQ986" s="3"/>
      <c r="BR986" s="3"/>
    </row>
    <row r="987" spans="1:70">
      <c r="A987" s="1" t="s">
        <v>552</v>
      </c>
      <c r="B987" s="1" t="s">
        <v>1269</v>
      </c>
      <c r="C987" s="1" t="s">
        <v>17632</v>
      </c>
      <c r="D987" s="1" t="s">
        <v>17633</v>
      </c>
      <c r="E987" s="1" t="s">
        <v>596</v>
      </c>
      <c r="F987" s="1" t="s">
        <v>1817</v>
      </c>
      <c r="G987" s="1" t="s">
        <v>17634</v>
      </c>
      <c r="H987" s="1" t="s">
        <v>17635</v>
      </c>
      <c r="I987" s="1" t="s">
        <v>17636</v>
      </c>
      <c r="J987" s="1">
        <v>8789287176</v>
      </c>
      <c r="K987" s="1" t="s">
        <v>79</v>
      </c>
      <c r="L987" s="1" t="s">
        <v>7818</v>
      </c>
      <c r="M987" s="1" t="s">
        <v>81</v>
      </c>
      <c r="N987" s="1" t="s">
        <v>2876</v>
      </c>
      <c r="O987" s="1"/>
      <c r="P987" s="1" t="s">
        <v>1298</v>
      </c>
      <c r="Q987" s="1" t="s">
        <v>17637</v>
      </c>
      <c r="R987" s="1" t="s">
        <v>17638</v>
      </c>
      <c r="S987" s="1">
        <v>8539077469</v>
      </c>
      <c r="T987" s="1" t="s">
        <v>6227</v>
      </c>
      <c r="U987" s="1" t="s">
        <v>17639</v>
      </c>
      <c r="V987" s="1">
        <v>9430286828</v>
      </c>
      <c r="W987" s="1" t="s">
        <v>156</v>
      </c>
      <c r="X987" s="1" t="s">
        <v>17640</v>
      </c>
      <c r="Y987" s="1" t="s">
        <v>191</v>
      </c>
      <c r="Z987" s="1" t="s">
        <v>92</v>
      </c>
      <c r="AA987" s="1" t="s">
        <v>17641</v>
      </c>
      <c r="AB987" s="1" t="s">
        <v>845</v>
      </c>
      <c r="AC987" s="1" t="s">
        <v>846</v>
      </c>
      <c r="AD987" s="1">
        <v>7.26</v>
      </c>
      <c r="AE987" s="1" t="s">
        <v>93</v>
      </c>
      <c r="AF987" s="1" t="s">
        <v>17642</v>
      </c>
      <c r="AG987" s="1" t="s">
        <v>9678</v>
      </c>
      <c r="AH987" s="1" t="s">
        <v>4697</v>
      </c>
      <c r="AI987" s="1" t="s">
        <v>166</v>
      </c>
      <c r="AJ987" s="1">
        <v>58.5</v>
      </c>
      <c r="AK987" s="1"/>
      <c r="AL987" s="1" t="s">
        <v>17642</v>
      </c>
      <c r="AM987" s="1" t="s">
        <v>9678</v>
      </c>
      <c r="AN987" s="1" t="s">
        <v>169</v>
      </c>
      <c r="AO987" s="1" t="s">
        <v>173</v>
      </c>
      <c r="AP987" s="1">
        <v>61.4</v>
      </c>
      <c r="AQ987" s="1"/>
      <c r="AR987" s="1"/>
      <c r="AS987" s="1"/>
      <c r="AT987" s="1"/>
      <c r="AU987" s="1"/>
      <c r="AV987" s="1"/>
      <c r="AW987" s="1"/>
      <c r="AX987" s="1" t="s">
        <v>9358</v>
      </c>
      <c r="AY987" s="1" t="s">
        <v>17643</v>
      </c>
      <c r="AZ987" s="1" t="s">
        <v>436</v>
      </c>
      <c r="BA987" s="1" t="s">
        <v>3158</v>
      </c>
      <c r="BB987" s="1">
        <v>72.87</v>
      </c>
      <c r="BC987" s="1">
        <v>7.67</v>
      </c>
      <c r="BD987" s="1"/>
      <c r="BE987" s="1"/>
      <c r="BF987" s="1"/>
      <c r="BG987" s="1"/>
      <c r="BH987" s="1"/>
      <c r="BI987" s="1"/>
      <c r="BJ987" s="1" t="s">
        <v>734</v>
      </c>
      <c r="BK987" s="1"/>
      <c r="BL987" s="1"/>
      <c r="BM987" s="1"/>
      <c r="BN987" s="1"/>
      <c r="BO987" s="1" t="s">
        <v>17644</v>
      </c>
      <c r="BP987" s="1" t="str">
        <f>HYPERLINK("https://nconnect.nicmar.ac.in/storage/profile/ProfilePhoto_P25703052_721359.jpg","Download")</f>
        <v>0</v>
      </c>
      <c r="BQ987" s="3"/>
      <c r="BR987" s="3"/>
    </row>
    <row r="988" spans="1:70">
      <c r="A988" s="1" t="s">
        <v>552</v>
      </c>
      <c r="B988" s="1" t="s">
        <v>1269</v>
      </c>
      <c r="C988" s="1" t="s">
        <v>17645</v>
      </c>
      <c r="D988" s="1" t="s">
        <v>793</v>
      </c>
      <c r="E988" s="1" t="s">
        <v>6466</v>
      </c>
      <c r="F988" s="1" t="s">
        <v>3901</v>
      </c>
      <c r="G988" s="1" t="s">
        <v>17646</v>
      </c>
      <c r="H988" s="1" t="s">
        <v>17647</v>
      </c>
      <c r="I988" s="1" t="s">
        <v>17648</v>
      </c>
      <c r="J988" s="1">
        <v>7757997698</v>
      </c>
      <c r="K988" s="1" t="s">
        <v>79</v>
      </c>
      <c r="L988" s="1" t="s">
        <v>17649</v>
      </c>
      <c r="M988" s="1" t="s">
        <v>81</v>
      </c>
      <c r="N988" s="1" t="s">
        <v>1618</v>
      </c>
      <c r="O988" s="1"/>
      <c r="P988" s="1" t="s">
        <v>1323</v>
      </c>
      <c r="Q988" s="1" t="s">
        <v>17650</v>
      </c>
      <c r="R988" s="1" t="s">
        <v>6466</v>
      </c>
      <c r="S988" s="1">
        <v>9850240410</v>
      </c>
      <c r="T988" s="1" t="s">
        <v>496</v>
      </c>
      <c r="U988" s="1" t="s">
        <v>3807</v>
      </c>
      <c r="V988" s="1">
        <v>8600358985</v>
      </c>
      <c r="W988" s="1" t="s">
        <v>496</v>
      </c>
      <c r="X988" s="1" t="s">
        <v>17651</v>
      </c>
      <c r="Y988" s="1" t="s">
        <v>91</v>
      </c>
      <c r="Z988" s="1" t="s">
        <v>92</v>
      </c>
      <c r="AA988" s="1" t="s">
        <v>17651</v>
      </c>
      <c r="AB988" s="1" t="s">
        <v>91</v>
      </c>
      <c r="AC988" s="1" t="s">
        <v>92</v>
      </c>
      <c r="AD988" s="1" t="s">
        <v>93</v>
      </c>
      <c r="AE988" s="1" t="s">
        <v>93</v>
      </c>
      <c r="AF988" s="1" t="s">
        <v>17652</v>
      </c>
      <c r="AG988" s="1" t="s">
        <v>160</v>
      </c>
      <c r="AH988" s="1" t="s">
        <v>101</v>
      </c>
      <c r="AI988" s="1" t="s">
        <v>409</v>
      </c>
      <c r="AJ988" s="1">
        <v>60.8</v>
      </c>
      <c r="AK988" s="1"/>
      <c r="AL988" s="1" t="s">
        <v>17653</v>
      </c>
      <c r="AM988" s="1" t="s">
        <v>160</v>
      </c>
      <c r="AN988" s="1" t="s">
        <v>699</v>
      </c>
      <c r="AO988" s="1" t="s">
        <v>504</v>
      </c>
      <c r="AP988" s="1">
        <v>76.83</v>
      </c>
      <c r="AQ988" s="1"/>
      <c r="AR988" s="1"/>
      <c r="AS988" s="1"/>
      <c r="AT988" s="1"/>
      <c r="AU988" s="1"/>
      <c r="AV988" s="1"/>
      <c r="AW988" s="1"/>
      <c r="AX988" s="1" t="s">
        <v>17654</v>
      </c>
      <c r="AY988" s="1" t="s">
        <v>5160</v>
      </c>
      <c r="AZ988" s="1" t="s">
        <v>1407</v>
      </c>
      <c r="BA988" s="1" t="s">
        <v>702</v>
      </c>
      <c r="BB988" s="1">
        <v>67.1</v>
      </c>
      <c r="BC988" s="1">
        <v>6.71</v>
      </c>
      <c r="BD988" s="1"/>
      <c r="BE988" s="1"/>
      <c r="BF988" s="1"/>
      <c r="BG988" s="1"/>
      <c r="BH988" s="1"/>
      <c r="BI988" s="1"/>
      <c r="BJ988" s="1" t="s">
        <v>17655</v>
      </c>
      <c r="BK988" s="1"/>
      <c r="BL988" s="1"/>
      <c r="BM988" s="1" t="s">
        <v>17656</v>
      </c>
      <c r="BN988" s="1">
        <v>9</v>
      </c>
      <c r="BO988" s="1"/>
      <c r="BP988" s="1" t="str">
        <f>HYPERLINK("https://nconnect.nicmar.ac.in/storage/profile/ProfilePhoto_P25703053_389456.jpg","Download")</f>
        <v>0</v>
      </c>
      <c r="BQ988" s="3"/>
      <c r="BR988" s="3"/>
    </row>
    <row r="989" spans="1:70">
      <c r="A989" s="1" t="s">
        <v>552</v>
      </c>
      <c r="B989" s="1" t="s">
        <v>1269</v>
      </c>
      <c r="C989" s="1" t="s">
        <v>17657</v>
      </c>
      <c r="D989" s="1" t="s">
        <v>12202</v>
      </c>
      <c r="E989" s="1" t="s">
        <v>465</v>
      </c>
      <c r="F989" s="1" t="s">
        <v>2024</v>
      </c>
      <c r="G989" s="1" t="s">
        <v>17658</v>
      </c>
      <c r="H989" s="1" t="s">
        <v>17659</v>
      </c>
      <c r="I989" s="1" t="s">
        <v>17660</v>
      </c>
      <c r="J989" s="1">
        <v>9021655495</v>
      </c>
      <c r="K989" s="1" t="s">
        <v>79</v>
      </c>
      <c r="L989" s="1" t="s">
        <v>17661</v>
      </c>
      <c r="M989" s="1" t="s">
        <v>81</v>
      </c>
      <c r="N989" s="1" t="s">
        <v>1418</v>
      </c>
      <c r="O989" s="1" t="s">
        <v>17662</v>
      </c>
      <c r="P989" s="1" t="s">
        <v>1323</v>
      </c>
      <c r="Q989" s="1" t="s">
        <v>17663</v>
      </c>
      <c r="R989" s="1" t="s">
        <v>465</v>
      </c>
      <c r="S989" s="1">
        <v>9403717695</v>
      </c>
      <c r="T989" s="1" t="s">
        <v>154</v>
      </c>
      <c r="U989" s="1" t="s">
        <v>17664</v>
      </c>
      <c r="V989" s="1">
        <v>9423166507</v>
      </c>
      <c r="W989" s="1" t="s">
        <v>122</v>
      </c>
      <c r="X989" s="1" t="s">
        <v>17665</v>
      </c>
      <c r="Y989" s="1" t="s">
        <v>191</v>
      </c>
      <c r="Z989" s="1" t="s">
        <v>92</v>
      </c>
      <c r="AA989" s="1" t="s">
        <v>17666</v>
      </c>
      <c r="AB989" s="1" t="s">
        <v>6375</v>
      </c>
      <c r="AC989" s="1" t="s">
        <v>92</v>
      </c>
      <c r="AD989" s="1" t="s">
        <v>93</v>
      </c>
      <c r="AE989" s="1" t="s">
        <v>93</v>
      </c>
      <c r="AF989" s="1" t="s">
        <v>17667</v>
      </c>
      <c r="AG989" s="1" t="s">
        <v>17668</v>
      </c>
      <c r="AH989" s="1" t="s">
        <v>165</v>
      </c>
      <c r="AI989" s="1" t="s">
        <v>281</v>
      </c>
      <c r="AJ989" s="1">
        <v>60.4</v>
      </c>
      <c r="AK989" s="1">
        <v>6.36</v>
      </c>
      <c r="AL989" s="1" t="s">
        <v>17669</v>
      </c>
      <c r="AM989" s="1" t="s">
        <v>17670</v>
      </c>
      <c r="AN989" s="1" t="s">
        <v>433</v>
      </c>
      <c r="AO989" s="1" t="s">
        <v>941</v>
      </c>
      <c r="AP989" s="1">
        <v>77.23</v>
      </c>
      <c r="AQ989" s="1">
        <v>8.13</v>
      </c>
      <c r="AR989" s="1"/>
      <c r="AS989" s="1"/>
      <c r="AT989" s="1"/>
      <c r="AU989" s="1"/>
      <c r="AV989" s="1"/>
      <c r="AW989" s="1"/>
      <c r="AX989" s="1" t="s">
        <v>17671</v>
      </c>
      <c r="AY989" s="1" t="s">
        <v>17672</v>
      </c>
      <c r="AZ989" s="1" t="s">
        <v>2461</v>
      </c>
      <c r="BA989" s="1" t="s">
        <v>682</v>
      </c>
      <c r="BB989" s="1">
        <v>64.59</v>
      </c>
      <c r="BC989" s="1"/>
      <c r="BD989" s="1"/>
      <c r="BE989" s="1"/>
      <c r="BF989" s="1"/>
      <c r="BG989" s="1"/>
      <c r="BH989" s="1"/>
      <c r="BI989" s="1"/>
      <c r="BJ989" s="1" t="s">
        <v>17673</v>
      </c>
      <c r="BK989" s="1"/>
      <c r="BL989" s="1"/>
      <c r="BM989" s="1" t="s">
        <v>17674</v>
      </c>
      <c r="BN989" s="1">
        <v>54</v>
      </c>
      <c r="BO989" s="1" t="s">
        <v>17675</v>
      </c>
      <c r="BP989" s="1" t="str">
        <f>HYPERLINK("https://nconnect.nicmar.ac.in/storage/profile/ProfilePhoto_P25703054_851264.jpg","Download")</f>
        <v>0</v>
      </c>
      <c r="BQ989" s="3"/>
      <c r="BR989" s="3"/>
    </row>
    <row r="990" spans="1:70">
      <c r="A990" s="1" t="s">
        <v>552</v>
      </c>
      <c r="B990" s="1" t="s">
        <v>1269</v>
      </c>
      <c r="C990" s="1" t="s">
        <v>17676</v>
      </c>
      <c r="D990" s="1" t="s">
        <v>17677</v>
      </c>
      <c r="E990" s="1"/>
      <c r="F990" s="1" t="s">
        <v>17678</v>
      </c>
      <c r="G990" s="1" t="s">
        <v>17679</v>
      </c>
      <c r="H990" s="1" t="s">
        <v>17680</v>
      </c>
      <c r="I990" s="1" t="s">
        <v>17681</v>
      </c>
      <c r="J990" s="1">
        <v>9926754431</v>
      </c>
      <c r="K990" s="1" t="s">
        <v>79</v>
      </c>
      <c r="L990" s="1" t="s">
        <v>17682</v>
      </c>
      <c r="M990" s="1" t="s">
        <v>81</v>
      </c>
      <c r="N990" s="1" t="s">
        <v>82</v>
      </c>
      <c r="O990" s="1" t="s">
        <v>17683</v>
      </c>
      <c r="P990" s="1" t="s">
        <v>1323</v>
      </c>
      <c r="Q990" s="1" t="s">
        <v>17684</v>
      </c>
      <c r="R990" s="1" t="s">
        <v>17685</v>
      </c>
      <c r="S990" s="1">
        <v>9516907229</v>
      </c>
      <c r="T990" s="1" t="s">
        <v>5243</v>
      </c>
      <c r="U990" s="1" t="s">
        <v>17686</v>
      </c>
      <c r="V990" s="1">
        <v>9179566049</v>
      </c>
      <c r="W990" s="1" t="s">
        <v>17687</v>
      </c>
      <c r="X990" s="1" t="s">
        <v>17688</v>
      </c>
      <c r="Y990" s="1" t="s">
        <v>935</v>
      </c>
      <c r="Z990" s="1" t="s">
        <v>936</v>
      </c>
      <c r="AA990" s="1" t="s">
        <v>17689</v>
      </c>
      <c r="AB990" s="1" t="s">
        <v>935</v>
      </c>
      <c r="AC990" s="1" t="s">
        <v>936</v>
      </c>
      <c r="AD990" s="1">
        <v>7.36</v>
      </c>
      <c r="AE990" s="1" t="s">
        <v>93</v>
      </c>
      <c r="AF990" s="1" t="s">
        <v>17690</v>
      </c>
      <c r="AG990" s="1" t="s">
        <v>307</v>
      </c>
      <c r="AH990" s="1" t="s">
        <v>101</v>
      </c>
      <c r="AI990" s="1" t="s">
        <v>308</v>
      </c>
      <c r="AJ990" s="1">
        <v>74.4</v>
      </c>
      <c r="AK990" s="1"/>
      <c r="AL990" s="1" t="s">
        <v>17690</v>
      </c>
      <c r="AM990" s="1" t="s">
        <v>17691</v>
      </c>
      <c r="AN990" s="1" t="s">
        <v>699</v>
      </c>
      <c r="AO990" s="1" t="s">
        <v>1712</v>
      </c>
      <c r="AP990" s="1">
        <v>75.2</v>
      </c>
      <c r="AQ990" s="1"/>
      <c r="AR990" s="1"/>
      <c r="AS990" s="1"/>
      <c r="AT990" s="1"/>
      <c r="AU990" s="1"/>
      <c r="AV990" s="1"/>
      <c r="AW990" s="1"/>
      <c r="AX990" s="1" t="s">
        <v>17093</v>
      </c>
      <c r="AY990" s="1" t="s">
        <v>17692</v>
      </c>
      <c r="AZ990" s="1" t="s">
        <v>135</v>
      </c>
      <c r="BA990" s="1" t="s">
        <v>413</v>
      </c>
      <c r="BB990" s="1">
        <v>64.7</v>
      </c>
      <c r="BC990" s="1">
        <v>6.47</v>
      </c>
      <c r="BD990" s="1"/>
      <c r="BE990" s="1"/>
      <c r="BF990" s="1"/>
      <c r="BG990" s="1"/>
      <c r="BH990" s="1"/>
      <c r="BI990" s="1"/>
      <c r="BJ990" s="1" t="s">
        <v>17693</v>
      </c>
      <c r="BK990" s="1"/>
      <c r="BL990" s="1"/>
      <c r="BM990" s="1" t="s">
        <v>17694</v>
      </c>
      <c r="BN990" s="1">
        <v>6</v>
      </c>
      <c r="BO990" s="1" t="s">
        <v>17695</v>
      </c>
      <c r="BP990" s="1" t="str">
        <f>HYPERLINK("https://nconnect.nicmar.ac.in/storage/profile/ProfilePhoto_P25703055_376895.jpg","Download")</f>
        <v>0</v>
      </c>
      <c r="BQ990" s="3"/>
      <c r="BR990" s="3"/>
    </row>
    <row r="991" spans="1:70">
      <c r="A991" s="1" t="s">
        <v>552</v>
      </c>
      <c r="B991" s="1" t="s">
        <v>1269</v>
      </c>
      <c r="C991" s="1" t="s">
        <v>17696</v>
      </c>
      <c r="D991" s="1" t="s">
        <v>17697</v>
      </c>
      <c r="E991" s="1"/>
      <c r="F991" s="1" t="s">
        <v>17698</v>
      </c>
      <c r="G991" s="1" t="s">
        <v>17699</v>
      </c>
      <c r="H991" s="1" t="s">
        <v>17700</v>
      </c>
      <c r="I991" s="1" t="s">
        <v>17701</v>
      </c>
      <c r="J991" s="1">
        <v>8208019446</v>
      </c>
      <c r="K991" s="1" t="s">
        <v>79</v>
      </c>
      <c r="L991" s="1" t="s">
        <v>14119</v>
      </c>
      <c r="M991" s="1" t="s">
        <v>81</v>
      </c>
      <c r="N991" s="1" t="s">
        <v>17702</v>
      </c>
      <c r="O991" s="1"/>
      <c r="P991" s="1" t="s">
        <v>1323</v>
      </c>
      <c r="Q991" s="1" t="s">
        <v>17703</v>
      </c>
      <c r="R991" s="1" t="s">
        <v>17704</v>
      </c>
      <c r="S991" s="1">
        <v>8788115585</v>
      </c>
      <c r="T991" s="1" t="s">
        <v>2763</v>
      </c>
      <c r="U991" s="1" t="s">
        <v>17705</v>
      </c>
      <c r="V991" s="1">
        <v>8788115585</v>
      </c>
      <c r="W991" s="1" t="s">
        <v>122</v>
      </c>
      <c r="X991" s="1" t="s">
        <v>17706</v>
      </c>
      <c r="Y991" s="1" t="s">
        <v>499</v>
      </c>
      <c r="Z991" s="1" t="s">
        <v>500</v>
      </c>
      <c r="AA991" s="1" t="s">
        <v>17706</v>
      </c>
      <c r="AB991" s="1" t="s">
        <v>499</v>
      </c>
      <c r="AC991" s="1" t="s">
        <v>500</v>
      </c>
      <c r="AD991" s="1" t="s">
        <v>93</v>
      </c>
      <c r="AE991" s="1" t="s">
        <v>93</v>
      </c>
      <c r="AF991" s="1" t="s">
        <v>17707</v>
      </c>
      <c r="AG991" s="1" t="s">
        <v>17708</v>
      </c>
      <c r="AH991" s="1" t="s">
        <v>477</v>
      </c>
      <c r="AI991" s="1" t="s">
        <v>131</v>
      </c>
      <c r="AJ991" s="1">
        <v>79.8</v>
      </c>
      <c r="AK991" s="1">
        <v>8.4</v>
      </c>
      <c r="AL991" s="1" t="s">
        <v>17709</v>
      </c>
      <c r="AM991" s="1" t="s">
        <v>17710</v>
      </c>
      <c r="AN991" s="1" t="s">
        <v>678</v>
      </c>
      <c r="AO991" s="1" t="s">
        <v>166</v>
      </c>
      <c r="AP991" s="1">
        <v>56.8</v>
      </c>
      <c r="AQ991" s="1"/>
      <c r="AR991" s="1"/>
      <c r="AS991" s="1"/>
      <c r="AT991" s="1"/>
      <c r="AU991" s="1"/>
      <c r="AV991" s="1"/>
      <c r="AW991" s="1"/>
      <c r="AX991" s="1" t="s">
        <v>11784</v>
      </c>
      <c r="AY991" s="1" t="s">
        <v>17711</v>
      </c>
      <c r="AZ991" s="1" t="s">
        <v>433</v>
      </c>
      <c r="BA991" s="1" t="s">
        <v>1361</v>
      </c>
      <c r="BB991" s="1">
        <v>61.8</v>
      </c>
      <c r="BC991" s="1"/>
      <c r="BD991" s="1"/>
      <c r="BE991" s="1"/>
      <c r="BF991" s="1"/>
      <c r="BG991" s="1"/>
      <c r="BH991" s="1"/>
      <c r="BI991" s="1"/>
      <c r="BJ991" s="1" t="s">
        <v>734</v>
      </c>
      <c r="BK991" s="1"/>
      <c r="BL991" s="1"/>
      <c r="BM991" s="1"/>
      <c r="BN991" s="1"/>
      <c r="BO991" s="1"/>
      <c r="BP991" s="1" t="str">
        <f>HYPERLINK("https://nconnect.nicmar.ac.in/storage/profile/ProfilePhoto_P25703056_384126.jpg","Download")</f>
        <v>0</v>
      </c>
      <c r="BQ991" s="3"/>
      <c r="BR991" s="3"/>
    </row>
    <row r="992" spans="1:70">
      <c r="A992" s="1" t="s">
        <v>552</v>
      </c>
      <c r="B992" s="1" t="s">
        <v>1269</v>
      </c>
      <c r="C992" s="1" t="s">
        <v>17712</v>
      </c>
      <c r="D992" s="1" t="s">
        <v>8366</v>
      </c>
      <c r="E992" s="1" t="s">
        <v>7029</v>
      </c>
      <c r="F992" s="1" t="s">
        <v>17713</v>
      </c>
      <c r="G992" s="1" t="s">
        <v>17714</v>
      </c>
      <c r="H992" s="1" t="s">
        <v>17715</v>
      </c>
      <c r="I992" s="1" t="s">
        <v>17716</v>
      </c>
      <c r="J992" s="1">
        <v>7249749790</v>
      </c>
      <c r="K992" s="1" t="s">
        <v>79</v>
      </c>
      <c r="L992" s="1" t="s">
        <v>1703</v>
      </c>
      <c r="M992" s="1" t="s">
        <v>81</v>
      </c>
      <c r="N992" s="1" t="s">
        <v>10500</v>
      </c>
      <c r="O992" s="1" t="s">
        <v>17717</v>
      </c>
      <c r="P992" s="1" t="s">
        <v>1323</v>
      </c>
      <c r="Q992" s="1" t="s">
        <v>17718</v>
      </c>
      <c r="R992" s="1" t="s">
        <v>17719</v>
      </c>
      <c r="S992" s="1">
        <v>9518920789</v>
      </c>
      <c r="T992" s="1" t="s">
        <v>496</v>
      </c>
      <c r="U992" s="1" t="s">
        <v>17720</v>
      </c>
      <c r="V992" s="1">
        <v>9527791227</v>
      </c>
      <c r="W992" s="1" t="s">
        <v>17721</v>
      </c>
      <c r="X992" s="1" t="s">
        <v>17722</v>
      </c>
      <c r="Y992" s="1" t="s">
        <v>1174</v>
      </c>
      <c r="Z992" s="1" t="s">
        <v>92</v>
      </c>
      <c r="AA992" s="1" t="s">
        <v>17722</v>
      </c>
      <c r="AB992" s="1" t="s">
        <v>1174</v>
      </c>
      <c r="AC992" s="1" t="s">
        <v>92</v>
      </c>
      <c r="AD992" s="1">
        <v>7.27</v>
      </c>
      <c r="AE992" s="1" t="s">
        <v>93</v>
      </c>
      <c r="AF992" s="1" t="s">
        <v>17723</v>
      </c>
      <c r="AG992" s="1" t="s">
        <v>17724</v>
      </c>
      <c r="AH992" s="1" t="s">
        <v>281</v>
      </c>
      <c r="AI992" s="1" t="s">
        <v>409</v>
      </c>
      <c r="AJ992" s="1">
        <v>84.8</v>
      </c>
      <c r="AK992" s="1"/>
      <c r="AL992" s="1" t="s">
        <v>17725</v>
      </c>
      <c r="AM992" s="1" t="s">
        <v>17724</v>
      </c>
      <c r="AN992" s="1" t="s">
        <v>1833</v>
      </c>
      <c r="AO992" s="1" t="s">
        <v>504</v>
      </c>
      <c r="AP992" s="1">
        <v>89.5</v>
      </c>
      <c r="AQ992" s="1"/>
      <c r="AR992" s="1"/>
      <c r="AS992" s="1"/>
      <c r="AT992" s="1"/>
      <c r="AU992" s="1"/>
      <c r="AV992" s="1"/>
      <c r="AW992" s="1"/>
      <c r="AX992" s="1" t="s">
        <v>17726</v>
      </c>
      <c r="AY992" s="1" t="s">
        <v>17727</v>
      </c>
      <c r="AZ992" s="1" t="s">
        <v>1131</v>
      </c>
      <c r="BA992" s="1" t="s">
        <v>507</v>
      </c>
      <c r="BB992" s="1">
        <v>67.7</v>
      </c>
      <c r="BC992" s="1"/>
      <c r="BD992" s="1"/>
      <c r="BE992" s="1"/>
      <c r="BF992" s="1"/>
      <c r="BG992" s="1"/>
      <c r="BH992" s="1"/>
      <c r="BI992" s="1"/>
      <c r="BJ992" s="1" t="s">
        <v>734</v>
      </c>
      <c r="BK992" s="1"/>
      <c r="BL992" s="1"/>
      <c r="BM992" s="1"/>
      <c r="BN992" s="1"/>
      <c r="BO992" s="1" t="s">
        <v>17728</v>
      </c>
      <c r="BP992" s="1" t="str">
        <f>HYPERLINK("https://nconnect.nicmar.ac.in/storage/profile/ProfilePhoto_P25703057_537942.jpg","Download")</f>
        <v>0</v>
      </c>
      <c r="BQ992" s="3"/>
      <c r="BR992" s="3"/>
    </row>
    <row r="993" spans="1:70">
      <c r="A993" s="1" t="s">
        <v>552</v>
      </c>
      <c r="B993" s="1" t="s">
        <v>1269</v>
      </c>
      <c r="C993" s="1" t="s">
        <v>17729</v>
      </c>
      <c r="D993" s="1" t="s">
        <v>901</v>
      </c>
      <c r="E993" s="1" t="s">
        <v>9528</v>
      </c>
      <c r="F993" s="1" t="s">
        <v>17730</v>
      </c>
      <c r="G993" s="1" t="s">
        <v>17731</v>
      </c>
      <c r="H993" s="1" t="s">
        <v>17732</v>
      </c>
      <c r="I993" s="1" t="s">
        <v>17733</v>
      </c>
      <c r="J993" s="1">
        <v>7083885804</v>
      </c>
      <c r="K993" s="1" t="s">
        <v>79</v>
      </c>
      <c r="L993" s="1" t="s">
        <v>17734</v>
      </c>
      <c r="M993" s="1" t="s">
        <v>81</v>
      </c>
      <c r="N993" s="1" t="s">
        <v>17735</v>
      </c>
      <c r="O993" s="1"/>
      <c r="P993" s="1" t="s">
        <v>1298</v>
      </c>
      <c r="Q993" s="1" t="s">
        <v>17736</v>
      </c>
      <c r="R993" s="1" t="s">
        <v>17737</v>
      </c>
      <c r="S993" s="1">
        <v>9766707043</v>
      </c>
      <c r="T993" s="1" t="s">
        <v>842</v>
      </c>
      <c r="U993" s="1" t="s">
        <v>17738</v>
      </c>
      <c r="V993" s="1">
        <v>9881278108</v>
      </c>
      <c r="W993" s="1" t="s">
        <v>89</v>
      </c>
      <c r="X993" s="1" t="s">
        <v>17739</v>
      </c>
      <c r="Y993" s="1" t="s">
        <v>191</v>
      </c>
      <c r="Z993" s="1" t="s">
        <v>92</v>
      </c>
      <c r="AA993" s="1" t="s">
        <v>17739</v>
      </c>
      <c r="AB993" s="1" t="s">
        <v>191</v>
      </c>
      <c r="AC993" s="1" t="s">
        <v>92</v>
      </c>
      <c r="AD993" s="1">
        <v>7.63</v>
      </c>
      <c r="AE993" s="1" t="s">
        <v>93</v>
      </c>
      <c r="AF993" s="1" t="s">
        <v>17740</v>
      </c>
      <c r="AG993" s="1" t="s">
        <v>160</v>
      </c>
      <c r="AH993" s="1" t="s">
        <v>101</v>
      </c>
      <c r="AI993" s="1" t="s">
        <v>409</v>
      </c>
      <c r="AJ993" s="1">
        <v>75</v>
      </c>
      <c r="AK993" s="1"/>
      <c r="AL993" s="1" t="s">
        <v>17741</v>
      </c>
      <c r="AM993" s="1" t="s">
        <v>160</v>
      </c>
      <c r="AN993" s="1" t="s">
        <v>173</v>
      </c>
      <c r="AO993" s="1" t="s">
        <v>3081</v>
      </c>
      <c r="AP993" s="1">
        <v>71.5</v>
      </c>
      <c r="AQ993" s="1"/>
      <c r="AR993" s="1"/>
      <c r="AS993" s="1"/>
      <c r="AT993" s="1"/>
      <c r="AU993" s="1"/>
      <c r="AV993" s="1"/>
      <c r="AW993" s="1"/>
      <c r="AX993" s="1" t="s">
        <v>361</v>
      </c>
      <c r="AY993" s="1" t="s">
        <v>17741</v>
      </c>
      <c r="AZ993" s="1" t="s">
        <v>1051</v>
      </c>
      <c r="BA993" s="1" t="s">
        <v>202</v>
      </c>
      <c r="BB993" s="1">
        <v>75.47</v>
      </c>
      <c r="BC993" s="1">
        <v>8.48</v>
      </c>
      <c r="BD993" s="1"/>
      <c r="BE993" s="1"/>
      <c r="BF993" s="1"/>
      <c r="BG993" s="1"/>
      <c r="BH993" s="1"/>
      <c r="BI993" s="1"/>
      <c r="BJ993" s="1" t="s">
        <v>17742</v>
      </c>
      <c r="BK993" s="1" t="s">
        <v>17743</v>
      </c>
      <c r="BL993" s="1" t="s">
        <v>1919</v>
      </c>
      <c r="BM993" s="1" t="s">
        <v>17744</v>
      </c>
      <c r="BN993" s="1">
        <v>104</v>
      </c>
      <c r="BO993" s="1" t="s">
        <v>17745</v>
      </c>
      <c r="BP993" s="1" t="str">
        <f>HYPERLINK("https://nconnect.nicmar.ac.in/storage/profile/ProfilePhoto_P25703058_486527.jpg","Download")</f>
        <v>0</v>
      </c>
      <c r="BQ993" s="3"/>
      <c r="BR993" s="3"/>
    </row>
    <row r="994" spans="1:70">
      <c r="A994" s="1" t="s">
        <v>552</v>
      </c>
      <c r="B994" s="1" t="s">
        <v>1269</v>
      </c>
      <c r="C994" s="1" t="s">
        <v>17746</v>
      </c>
      <c r="D994" s="1" t="s">
        <v>10761</v>
      </c>
      <c r="E994" s="1" t="s">
        <v>5452</v>
      </c>
      <c r="F994" s="1" t="s">
        <v>3901</v>
      </c>
      <c r="G994" s="1" t="s">
        <v>17747</v>
      </c>
      <c r="H994" s="1" t="s">
        <v>17748</v>
      </c>
      <c r="I994" s="1" t="s">
        <v>17749</v>
      </c>
      <c r="J994" s="1">
        <v>9665170705</v>
      </c>
      <c r="K994" s="1" t="s">
        <v>148</v>
      </c>
      <c r="L994" s="1" t="s">
        <v>6037</v>
      </c>
      <c r="M994" s="1" t="s">
        <v>81</v>
      </c>
      <c r="N994" s="1" t="s">
        <v>4149</v>
      </c>
      <c r="O994" s="1"/>
      <c r="P994" s="1" t="s">
        <v>1323</v>
      </c>
      <c r="Q994" s="1" t="s">
        <v>17750</v>
      </c>
      <c r="R994" s="1" t="s">
        <v>17751</v>
      </c>
      <c r="S994" s="1">
        <v>9423518813</v>
      </c>
      <c r="T994" s="1" t="s">
        <v>9621</v>
      </c>
      <c r="U994" s="1" t="s">
        <v>17752</v>
      </c>
      <c r="V994" s="1">
        <v>9404868957</v>
      </c>
      <c r="W994" s="1" t="s">
        <v>651</v>
      </c>
      <c r="X994" s="1" t="s">
        <v>17753</v>
      </c>
      <c r="Y994" s="1" t="s">
        <v>191</v>
      </c>
      <c r="Z994" s="1" t="s">
        <v>92</v>
      </c>
      <c r="AA994" s="1" t="s">
        <v>17754</v>
      </c>
      <c r="AB994" s="1" t="s">
        <v>246</v>
      </c>
      <c r="AC994" s="1" t="s">
        <v>92</v>
      </c>
      <c r="AD994" s="1">
        <v>8.01</v>
      </c>
      <c r="AE994" s="1" t="s">
        <v>93</v>
      </c>
      <c r="AF994" s="1" t="s">
        <v>17755</v>
      </c>
      <c r="AG994" s="1" t="s">
        <v>750</v>
      </c>
      <c r="AH994" s="1" t="s">
        <v>527</v>
      </c>
      <c r="AI994" s="1" t="s">
        <v>195</v>
      </c>
      <c r="AJ994" s="1">
        <v>91</v>
      </c>
      <c r="AK994" s="1">
        <v>0</v>
      </c>
      <c r="AL994" s="1" t="s">
        <v>17756</v>
      </c>
      <c r="AM994" s="1" t="s">
        <v>750</v>
      </c>
      <c r="AN994" s="1" t="s">
        <v>166</v>
      </c>
      <c r="AO994" s="1" t="s">
        <v>198</v>
      </c>
      <c r="AP994" s="1">
        <v>74</v>
      </c>
      <c r="AQ994" s="1">
        <v>0</v>
      </c>
      <c r="AR994" s="1"/>
      <c r="AS994" s="1"/>
      <c r="AT994" s="1"/>
      <c r="AU994" s="1"/>
      <c r="AV994" s="1"/>
      <c r="AW994" s="1"/>
      <c r="AX994" s="1" t="s">
        <v>17757</v>
      </c>
      <c r="AY994" s="1" t="s">
        <v>17758</v>
      </c>
      <c r="AZ994" s="1" t="s">
        <v>681</v>
      </c>
      <c r="BA994" s="1" t="s">
        <v>413</v>
      </c>
      <c r="BB994" s="1">
        <v>82</v>
      </c>
      <c r="BC994" s="1">
        <v>8.28</v>
      </c>
      <c r="BD994" s="1"/>
      <c r="BE994" s="1"/>
      <c r="BF994" s="1"/>
      <c r="BG994" s="1"/>
      <c r="BH994" s="1"/>
      <c r="BI994" s="1"/>
      <c r="BJ994" s="1" t="s">
        <v>734</v>
      </c>
      <c r="BK994" s="1"/>
      <c r="BL994" s="1"/>
      <c r="BM994" s="1" t="s">
        <v>17759</v>
      </c>
      <c r="BN994" s="1">
        <v>8</v>
      </c>
      <c r="BO994" s="1"/>
      <c r="BP994" s="1" t="str">
        <f>HYPERLINK("https://nconnect.nicmar.ac.in/storage/profile/ProfilePhoto_P25703059_751834.jpg","Download")</f>
        <v>0</v>
      </c>
      <c r="BQ994" s="3"/>
      <c r="BR994" s="3"/>
    </row>
    <row r="995" spans="1:70">
      <c r="A995" s="1" t="s">
        <v>552</v>
      </c>
      <c r="B995" s="1" t="s">
        <v>1269</v>
      </c>
      <c r="C995" s="1" t="s">
        <v>17760</v>
      </c>
      <c r="D995" s="1" t="s">
        <v>17761</v>
      </c>
      <c r="E995" s="1" t="s">
        <v>10074</v>
      </c>
      <c r="F995" s="1" t="s">
        <v>12061</v>
      </c>
      <c r="G995" s="1" t="s">
        <v>17762</v>
      </c>
      <c r="H995" s="1" t="s">
        <v>17763</v>
      </c>
      <c r="I995" s="1" t="s">
        <v>17764</v>
      </c>
      <c r="J995" s="1">
        <v>9104020090</v>
      </c>
      <c r="K995" s="1" t="s">
        <v>79</v>
      </c>
      <c r="L995" s="1" t="s">
        <v>17765</v>
      </c>
      <c r="M995" s="1" t="s">
        <v>81</v>
      </c>
      <c r="N995" s="1" t="s">
        <v>7852</v>
      </c>
      <c r="O995" s="1" t="s">
        <v>17766</v>
      </c>
      <c r="P995" s="1" t="s">
        <v>1323</v>
      </c>
      <c r="Q995" s="1" t="s">
        <v>17767</v>
      </c>
      <c r="R995" s="1" t="s">
        <v>17768</v>
      </c>
      <c r="S995" s="1">
        <v>9712383176</v>
      </c>
      <c r="T995" s="1" t="s">
        <v>763</v>
      </c>
      <c r="U995" s="1" t="s">
        <v>17769</v>
      </c>
      <c r="V995" s="1">
        <v>7874026925</v>
      </c>
      <c r="W995" s="1" t="s">
        <v>156</v>
      </c>
      <c r="X995" s="1" t="s">
        <v>17770</v>
      </c>
      <c r="Y995" s="1" t="s">
        <v>1467</v>
      </c>
      <c r="Z995" s="1" t="s">
        <v>1468</v>
      </c>
      <c r="AA995" s="1" t="s">
        <v>17770</v>
      </c>
      <c r="AB995" s="1" t="s">
        <v>1467</v>
      </c>
      <c r="AC995" s="1" t="s">
        <v>1468</v>
      </c>
      <c r="AD995" s="1">
        <v>7.31</v>
      </c>
      <c r="AE995" s="1" t="s">
        <v>93</v>
      </c>
      <c r="AF995" s="1" t="s">
        <v>17771</v>
      </c>
      <c r="AG995" s="1" t="s">
        <v>14738</v>
      </c>
      <c r="AH995" s="1" t="s">
        <v>433</v>
      </c>
      <c r="AI995" s="1" t="s">
        <v>941</v>
      </c>
      <c r="AJ995" s="1">
        <v>70</v>
      </c>
      <c r="AK995" s="1"/>
      <c r="AL995" s="1" t="s">
        <v>17772</v>
      </c>
      <c r="AM995" s="1" t="s">
        <v>14738</v>
      </c>
      <c r="AN995" s="1" t="s">
        <v>1131</v>
      </c>
      <c r="AO995" s="1" t="s">
        <v>575</v>
      </c>
      <c r="AP995" s="1">
        <v>76.8</v>
      </c>
      <c r="AQ995" s="1"/>
      <c r="AR995" s="1"/>
      <c r="AS995" s="1"/>
      <c r="AT995" s="1"/>
      <c r="AU995" s="1"/>
      <c r="AV995" s="1"/>
      <c r="AW995" s="1"/>
      <c r="AX995" s="1" t="s">
        <v>13921</v>
      </c>
      <c r="AY995" s="1" t="s">
        <v>17773</v>
      </c>
      <c r="AZ995" s="1" t="s">
        <v>105</v>
      </c>
      <c r="BA995" s="1" t="s">
        <v>1408</v>
      </c>
      <c r="BB995" s="1">
        <v>70.1</v>
      </c>
      <c r="BC995" s="1">
        <v>7.01</v>
      </c>
      <c r="BD995" s="1"/>
      <c r="BE995" s="1"/>
      <c r="BF995" s="1"/>
      <c r="BG995" s="1"/>
      <c r="BH995" s="1"/>
      <c r="BI995" s="1"/>
      <c r="BJ995" s="1" t="s">
        <v>4102</v>
      </c>
      <c r="BK995" s="1"/>
      <c r="BL995" s="1"/>
      <c r="BM995" s="1" t="s">
        <v>17774</v>
      </c>
      <c r="BN995" s="1">
        <v>8</v>
      </c>
      <c r="BO995" s="1"/>
      <c r="BP995" s="1" t="str">
        <f>HYPERLINK("https://nconnect.nicmar.ac.in/storage/profile/ProfilePhoto_P25703060_274865.jpg","Download")</f>
        <v>0</v>
      </c>
      <c r="BQ995" s="3"/>
      <c r="BR995" s="3"/>
    </row>
    <row r="996" spans="1:70">
      <c r="A996" s="1" t="s">
        <v>552</v>
      </c>
      <c r="B996" s="1" t="s">
        <v>1269</v>
      </c>
      <c r="C996" s="1" t="s">
        <v>17775</v>
      </c>
      <c r="D996" s="1" t="s">
        <v>17776</v>
      </c>
      <c r="E996" s="1"/>
      <c r="F996" s="1" t="s">
        <v>16131</v>
      </c>
      <c r="G996" s="1" t="s">
        <v>17777</v>
      </c>
      <c r="H996" s="1" t="s">
        <v>17778</v>
      </c>
      <c r="I996" s="1" t="s">
        <v>17779</v>
      </c>
      <c r="J996" s="1">
        <v>7903276484</v>
      </c>
      <c r="K996" s="1" t="s">
        <v>79</v>
      </c>
      <c r="L996" s="1" t="s">
        <v>3004</v>
      </c>
      <c r="M996" s="1" t="s">
        <v>81</v>
      </c>
      <c r="N996" s="1" t="s">
        <v>17780</v>
      </c>
      <c r="O996" s="1"/>
      <c r="P996" s="1" t="s">
        <v>2817</v>
      </c>
      <c r="Q996" s="1" t="s">
        <v>17781</v>
      </c>
      <c r="R996" s="1" t="s">
        <v>17782</v>
      </c>
      <c r="S996" s="1">
        <v>8969849559</v>
      </c>
      <c r="T996" s="1" t="s">
        <v>496</v>
      </c>
      <c r="U996" s="1" t="s">
        <v>17783</v>
      </c>
      <c r="V996" s="1">
        <v>9931592851</v>
      </c>
      <c r="W996" s="1" t="s">
        <v>273</v>
      </c>
      <c r="X996" s="1" t="s">
        <v>17784</v>
      </c>
      <c r="Y996" s="1" t="s">
        <v>17785</v>
      </c>
      <c r="Z996" s="1" t="s">
        <v>846</v>
      </c>
      <c r="AA996" s="1" t="s">
        <v>17784</v>
      </c>
      <c r="AB996" s="1" t="s">
        <v>17785</v>
      </c>
      <c r="AC996" s="1" t="s">
        <v>846</v>
      </c>
      <c r="AD996" s="1" t="s">
        <v>93</v>
      </c>
      <c r="AE996" s="1" t="s">
        <v>93</v>
      </c>
      <c r="AF996" s="1" t="s">
        <v>17786</v>
      </c>
      <c r="AG996" s="1" t="s">
        <v>307</v>
      </c>
      <c r="AH996" s="1" t="s">
        <v>678</v>
      </c>
      <c r="AI996" s="1" t="s">
        <v>166</v>
      </c>
      <c r="AJ996" s="1">
        <v>67.83</v>
      </c>
      <c r="AK996" s="1"/>
      <c r="AL996" s="1" t="s">
        <v>17787</v>
      </c>
      <c r="AM996" s="1" t="s">
        <v>307</v>
      </c>
      <c r="AN996" s="1" t="s">
        <v>101</v>
      </c>
      <c r="AO996" s="1" t="s">
        <v>173</v>
      </c>
      <c r="AP996" s="1">
        <v>69.83</v>
      </c>
      <c r="AQ996" s="1"/>
      <c r="AR996" s="1"/>
      <c r="AS996" s="1"/>
      <c r="AT996" s="1"/>
      <c r="AU996" s="1"/>
      <c r="AV996" s="1"/>
      <c r="AW996" s="1"/>
      <c r="AX996" s="1" t="s">
        <v>17788</v>
      </c>
      <c r="AY996" s="1" t="s">
        <v>17789</v>
      </c>
      <c r="AZ996" s="1" t="s">
        <v>173</v>
      </c>
      <c r="BA996" s="1" t="s">
        <v>386</v>
      </c>
      <c r="BB996" s="1">
        <v>51.97</v>
      </c>
      <c r="BC996" s="1"/>
      <c r="BD996" s="1"/>
      <c r="BE996" s="1"/>
      <c r="BF996" s="1"/>
      <c r="BG996" s="1"/>
      <c r="BH996" s="1"/>
      <c r="BI996" s="1"/>
      <c r="BJ996" s="1" t="s">
        <v>4102</v>
      </c>
      <c r="BK996" s="1"/>
      <c r="BL996" s="1"/>
      <c r="BM996" s="1"/>
      <c r="BN996" s="1"/>
      <c r="BO996" s="1" t="s">
        <v>17790</v>
      </c>
      <c r="BP996" s="1" t="str">
        <f>HYPERLINK("https://nconnect.nicmar.ac.in/storage/profile/ProfilePhoto_P25703061_518749.jpg","Download")</f>
        <v>0</v>
      </c>
      <c r="BQ996" s="3"/>
      <c r="BR996" s="3"/>
    </row>
    <row r="997" spans="1:70">
      <c r="A997" s="1" t="s">
        <v>552</v>
      </c>
      <c r="B997" s="1" t="s">
        <v>1269</v>
      </c>
      <c r="C997" s="1" t="s">
        <v>17791</v>
      </c>
      <c r="D997" s="1" t="s">
        <v>17792</v>
      </c>
      <c r="E997" s="1"/>
      <c r="F997" s="1" t="s">
        <v>17793</v>
      </c>
      <c r="G997" s="1" t="s">
        <v>17794</v>
      </c>
      <c r="H997" s="1" t="s">
        <v>17795</v>
      </c>
      <c r="I997" s="1" t="s">
        <v>17796</v>
      </c>
      <c r="J997" s="1">
        <v>6302202455</v>
      </c>
      <c r="K997" s="1" t="s">
        <v>148</v>
      </c>
      <c r="L997" s="1" t="s">
        <v>17797</v>
      </c>
      <c r="M997" s="1" t="s">
        <v>81</v>
      </c>
      <c r="N997" s="1" t="s">
        <v>9121</v>
      </c>
      <c r="O997" s="1" t="s">
        <v>17798</v>
      </c>
      <c r="P997" s="1" t="s">
        <v>1278</v>
      </c>
      <c r="Q997" s="1" t="s">
        <v>17799</v>
      </c>
      <c r="R997" s="1" t="s">
        <v>17800</v>
      </c>
      <c r="S997" s="1">
        <v>9848311963</v>
      </c>
      <c r="T997" s="1" t="s">
        <v>496</v>
      </c>
      <c r="U997" s="1" t="s">
        <v>17801</v>
      </c>
      <c r="V997" s="1">
        <v>7799042431</v>
      </c>
      <c r="W997" s="1" t="s">
        <v>3344</v>
      </c>
      <c r="X997" s="1" t="s">
        <v>17802</v>
      </c>
      <c r="Y997" s="1" t="s">
        <v>1150</v>
      </c>
      <c r="Z997" s="1" t="s">
        <v>276</v>
      </c>
      <c r="AA997" s="1" t="s">
        <v>17802</v>
      </c>
      <c r="AB997" s="1" t="s">
        <v>1150</v>
      </c>
      <c r="AC997" s="1" t="s">
        <v>276</v>
      </c>
      <c r="AD997" s="1" t="s">
        <v>93</v>
      </c>
      <c r="AE997" s="1" t="s">
        <v>93</v>
      </c>
      <c r="AF997" s="1" t="s">
        <v>17803</v>
      </c>
      <c r="AG997" s="1" t="s">
        <v>6988</v>
      </c>
      <c r="AH997" s="1" t="s">
        <v>162</v>
      </c>
      <c r="AI997" s="1" t="s">
        <v>678</v>
      </c>
      <c r="AJ997" s="1">
        <v>87.4</v>
      </c>
      <c r="AK997" s="1">
        <v>9.2</v>
      </c>
      <c r="AL997" s="1" t="s">
        <v>17804</v>
      </c>
      <c r="AM997" s="1" t="s">
        <v>2245</v>
      </c>
      <c r="AN997" s="1" t="s">
        <v>101</v>
      </c>
      <c r="AO997" s="1" t="s">
        <v>1065</v>
      </c>
      <c r="AP997" s="1">
        <v>63.75</v>
      </c>
      <c r="AQ997" s="1">
        <v>6.71</v>
      </c>
      <c r="AR997" s="1"/>
      <c r="AS997" s="1"/>
      <c r="AT997" s="1"/>
      <c r="AU997" s="1"/>
      <c r="AV997" s="1"/>
      <c r="AW997" s="1"/>
      <c r="AX997" s="1" t="s">
        <v>3460</v>
      </c>
      <c r="AY997" s="1" t="s">
        <v>17805</v>
      </c>
      <c r="AZ997" s="1" t="s">
        <v>2016</v>
      </c>
      <c r="BA997" s="1" t="s">
        <v>6010</v>
      </c>
      <c r="BB997" s="1">
        <v>61.6</v>
      </c>
      <c r="BC997" s="1">
        <v>6.91</v>
      </c>
      <c r="BD997" s="1"/>
      <c r="BE997" s="1"/>
      <c r="BF997" s="1"/>
      <c r="BG997" s="1"/>
      <c r="BH997" s="1"/>
      <c r="BI997" s="1"/>
      <c r="BJ997" s="1" t="s">
        <v>17806</v>
      </c>
      <c r="BK997" s="1"/>
      <c r="BL997" s="1"/>
      <c r="BM997" s="1" t="s">
        <v>17807</v>
      </c>
      <c r="BN997" s="1">
        <v>8</v>
      </c>
      <c r="BO997" s="1" t="s">
        <v>17808</v>
      </c>
      <c r="BP997" s="1" t="str">
        <f>HYPERLINK("https://nconnect.nicmar.ac.in/storage/profile/ProfilePhoto_P25703062_538147.jpg","Download")</f>
        <v>0</v>
      </c>
      <c r="BQ997" s="3"/>
      <c r="BR997" s="3"/>
    </row>
    <row r="998" spans="1:70">
      <c r="A998" s="1" t="s">
        <v>552</v>
      </c>
      <c r="B998" s="1" t="s">
        <v>1269</v>
      </c>
      <c r="C998" s="1" t="s">
        <v>17809</v>
      </c>
      <c r="D998" s="1" t="s">
        <v>10485</v>
      </c>
      <c r="E998" s="1"/>
      <c r="F998" s="1" t="s">
        <v>835</v>
      </c>
      <c r="G998" s="1" t="s">
        <v>17810</v>
      </c>
      <c r="H998" s="1" t="s">
        <v>17811</v>
      </c>
      <c r="I998" s="1" t="s">
        <v>17812</v>
      </c>
      <c r="J998" s="1">
        <v>7300031188</v>
      </c>
      <c r="K998" s="1" t="s">
        <v>148</v>
      </c>
      <c r="L998" s="1" t="s">
        <v>17813</v>
      </c>
      <c r="M998" s="1" t="s">
        <v>81</v>
      </c>
      <c r="N998" s="1" t="s">
        <v>5040</v>
      </c>
      <c r="O998" s="1"/>
      <c r="P998" s="1" t="s">
        <v>1278</v>
      </c>
      <c r="Q998" s="1" t="s">
        <v>17814</v>
      </c>
      <c r="R998" s="1" t="s">
        <v>17815</v>
      </c>
      <c r="S998" s="1">
        <v>9983002605</v>
      </c>
      <c r="T998" s="1" t="s">
        <v>17816</v>
      </c>
      <c r="U998" s="1" t="s">
        <v>17817</v>
      </c>
      <c r="V998" s="1">
        <v>9983003388</v>
      </c>
      <c r="W998" s="1" t="s">
        <v>651</v>
      </c>
      <c r="X998" s="1" t="s">
        <v>17818</v>
      </c>
      <c r="Y998" s="1" t="s">
        <v>866</v>
      </c>
      <c r="Z998" s="1" t="s">
        <v>867</v>
      </c>
      <c r="AA998" s="1" t="s">
        <v>17818</v>
      </c>
      <c r="AB998" s="1" t="s">
        <v>866</v>
      </c>
      <c r="AC998" s="1" t="s">
        <v>867</v>
      </c>
      <c r="AD998" s="1" t="s">
        <v>93</v>
      </c>
      <c r="AE998" s="1" t="s">
        <v>93</v>
      </c>
      <c r="AF998" s="1" t="s">
        <v>723</v>
      </c>
      <c r="AG998" s="1" t="s">
        <v>307</v>
      </c>
      <c r="AH998" s="1" t="s">
        <v>1065</v>
      </c>
      <c r="AI998" s="1" t="s">
        <v>681</v>
      </c>
      <c r="AJ998" s="1">
        <v>69.83</v>
      </c>
      <c r="AK998" s="1">
        <v>0</v>
      </c>
      <c r="AL998" s="1" t="s">
        <v>723</v>
      </c>
      <c r="AM998" s="1" t="s">
        <v>307</v>
      </c>
      <c r="AN998" s="1" t="s">
        <v>3081</v>
      </c>
      <c r="AO998" s="1" t="s">
        <v>105</v>
      </c>
      <c r="AP998" s="1">
        <v>76.4</v>
      </c>
      <c r="AQ998" s="1">
        <v>0</v>
      </c>
      <c r="AR998" s="1"/>
      <c r="AS998" s="1"/>
      <c r="AT998" s="1"/>
      <c r="AU998" s="1"/>
      <c r="AV998" s="1"/>
      <c r="AW998" s="1"/>
      <c r="AX998" s="1" t="s">
        <v>17819</v>
      </c>
      <c r="AY998" s="1" t="s">
        <v>17820</v>
      </c>
      <c r="AZ998" s="1" t="s">
        <v>481</v>
      </c>
      <c r="BA998" s="1" t="s">
        <v>1361</v>
      </c>
      <c r="BB998" s="1">
        <v>53.62</v>
      </c>
      <c r="BC998" s="1">
        <v>5.87</v>
      </c>
      <c r="BD998" s="1"/>
      <c r="BE998" s="1"/>
      <c r="BF998" s="1"/>
      <c r="BG998" s="1"/>
      <c r="BH998" s="1"/>
      <c r="BI998" s="1"/>
      <c r="BJ998" s="1" t="s">
        <v>4102</v>
      </c>
      <c r="BK998" s="1"/>
      <c r="BL998" s="1"/>
      <c r="BM998" s="1"/>
      <c r="BN998" s="1"/>
      <c r="BO998" s="1"/>
      <c r="BP998" s="1" t="str">
        <f>HYPERLINK("https://nconnect.nicmar.ac.in/storage/profile/ProfilePhoto_P25703063_326758.jpg","Download")</f>
        <v>0</v>
      </c>
      <c r="BQ998" s="3"/>
      <c r="BR998" s="3"/>
    </row>
    <row r="999" spans="1:70">
      <c r="A999" s="1" t="s">
        <v>552</v>
      </c>
      <c r="B999" s="1" t="s">
        <v>1269</v>
      </c>
      <c r="C999" s="1" t="s">
        <v>17821</v>
      </c>
      <c r="D999" s="1" t="s">
        <v>17822</v>
      </c>
      <c r="E999" s="1" t="s">
        <v>5019</v>
      </c>
      <c r="F999" s="1" t="s">
        <v>17823</v>
      </c>
      <c r="G999" s="1" t="s">
        <v>17824</v>
      </c>
      <c r="H999" s="1" t="s">
        <v>17825</v>
      </c>
      <c r="I999" s="1" t="s">
        <v>17826</v>
      </c>
      <c r="J999" s="1">
        <v>9373052834</v>
      </c>
      <c r="K999" s="1" t="s">
        <v>148</v>
      </c>
      <c r="L999" s="1" t="s">
        <v>16730</v>
      </c>
      <c r="M999" s="1" t="s">
        <v>81</v>
      </c>
      <c r="N999" s="1" t="s">
        <v>17827</v>
      </c>
      <c r="O999" s="1" t="s">
        <v>17828</v>
      </c>
      <c r="P999" s="1" t="s">
        <v>1323</v>
      </c>
      <c r="Q999" s="1" t="s">
        <v>17829</v>
      </c>
      <c r="R999" s="1" t="s">
        <v>5019</v>
      </c>
      <c r="S999" s="1">
        <v>9975886564</v>
      </c>
      <c r="T999" s="1" t="s">
        <v>154</v>
      </c>
      <c r="U999" s="1" t="s">
        <v>6003</v>
      </c>
      <c r="V999" s="1">
        <v>9096671764</v>
      </c>
      <c r="W999" s="1" t="s">
        <v>156</v>
      </c>
      <c r="X999" s="1" t="s">
        <v>17830</v>
      </c>
      <c r="Y999" s="1" t="s">
        <v>523</v>
      </c>
      <c r="Z999" s="1" t="s">
        <v>92</v>
      </c>
      <c r="AA999" s="1" t="s">
        <v>17830</v>
      </c>
      <c r="AB999" s="1" t="s">
        <v>523</v>
      </c>
      <c r="AC999" s="1" t="s">
        <v>92</v>
      </c>
      <c r="AD999" s="1">
        <v>7.67</v>
      </c>
      <c r="AE999" s="1" t="s">
        <v>93</v>
      </c>
      <c r="AF999" s="1" t="s">
        <v>17831</v>
      </c>
      <c r="AG999" s="1" t="s">
        <v>160</v>
      </c>
      <c r="AH999" s="1" t="s">
        <v>7997</v>
      </c>
      <c r="AI999" s="1" t="s">
        <v>409</v>
      </c>
      <c r="AJ999" s="1">
        <v>88.6</v>
      </c>
      <c r="AK999" s="1"/>
      <c r="AL999" s="1" t="s">
        <v>17832</v>
      </c>
      <c r="AM999" s="1" t="s">
        <v>307</v>
      </c>
      <c r="AN999" s="1" t="s">
        <v>1065</v>
      </c>
      <c r="AO999" s="1" t="s">
        <v>1051</v>
      </c>
      <c r="AP999" s="1">
        <v>75</v>
      </c>
      <c r="AQ999" s="1"/>
      <c r="AR999" s="1"/>
      <c r="AS999" s="1"/>
      <c r="AT999" s="1"/>
      <c r="AU999" s="1"/>
      <c r="AV999" s="1"/>
      <c r="AW999" s="1"/>
      <c r="AX999" s="1" t="s">
        <v>10157</v>
      </c>
      <c r="AY999" s="1" t="s">
        <v>17833</v>
      </c>
      <c r="AZ999" s="1" t="s">
        <v>1051</v>
      </c>
      <c r="BA999" s="1" t="s">
        <v>413</v>
      </c>
      <c r="BB999" s="1">
        <v>62.39</v>
      </c>
      <c r="BC999" s="1">
        <v>6.68</v>
      </c>
      <c r="BD999" s="1"/>
      <c r="BE999" s="1"/>
      <c r="BF999" s="1"/>
      <c r="BG999" s="1"/>
      <c r="BH999" s="1"/>
      <c r="BI999" s="1"/>
      <c r="BJ999" s="1" t="s">
        <v>17834</v>
      </c>
      <c r="BK999" s="1"/>
      <c r="BL999" s="1"/>
      <c r="BM999" s="1" t="s">
        <v>17835</v>
      </c>
      <c r="BN999" s="1">
        <v>16</v>
      </c>
      <c r="BO999" s="1"/>
      <c r="BP999" s="1" t="str">
        <f>HYPERLINK("https://nconnect.nicmar.ac.in/storage/profile/ProfilePhoto_P25703064_951836.jpg","Download")</f>
        <v>0</v>
      </c>
      <c r="BQ999" s="3"/>
      <c r="BR999" s="3"/>
    </row>
    <row r="1000" spans="1:70">
      <c r="A1000" s="1" t="s">
        <v>552</v>
      </c>
      <c r="B1000" s="1" t="s">
        <v>1269</v>
      </c>
      <c r="C1000" s="1" t="s">
        <v>17836</v>
      </c>
      <c r="D1000" s="1" t="s">
        <v>6465</v>
      </c>
      <c r="E1000" s="1" t="s">
        <v>1032</v>
      </c>
      <c r="F1000" s="1" t="s">
        <v>17837</v>
      </c>
      <c r="G1000" s="1" t="s">
        <v>17838</v>
      </c>
      <c r="H1000" s="1" t="s">
        <v>17839</v>
      </c>
      <c r="I1000" s="1" t="s">
        <v>17840</v>
      </c>
      <c r="J1000" s="1">
        <v>7447508250</v>
      </c>
      <c r="K1000" s="1" t="s">
        <v>79</v>
      </c>
      <c r="L1000" s="1" t="s">
        <v>17841</v>
      </c>
      <c r="M1000" s="1" t="s">
        <v>81</v>
      </c>
      <c r="N1000" s="1" t="s">
        <v>185</v>
      </c>
      <c r="O1000" s="1"/>
      <c r="P1000" s="1" t="s">
        <v>1298</v>
      </c>
      <c r="Q1000" s="1" t="s">
        <v>17842</v>
      </c>
      <c r="R1000" s="1" t="s">
        <v>1032</v>
      </c>
      <c r="S1000" s="1">
        <v>9423218654</v>
      </c>
      <c r="T1000" s="1" t="s">
        <v>11832</v>
      </c>
      <c r="U1000" s="1" t="s">
        <v>8778</v>
      </c>
      <c r="V1000" s="1">
        <v>9404239022</v>
      </c>
      <c r="W1000" s="1" t="s">
        <v>7415</v>
      </c>
      <c r="X1000" s="1" t="s">
        <v>17843</v>
      </c>
      <c r="Y1000" s="1" t="s">
        <v>191</v>
      </c>
      <c r="Z1000" s="1" t="s">
        <v>92</v>
      </c>
      <c r="AA1000" s="1" t="s">
        <v>17843</v>
      </c>
      <c r="AB1000" s="1" t="s">
        <v>191</v>
      </c>
      <c r="AC1000" s="1" t="s">
        <v>92</v>
      </c>
      <c r="AD1000" s="1" t="s">
        <v>93</v>
      </c>
      <c r="AE1000" s="1" t="s">
        <v>93</v>
      </c>
      <c r="AF1000" s="1" t="s">
        <v>17844</v>
      </c>
      <c r="AG1000" s="1" t="s">
        <v>17845</v>
      </c>
      <c r="AH1000" s="1" t="s">
        <v>433</v>
      </c>
      <c r="AI1000" s="1" t="s">
        <v>173</v>
      </c>
      <c r="AJ1000" s="1">
        <v>78</v>
      </c>
      <c r="AK1000" s="1"/>
      <c r="AL1000" s="1" t="s">
        <v>17076</v>
      </c>
      <c r="AM1000" s="1" t="s">
        <v>17845</v>
      </c>
      <c r="AN1000" s="1" t="s">
        <v>436</v>
      </c>
      <c r="AO1000" s="1" t="s">
        <v>481</v>
      </c>
      <c r="AP1000" s="1">
        <v>57.17</v>
      </c>
      <c r="AQ1000" s="1"/>
      <c r="AR1000" s="1"/>
      <c r="AS1000" s="1"/>
      <c r="AT1000" s="1"/>
      <c r="AU1000" s="1"/>
      <c r="AV1000" s="1"/>
      <c r="AW1000" s="1"/>
      <c r="AX1000" s="1" t="s">
        <v>361</v>
      </c>
      <c r="AY1000" s="1" t="s">
        <v>17846</v>
      </c>
      <c r="AZ1000" s="1" t="s">
        <v>105</v>
      </c>
      <c r="BA1000" s="1" t="s">
        <v>1714</v>
      </c>
      <c r="BB1000" s="1">
        <v>76.19</v>
      </c>
      <c r="BC1000" s="1">
        <v>8.02</v>
      </c>
      <c r="BD1000" s="1"/>
      <c r="BE1000" s="1"/>
      <c r="BF1000" s="1"/>
      <c r="BG1000" s="1"/>
      <c r="BH1000" s="1"/>
      <c r="BI1000" s="1"/>
      <c r="BJ1000" s="1" t="s">
        <v>17847</v>
      </c>
      <c r="BK1000" s="1"/>
      <c r="BL1000" s="1"/>
      <c r="BM1000" s="1"/>
      <c r="BN1000" s="1"/>
      <c r="BO1000" s="1"/>
      <c r="BP1000" s="1" t="str">
        <f>HYPERLINK("https://nconnect.nicmar.ac.in/storage/profile/ProfilePhoto_P25703065_946527.jpg","Download")</f>
        <v>0</v>
      </c>
      <c r="BQ1000" s="3"/>
      <c r="BR1000" s="3"/>
    </row>
    <row r="1001" spans="1:70">
      <c r="A1001" s="1" t="s">
        <v>552</v>
      </c>
      <c r="B1001" s="1" t="s">
        <v>1269</v>
      </c>
      <c r="C1001" s="1" t="s">
        <v>17848</v>
      </c>
      <c r="D1001" s="1" t="s">
        <v>17849</v>
      </c>
      <c r="E1001" s="1" t="s">
        <v>17850</v>
      </c>
      <c r="F1001" s="1" t="s">
        <v>17851</v>
      </c>
      <c r="G1001" s="1" t="s">
        <v>17852</v>
      </c>
      <c r="H1001" s="1" t="s">
        <v>17853</v>
      </c>
      <c r="I1001" s="1" t="s">
        <v>17854</v>
      </c>
      <c r="J1001" s="1">
        <v>8169845690</v>
      </c>
      <c r="K1001" s="1" t="s">
        <v>79</v>
      </c>
      <c r="L1001" s="1" t="s">
        <v>17855</v>
      </c>
      <c r="M1001" s="1" t="s">
        <v>81</v>
      </c>
      <c r="N1001" s="1" t="s">
        <v>17856</v>
      </c>
      <c r="O1001" s="1"/>
      <c r="P1001" s="1" t="s">
        <v>1298</v>
      </c>
      <c r="Q1001" s="1" t="s">
        <v>17857</v>
      </c>
      <c r="R1001" s="1" t="s">
        <v>17858</v>
      </c>
      <c r="S1001" s="1">
        <v>9860215269</v>
      </c>
      <c r="T1001" s="1" t="s">
        <v>496</v>
      </c>
      <c r="U1001" s="1" t="s">
        <v>17859</v>
      </c>
      <c r="V1001" s="1">
        <v>7219018300</v>
      </c>
      <c r="W1001" s="1" t="s">
        <v>651</v>
      </c>
      <c r="X1001" s="1" t="s">
        <v>17860</v>
      </c>
      <c r="Y1001" s="1" t="s">
        <v>5064</v>
      </c>
      <c r="Z1001" s="1" t="s">
        <v>92</v>
      </c>
      <c r="AA1001" s="1" t="s">
        <v>17860</v>
      </c>
      <c r="AB1001" s="1" t="s">
        <v>5064</v>
      </c>
      <c r="AC1001" s="1" t="s">
        <v>92</v>
      </c>
      <c r="AD1001" s="1">
        <v>6.92</v>
      </c>
      <c r="AE1001" s="1" t="s">
        <v>93</v>
      </c>
      <c r="AF1001" s="1" t="s">
        <v>8799</v>
      </c>
      <c r="AG1001" s="1" t="s">
        <v>160</v>
      </c>
      <c r="AH1001" s="1" t="s">
        <v>166</v>
      </c>
      <c r="AI1001" s="1" t="s">
        <v>409</v>
      </c>
      <c r="AJ1001" s="1">
        <v>71</v>
      </c>
      <c r="AK1001" s="1"/>
      <c r="AL1001" s="1" t="s">
        <v>17861</v>
      </c>
      <c r="AM1001" s="1" t="s">
        <v>160</v>
      </c>
      <c r="AN1001" s="1" t="s">
        <v>699</v>
      </c>
      <c r="AO1001" s="1" t="s">
        <v>504</v>
      </c>
      <c r="AP1001" s="1">
        <v>78.33</v>
      </c>
      <c r="AQ1001" s="1"/>
      <c r="AR1001" s="1"/>
      <c r="AS1001" s="1"/>
      <c r="AT1001" s="1"/>
      <c r="AU1001" s="1"/>
      <c r="AV1001" s="1"/>
      <c r="AW1001" s="1"/>
      <c r="AX1001" s="1" t="s">
        <v>1024</v>
      </c>
      <c r="AY1001" s="1" t="s">
        <v>17862</v>
      </c>
      <c r="AZ1001" s="1" t="s">
        <v>506</v>
      </c>
      <c r="BA1001" s="1" t="s">
        <v>3158</v>
      </c>
      <c r="BB1001" s="1">
        <v>62.5</v>
      </c>
      <c r="BC1001" s="1">
        <v>7.33</v>
      </c>
      <c r="BD1001" s="1"/>
      <c r="BE1001" s="1"/>
      <c r="BF1001" s="1"/>
      <c r="BG1001" s="1"/>
      <c r="BH1001" s="1"/>
      <c r="BI1001" s="1"/>
      <c r="BJ1001" s="1" t="s">
        <v>17863</v>
      </c>
      <c r="BK1001" s="1"/>
      <c r="BL1001" s="1"/>
      <c r="BM1001" s="1" t="s">
        <v>17864</v>
      </c>
      <c r="BN1001" s="1">
        <v>8</v>
      </c>
      <c r="BO1001" s="1" t="s">
        <v>17865</v>
      </c>
      <c r="BP1001" s="1" t="str">
        <f>HYPERLINK("https://nconnect.nicmar.ac.in/storage/profile/ProfilePhoto_P25703066_498361.jpg","Download")</f>
        <v>0</v>
      </c>
      <c r="BQ1001" s="3"/>
      <c r="BR1001" s="3"/>
    </row>
    <row r="1002" spans="1:70">
      <c r="A1002" s="1" t="s">
        <v>552</v>
      </c>
      <c r="B1002" s="1" t="s">
        <v>1269</v>
      </c>
      <c r="C1002" s="1" t="s">
        <v>17866</v>
      </c>
      <c r="D1002" s="1" t="s">
        <v>17867</v>
      </c>
      <c r="E1002" s="1"/>
      <c r="F1002" s="1" t="s">
        <v>15362</v>
      </c>
      <c r="G1002" s="1" t="s">
        <v>17868</v>
      </c>
      <c r="H1002" s="1" t="s">
        <v>17869</v>
      </c>
      <c r="I1002" s="1" t="s">
        <v>17870</v>
      </c>
      <c r="J1002" s="1">
        <v>8839930021</v>
      </c>
      <c r="K1002" s="1" t="s">
        <v>148</v>
      </c>
      <c r="L1002" s="1" t="s">
        <v>17871</v>
      </c>
      <c r="M1002" s="1" t="s">
        <v>81</v>
      </c>
      <c r="N1002" s="1" t="s">
        <v>82</v>
      </c>
      <c r="O1002" s="1" t="s">
        <v>17872</v>
      </c>
      <c r="P1002" s="1" t="s">
        <v>1278</v>
      </c>
      <c r="Q1002" s="1" t="s">
        <v>17873</v>
      </c>
      <c r="R1002" s="1" t="s">
        <v>17874</v>
      </c>
      <c r="S1002" s="1">
        <v>7620471414</v>
      </c>
      <c r="T1002" s="1" t="s">
        <v>87</v>
      </c>
      <c r="U1002" s="1" t="s">
        <v>17875</v>
      </c>
      <c r="V1002" s="1">
        <v>7803959500</v>
      </c>
      <c r="W1002" s="1" t="s">
        <v>156</v>
      </c>
      <c r="X1002" s="1" t="s">
        <v>17876</v>
      </c>
      <c r="Y1002" s="1" t="s">
        <v>6065</v>
      </c>
      <c r="Z1002" s="1" t="s">
        <v>1237</v>
      </c>
      <c r="AA1002" s="1" t="s">
        <v>17876</v>
      </c>
      <c r="AB1002" s="1" t="s">
        <v>6065</v>
      </c>
      <c r="AC1002" s="1" t="s">
        <v>1237</v>
      </c>
      <c r="AD1002" s="1" t="s">
        <v>93</v>
      </c>
      <c r="AE1002" s="1" t="s">
        <v>93</v>
      </c>
      <c r="AF1002" s="1" t="s">
        <v>17877</v>
      </c>
      <c r="AG1002" s="1" t="s">
        <v>17878</v>
      </c>
      <c r="AH1002" s="1" t="s">
        <v>383</v>
      </c>
      <c r="AI1002" s="1" t="s">
        <v>166</v>
      </c>
      <c r="AJ1002" s="1">
        <v>84.66</v>
      </c>
      <c r="AK1002" s="1">
        <v>0</v>
      </c>
      <c r="AL1002" s="1" t="s">
        <v>17877</v>
      </c>
      <c r="AM1002" s="1" t="s">
        <v>17878</v>
      </c>
      <c r="AN1002" s="1" t="s">
        <v>310</v>
      </c>
      <c r="AO1002" s="1" t="s">
        <v>173</v>
      </c>
      <c r="AP1002" s="1">
        <v>80.8</v>
      </c>
      <c r="AQ1002" s="1">
        <v>0</v>
      </c>
      <c r="AR1002" s="1"/>
      <c r="AS1002" s="1"/>
      <c r="AT1002" s="1"/>
      <c r="AU1002" s="1"/>
      <c r="AV1002" s="1"/>
      <c r="AW1002" s="1"/>
      <c r="AX1002" s="1" t="s">
        <v>17879</v>
      </c>
      <c r="AY1002" s="1" t="s">
        <v>17880</v>
      </c>
      <c r="AZ1002" s="1" t="s">
        <v>173</v>
      </c>
      <c r="BA1002" s="1" t="s">
        <v>386</v>
      </c>
      <c r="BB1002" s="1">
        <v>78.27</v>
      </c>
      <c r="BC1002" s="1"/>
      <c r="BD1002" s="1" t="s">
        <v>17881</v>
      </c>
      <c r="BE1002" s="1" t="s">
        <v>17586</v>
      </c>
      <c r="BF1002" s="1" t="s">
        <v>386</v>
      </c>
      <c r="BG1002" s="1" t="s">
        <v>6069</v>
      </c>
      <c r="BH1002" s="1">
        <v>63.95</v>
      </c>
      <c r="BI1002" s="1"/>
      <c r="BJ1002" s="1" t="s">
        <v>4102</v>
      </c>
      <c r="BK1002" s="1"/>
      <c r="BL1002" s="1"/>
      <c r="BM1002" s="1"/>
      <c r="BN1002" s="1"/>
      <c r="BO1002" s="1" t="s">
        <v>17882</v>
      </c>
      <c r="BP1002" s="1" t="str">
        <f>HYPERLINK("https://nconnect.nicmar.ac.in/storage/profile/ProfilePhoto_P25703067_814359.jpg","Download")</f>
        <v>0</v>
      </c>
      <c r="BQ1002" s="3"/>
      <c r="BR1002" s="3"/>
    </row>
    <row r="1003" spans="1:70">
      <c r="A1003" s="1" t="s">
        <v>552</v>
      </c>
      <c r="B1003" s="1" t="s">
        <v>1269</v>
      </c>
      <c r="C1003" s="1" t="s">
        <v>17883</v>
      </c>
      <c r="D1003" s="1" t="s">
        <v>6094</v>
      </c>
      <c r="E1003" s="1" t="s">
        <v>208</v>
      </c>
      <c r="F1003" s="1" t="s">
        <v>17884</v>
      </c>
      <c r="G1003" s="1" t="s">
        <v>17885</v>
      </c>
      <c r="H1003" s="1" t="s">
        <v>17886</v>
      </c>
      <c r="I1003" s="1" t="s">
        <v>17887</v>
      </c>
      <c r="J1003" s="1">
        <v>8080879711</v>
      </c>
      <c r="K1003" s="1" t="s">
        <v>148</v>
      </c>
      <c r="L1003" s="1" t="s">
        <v>13408</v>
      </c>
      <c r="M1003" s="1" t="s">
        <v>81</v>
      </c>
      <c r="N1003" s="1" t="s">
        <v>17888</v>
      </c>
      <c r="O1003" s="1"/>
      <c r="P1003" s="1" t="s">
        <v>1298</v>
      </c>
      <c r="Q1003" s="1" t="s">
        <v>17889</v>
      </c>
      <c r="R1003" s="1" t="s">
        <v>17890</v>
      </c>
      <c r="S1003" s="1">
        <v>8080879711</v>
      </c>
      <c r="T1003" s="1" t="s">
        <v>1351</v>
      </c>
      <c r="U1003" s="1" t="s">
        <v>17891</v>
      </c>
      <c r="V1003" s="1">
        <v>9579801266</v>
      </c>
      <c r="W1003" s="1" t="s">
        <v>156</v>
      </c>
      <c r="X1003" s="1" t="s">
        <v>17892</v>
      </c>
      <c r="Y1003" s="1" t="s">
        <v>328</v>
      </c>
      <c r="Z1003" s="1" t="s">
        <v>92</v>
      </c>
      <c r="AA1003" s="1" t="s">
        <v>17892</v>
      </c>
      <c r="AB1003" s="1" t="s">
        <v>328</v>
      </c>
      <c r="AC1003" s="1" t="s">
        <v>92</v>
      </c>
      <c r="AD1003" s="1" t="s">
        <v>93</v>
      </c>
      <c r="AE1003" s="1" t="s">
        <v>93</v>
      </c>
      <c r="AF1003" s="1" t="s">
        <v>17893</v>
      </c>
      <c r="AG1003" s="1" t="s">
        <v>9678</v>
      </c>
      <c r="AH1003" s="1" t="s">
        <v>479</v>
      </c>
      <c r="AI1003" s="1" t="s">
        <v>173</v>
      </c>
      <c r="AJ1003" s="1">
        <v>63.2</v>
      </c>
      <c r="AK1003" s="1">
        <v>6.65</v>
      </c>
      <c r="AL1003" s="1" t="s">
        <v>17894</v>
      </c>
      <c r="AM1003" s="1" t="s">
        <v>544</v>
      </c>
      <c r="AN1003" s="1" t="s">
        <v>681</v>
      </c>
      <c r="AO1003" s="1" t="s">
        <v>284</v>
      </c>
      <c r="AP1003" s="1">
        <v>86.5</v>
      </c>
      <c r="AQ1003" s="1">
        <v>8.65</v>
      </c>
      <c r="AR1003" s="1"/>
      <c r="AS1003" s="1"/>
      <c r="AT1003" s="1"/>
      <c r="AU1003" s="1"/>
      <c r="AV1003" s="1"/>
      <c r="AW1003" s="1"/>
      <c r="AX1003" s="1" t="s">
        <v>335</v>
      </c>
      <c r="AY1003" s="1" t="s">
        <v>17895</v>
      </c>
      <c r="AZ1003" s="1" t="s">
        <v>5467</v>
      </c>
      <c r="BA1003" s="1" t="s">
        <v>1584</v>
      </c>
      <c r="BB1003" s="1">
        <v>62.7</v>
      </c>
      <c r="BC1003" s="1">
        <v>6.6</v>
      </c>
      <c r="BD1003" s="1"/>
      <c r="BE1003" s="1"/>
      <c r="BF1003" s="1"/>
      <c r="BG1003" s="1"/>
      <c r="BH1003" s="1"/>
      <c r="BI1003" s="1"/>
      <c r="BJ1003" s="1" t="s">
        <v>17896</v>
      </c>
      <c r="BK1003" s="1"/>
      <c r="BL1003" s="1"/>
      <c r="BM1003" s="1"/>
      <c r="BN1003" s="1"/>
      <c r="BO1003" s="1" t="s">
        <v>17897</v>
      </c>
      <c r="BP1003" s="1" t="str">
        <f>HYPERLINK("https://nconnect.nicmar.ac.in/storage/profile/ProfilePhoto_P25703069_368529.jpg","Download")</f>
        <v>0</v>
      </c>
      <c r="BQ1003" s="3"/>
      <c r="BR1003" s="3"/>
    </row>
    <row r="1004" spans="1:70">
      <c r="A1004" s="1" t="s">
        <v>552</v>
      </c>
      <c r="B1004" s="1" t="s">
        <v>1269</v>
      </c>
      <c r="C1004" s="1" t="s">
        <v>17898</v>
      </c>
      <c r="D1004" s="1" t="s">
        <v>17899</v>
      </c>
      <c r="E1004" s="1"/>
      <c r="F1004" s="1" t="s">
        <v>835</v>
      </c>
      <c r="G1004" s="1" t="s">
        <v>17900</v>
      </c>
      <c r="H1004" s="1" t="s">
        <v>17901</v>
      </c>
      <c r="I1004" s="1" t="s">
        <v>17902</v>
      </c>
      <c r="J1004" s="1">
        <v>9556069753</v>
      </c>
      <c r="K1004" s="1" t="s">
        <v>79</v>
      </c>
      <c r="L1004" s="1" t="s">
        <v>17903</v>
      </c>
      <c r="M1004" s="1" t="s">
        <v>81</v>
      </c>
      <c r="N1004" s="1" t="s">
        <v>241</v>
      </c>
      <c r="O1004" s="1"/>
      <c r="P1004" s="1" t="s">
        <v>1298</v>
      </c>
      <c r="Q1004" s="1" t="s">
        <v>17904</v>
      </c>
      <c r="R1004" s="1" t="s">
        <v>17905</v>
      </c>
      <c r="S1004" s="1">
        <v>9777446361</v>
      </c>
      <c r="T1004" s="1" t="s">
        <v>14293</v>
      </c>
      <c r="U1004" s="1" t="s">
        <v>17906</v>
      </c>
      <c r="V1004" s="1">
        <v>9777446361</v>
      </c>
      <c r="W1004" s="1" t="s">
        <v>273</v>
      </c>
      <c r="X1004" s="1" t="s">
        <v>17907</v>
      </c>
      <c r="Y1004" s="1" t="s">
        <v>17908</v>
      </c>
      <c r="Z1004" s="1" t="s">
        <v>1355</v>
      </c>
      <c r="AA1004" s="1" t="s">
        <v>17907</v>
      </c>
      <c r="AB1004" s="1" t="s">
        <v>17908</v>
      </c>
      <c r="AC1004" s="1" t="s">
        <v>1355</v>
      </c>
      <c r="AD1004" s="1">
        <v>8.07</v>
      </c>
      <c r="AE1004" s="1" t="s">
        <v>93</v>
      </c>
      <c r="AF1004" s="1" t="s">
        <v>17909</v>
      </c>
      <c r="AG1004" s="1" t="s">
        <v>17910</v>
      </c>
      <c r="AH1004" s="1" t="s">
        <v>5196</v>
      </c>
      <c r="AI1004" s="1" t="s">
        <v>2949</v>
      </c>
      <c r="AJ1004" s="1">
        <v>71.8</v>
      </c>
      <c r="AK1004" s="1"/>
      <c r="AL1004" s="1" t="s">
        <v>17909</v>
      </c>
      <c r="AM1004" s="1" t="s">
        <v>17910</v>
      </c>
      <c r="AN1004" s="1" t="s">
        <v>2991</v>
      </c>
      <c r="AO1004" s="1" t="s">
        <v>331</v>
      </c>
      <c r="AP1004" s="1">
        <v>61.6</v>
      </c>
      <c r="AQ1004" s="1"/>
      <c r="AR1004" s="1" t="s">
        <v>5386</v>
      </c>
      <c r="AS1004" s="1" t="s">
        <v>17911</v>
      </c>
      <c r="AT1004" s="1" t="s">
        <v>128</v>
      </c>
      <c r="AU1004" s="1" t="s">
        <v>161</v>
      </c>
      <c r="AV1004" s="1">
        <v>64.82</v>
      </c>
      <c r="AW1004" s="1"/>
      <c r="AX1004" s="1" t="s">
        <v>17912</v>
      </c>
      <c r="AY1004" s="1" t="s">
        <v>17913</v>
      </c>
      <c r="AZ1004" s="1" t="s">
        <v>337</v>
      </c>
      <c r="BA1004" s="1" t="s">
        <v>169</v>
      </c>
      <c r="BB1004" s="1">
        <v>72.8</v>
      </c>
      <c r="BC1004" s="1">
        <v>7.78</v>
      </c>
      <c r="BD1004" s="1"/>
      <c r="BE1004" s="1"/>
      <c r="BF1004" s="1"/>
      <c r="BG1004" s="1"/>
      <c r="BH1004" s="1"/>
      <c r="BI1004" s="1"/>
      <c r="BJ1004" s="1" t="s">
        <v>734</v>
      </c>
      <c r="BK1004" s="1" t="s">
        <v>17914</v>
      </c>
      <c r="BL1004" s="1" t="s">
        <v>4701</v>
      </c>
      <c r="BM1004" s="1" t="s">
        <v>17915</v>
      </c>
      <c r="BN1004" s="1">
        <v>3</v>
      </c>
      <c r="BO1004" s="1" t="s">
        <v>17916</v>
      </c>
      <c r="BP1004" s="1" t="str">
        <f>HYPERLINK("https://nconnect.nicmar.ac.in/storage/profile/ProfilePhoto_P25703070_916348.jpg","Download")</f>
        <v>0</v>
      </c>
      <c r="BQ1004" s="3"/>
      <c r="BR1004" s="3"/>
    </row>
    <row r="1005" spans="1:70">
      <c r="A1005" s="1" t="s">
        <v>552</v>
      </c>
      <c r="B1005" s="1" t="s">
        <v>1269</v>
      </c>
      <c r="C1005" s="1" t="s">
        <v>17917</v>
      </c>
      <c r="D1005" s="1" t="s">
        <v>1965</v>
      </c>
      <c r="E1005" s="1" t="s">
        <v>17918</v>
      </c>
      <c r="F1005" s="1" t="s">
        <v>17919</v>
      </c>
      <c r="G1005" s="1" t="s">
        <v>17920</v>
      </c>
      <c r="H1005" s="1" t="s">
        <v>17921</v>
      </c>
      <c r="I1005" s="1" t="s">
        <v>17922</v>
      </c>
      <c r="J1005" s="1">
        <v>8208743302</v>
      </c>
      <c r="K1005" s="1" t="s">
        <v>79</v>
      </c>
      <c r="L1005" s="1" t="s">
        <v>17923</v>
      </c>
      <c r="M1005" s="1" t="s">
        <v>81</v>
      </c>
      <c r="N1005" s="1" t="s">
        <v>860</v>
      </c>
      <c r="O1005" s="1"/>
      <c r="P1005" s="1" t="s">
        <v>1323</v>
      </c>
      <c r="Q1005" s="1" t="s">
        <v>17924</v>
      </c>
      <c r="R1005" s="1" t="s">
        <v>17925</v>
      </c>
      <c r="S1005" s="1">
        <v>9923102205</v>
      </c>
      <c r="T1005" s="1" t="s">
        <v>17926</v>
      </c>
      <c r="U1005" s="1" t="s">
        <v>17927</v>
      </c>
      <c r="V1005" s="1">
        <v>7588156681</v>
      </c>
      <c r="W1005" s="1" t="s">
        <v>156</v>
      </c>
      <c r="X1005" s="1" t="s">
        <v>17928</v>
      </c>
      <c r="Y1005" s="1" t="s">
        <v>91</v>
      </c>
      <c r="Z1005" s="1" t="s">
        <v>92</v>
      </c>
      <c r="AA1005" s="1" t="s">
        <v>17928</v>
      </c>
      <c r="AB1005" s="1" t="s">
        <v>91</v>
      </c>
      <c r="AC1005" s="1" t="s">
        <v>92</v>
      </c>
      <c r="AD1005" s="1" t="s">
        <v>93</v>
      </c>
      <c r="AE1005" s="1" t="s">
        <v>93</v>
      </c>
      <c r="AF1005" s="1" t="s">
        <v>17929</v>
      </c>
      <c r="AG1005" s="1" t="s">
        <v>307</v>
      </c>
      <c r="AH1005" s="1" t="s">
        <v>433</v>
      </c>
      <c r="AI1005" s="1" t="s">
        <v>173</v>
      </c>
      <c r="AJ1005" s="1">
        <v>60.83</v>
      </c>
      <c r="AK1005" s="1"/>
      <c r="AL1005" s="1" t="s">
        <v>8623</v>
      </c>
      <c r="AM1005" s="1" t="s">
        <v>17930</v>
      </c>
      <c r="AN1005" s="1" t="s">
        <v>506</v>
      </c>
      <c r="AO1005" s="1" t="s">
        <v>284</v>
      </c>
      <c r="AP1005" s="1">
        <v>74</v>
      </c>
      <c r="AQ1005" s="1"/>
      <c r="AR1005" s="1"/>
      <c r="AS1005" s="1"/>
      <c r="AT1005" s="1"/>
      <c r="AU1005" s="1"/>
      <c r="AV1005" s="1"/>
      <c r="AW1005" s="1"/>
      <c r="AX1005" s="1" t="s">
        <v>5032</v>
      </c>
      <c r="AY1005" s="1" t="s">
        <v>17931</v>
      </c>
      <c r="AZ1005" s="1" t="s">
        <v>481</v>
      </c>
      <c r="BA1005" s="1" t="s">
        <v>1714</v>
      </c>
      <c r="BB1005" s="1">
        <v>63.6</v>
      </c>
      <c r="BC1005" s="1">
        <v>6.36</v>
      </c>
      <c r="BD1005" s="1"/>
      <c r="BE1005" s="1"/>
      <c r="BF1005" s="1"/>
      <c r="BG1005" s="1"/>
      <c r="BH1005" s="1"/>
      <c r="BI1005" s="1"/>
      <c r="BJ1005" s="1" t="s">
        <v>734</v>
      </c>
      <c r="BK1005" s="1"/>
      <c r="BL1005" s="1"/>
      <c r="BM1005" s="1" t="s">
        <v>17932</v>
      </c>
      <c r="BN1005" s="1">
        <v>9</v>
      </c>
      <c r="BO1005" s="1"/>
      <c r="BP1005" s="1" t="str">
        <f>HYPERLINK("https://nconnect.nicmar.ac.in/storage/profile/ProfilePhoto_P25703071_927836.jpg","Download")</f>
        <v>0</v>
      </c>
      <c r="BQ1005" s="3"/>
      <c r="BR1005" s="3"/>
    </row>
    <row r="1006" spans="1:70">
      <c r="A1006" s="1" t="s">
        <v>552</v>
      </c>
      <c r="B1006" s="1" t="s">
        <v>1269</v>
      </c>
      <c r="C1006" s="1" t="s">
        <v>17933</v>
      </c>
      <c r="D1006" s="1" t="s">
        <v>17934</v>
      </c>
      <c r="E1006" s="1" t="s">
        <v>13476</v>
      </c>
      <c r="F1006" s="1" t="s">
        <v>2674</v>
      </c>
      <c r="G1006" s="1" t="s">
        <v>17935</v>
      </c>
      <c r="H1006" s="1" t="s">
        <v>17936</v>
      </c>
      <c r="I1006" s="1" t="s">
        <v>17937</v>
      </c>
      <c r="J1006" s="1">
        <v>8108011850</v>
      </c>
      <c r="K1006" s="1" t="s">
        <v>79</v>
      </c>
      <c r="L1006" s="1" t="s">
        <v>17938</v>
      </c>
      <c r="M1006" s="1" t="s">
        <v>81</v>
      </c>
      <c r="N1006" s="1" t="s">
        <v>3229</v>
      </c>
      <c r="O1006" s="1" t="s">
        <v>17939</v>
      </c>
      <c r="P1006" s="1" t="s">
        <v>1323</v>
      </c>
      <c r="Q1006" s="1" t="s">
        <v>17940</v>
      </c>
      <c r="R1006" s="1" t="s">
        <v>13476</v>
      </c>
      <c r="S1006" s="1">
        <v>9702542764</v>
      </c>
      <c r="T1006" s="1" t="s">
        <v>763</v>
      </c>
      <c r="U1006" s="1" t="s">
        <v>17941</v>
      </c>
      <c r="V1006" s="1">
        <v>7039284345</v>
      </c>
      <c r="W1006" s="1" t="s">
        <v>89</v>
      </c>
      <c r="X1006" s="1" t="s">
        <v>17942</v>
      </c>
      <c r="Y1006" s="1" t="s">
        <v>1623</v>
      </c>
      <c r="Z1006" s="1" t="s">
        <v>92</v>
      </c>
      <c r="AA1006" s="1" t="s">
        <v>17942</v>
      </c>
      <c r="AB1006" s="1" t="s">
        <v>1623</v>
      </c>
      <c r="AC1006" s="1" t="s">
        <v>92</v>
      </c>
      <c r="AD1006" s="1">
        <v>9.2</v>
      </c>
      <c r="AE1006" s="1" t="s">
        <v>93</v>
      </c>
      <c r="AF1006" s="1" t="s">
        <v>17943</v>
      </c>
      <c r="AG1006" s="1" t="s">
        <v>6954</v>
      </c>
      <c r="AH1006" s="1" t="s">
        <v>658</v>
      </c>
      <c r="AI1006" s="1" t="s">
        <v>129</v>
      </c>
      <c r="AJ1006" s="1">
        <v>80.6</v>
      </c>
      <c r="AK1006" s="1"/>
      <c r="AL1006" s="1" t="s">
        <v>17944</v>
      </c>
      <c r="AM1006" s="1" t="s">
        <v>6954</v>
      </c>
      <c r="AN1006" s="1" t="s">
        <v>1197</v>
      </c>
      <c r="AO1006" s="1" t="s">
        <v>131</v>
      </c>
      <c r="AP1006" s="1">
        <v>70</v>
      </c>
      <c r="AQ1006" s="1"/>
      <c r="AR1006" s="1"/>
      <c r="AS1006" s="1"/>
      <c r="AT1006" s="1"/>
      <c r="AU1006" s="1"/>
      <c r="AV1006" s="1"/>
      <c r="AW1006" s="1"/>
      <c r="AX1006" s="1" t="s">
        <v>253</v>
      </c>
      <c r="AY1006" s="1" t="s">
        <v>17945</v>
      </c>
      <c r="AZ1006" s="1" t="s">
        <v>131</v>
      </c>
      <c r="BA1006" s="1" t="s">
        <v>308</v>
      </c>
      <c r="BB1006" s="1">
        <v>57.65</v>
      </c>
      <c r="BC1006" s="1">
        <v>6.43</v>
      </c>
      <c r="BD1006" s="1"/>
      <c r="BE1006" s="1"/>
      <c r="BF1006" s="1"/>
      <c r="BG1006" s="1"/>
      <c r="BH1006" s="1"/>
      <c r="BI1006" s="1"/>
      <c r="BJ1006" s="1" t="s">
        <v>364</v>
      </c>
      <c r="BK1006" s="1" t="s">
        <v>17946</v>
      </c>
      <c r="BL1006" s="1" t="s">
        <v>13387</v>
      </c>
      <c r="BM1006" s="1" t="s">
        <v>17947</v>
      </c>
      <c r="BN1006" s="1">
        <v>11</v>
      </c>
      <c r="BO1006" s="1" t="s">
        <v>17948</v>
      </c>
      <c r="BP1006" s="1" t="str">
        <f>HYPERLINK("https://nconnect.nicmar.ac.in/storage/profile/ProfilePhoto_P25703072_791563.jpg","Download")</f>
        <v>0</v>
      </c>
      <c r="BQ1006" s="3"/>
      <c r="BR1006" s="3"/>
    </row>
    <row r="1007" spans="1:70">
      <c r="A1007" s="1" t="s">
        <v>552</v>
      </c>
      <c r="B1007" s="1" t="s">
        <v>1269</v>
      </c>
      <c r="C1007" s="1" t="s">
        <v>17949</v>
      </c>
      <c r="D1007" s="1" t="s">
        <v>443</v>
      </c>
      <c r="E1007" s="1" t="s">
        <v>6384</v>
      </c>
      <c r="F1007" s="1" t="s">
        <v>2024</v>
      </c>
      <c r="G1007" s="1" t="s">
        <v>17950</v>
      </c>
      <c r="H1007" s="1" t="s">
        <v>17951</v>
      </c>
      <c r="I1007" s="1" t="s">
        <v>17952</v>
      </c>
      <c r="J1007" s="1">
        <v>7743859567</v>
      </c>
      <c r="K1007" s="1" t="s">
        <v>79</v>
      </c>
      <c r="L1007" s="1" t="s">
        <v>17953</v>
      </c>
      <c r="M1007" s="1" t="s">
        <v>81</v>
      </c>
      <c r="N1007" s="1" t="s">
        <v>1986</v>
      </c>
      <c r="O1007" s="1"/>
      <c r="P1007" s="1" t="s">
        <v>1278</v>
      </c>
      <c r="Q1007" s="1" t="s">
        <v>17954</v>
      </c>
      <c r="R1007" s="1" t="s">
        <v>17955</v>
      </c>
      <c r="S1007" s="1">
        <v>9422181910</v>
      </c>
      <c r="T1007" s="1" t="s">
        <v>496</v>
      </c>
      <c r="U1007" s="1" t="s">
        <v>17956</v>
      </c>
      <c r="V1007" s="1">
        <v>9422324187</v>
      </c>
      <c r="W1007" s="1" t="s">
        <v>520</v>
      </c>
      <c r="X1007" s="1" t="s">
        <v>17957</v>
      </c>
      <c r="Y1007" s="1" t="s">
        <v>191</v>
      </c>
      <c r="Z1007" s="1" t="s">
        <v>92</v>
      </c>
      <c r="AA1007" s="1" t="s">
        <v>17958</v>
      </c>
      <c r="AB1007" s="1" t="s">
        <v>246</v>
      </c>
      <c r="AC1007" s="1" t="s">
        <v>92</v>
      </c>
      <c r="AD1007" s="1">
        <v>7.2</v>
      </c>
      <c r="AE1007" s="1" t="s">
        <v>93</v>
      </c>
      <c r="AF1007" s="1" t="s">
        <v>17959</v>
      </c>
      <c r="AG1007" s="1" t="s">
        <v>750</v>
      </c>
      <c r="AH1007" s="1" t="s">
        <v>527</v>
      </c>
      <c r="AI1007" s="1" t="s">
        <v>195</v>
      </c>
      <c r="AJ1007" s="1">
        <v>73.2</v>
      </c>
      <c r="AK1007" s="1">
        <v>0</v>
      </c>
      <c r="AL1007" s="1" t="s">
        <v>17960</v>
      </c>
      <c r="AM1007" s="1" t="s">
        <v>750</v>
      </c>
      <c r="AN1007" s="1" t="s">
        <v>166</v>
      </c>
      <c r="AO1007" s="1" t="s">
        <v>198</v>
      </c>
      <c r="AP1007" s="1">
        <v>66.77</v>
      </c>
      <c r="AQ1007" s="1">
        <v>0</v>
      </c>
      <c r="AR1007" s="1"/>
      <c r="AS1007" s="1"/>
      <c r="AT1007" s="1"/>
      <c r="AU1007" s="1"/>
      <c r="AV1007" s="1"/>
      <c r="AW1007" s="1"/>
      <c r="AX1007" s="1" t="s">
        <v>17757</v>
      </c>
      <c r="AY1007" s="1" t="s">
        <v>17961</v>
      </c>
      <c r="AZ1007" s="1" t="s">
        <v>681</v>
      </c>
      <c r="BA1007" s="1" t="s">
        <v>413</v>
      </c>
      <c r="BB1007" s="1">
        <v>77.1</v>
      </c>
      <c r="BC1007" s="1">
        <v>7.7</v>
      </c>
      <c r="BD1007" s="1"/>
      <c r="BE1007" s="1"/>
      <c r="BF1007" s="1"/>
      <c r="BG1007" s="1"/>
      <c r="BH1007" s="1"/>
      <c r="BI1007" s="1"/>
      <c r="BJ1007" s="1" t="s">
        <v>734</v>
      </c>
      <c r="BK1007" s="1"/>
      <c r="BL1007" s="1"/>
      <c r="BM1007" s="1" t="s">
        <v>17962</v>
      </c>
      <c r="BN1007" s="1">
        <v>40</v>
      </c>
      <c r="BO1007" s="1"/>
      <c r="BP1007" s="1" t="str">
        <f>HYPERLINK("https://nconnect.nicmar.ac.in/storage/profile/ProfilePhoto_P25703073_853419.jpg","Download")</f>
        <v>0</v>
      </c>
      <c r="BQ1007" s="3"/>
      <c r="BR1007" s="3"/>
    </row>
    <row r="1008" spans="1:70">
      <c r="A1008" s="1" t="s">
        <v>552</v>
      </c>
      <c r="B1008" s="1" t="s">
        <v>1269</v>
      </c>
      <c r="C1008" s="1" t="s">
        <v>17963</v>
      </c>
      <c r="D1008" s="1" t="s">
        <v>5452</v>
      </c>
      <c r="E1008" s="1" t="s">
        <v>17964</v>
      </c>
      <c r="F1008" s="1" t="s">
        <v>7490</v>
      </c>
      <c r="G1008" s="1" t="s">
        <v>17965</v>
      </c>
      <c r="H1008" s="1" t="s">
        <v>17966</v>
      </c>
      <c r="I1008" s="1" t="s">
        <v>17967</v>
      </c>
      <c r="J1008" s="1">
        <v>7517880354</v>
      </c>
      <c r="K1008" s="1" t="s">
        <v>79</v>
      </c>
      <c r="L1008" s="1" t="s">
        <v>17968</v>
      </c>
      <c r="M1008" s="1" t="s">
        <v>81</v>
      </c>
      <c r="N1008" s="1" t="s">
        <v>6195</v>
      </c>
      <c r="O1008" s="1"/>
      <c r="P1008" s="1" t="s">
        <v>1766</v>
      </c>
      <c r="Q1008" s="1" t="s">
        <v>17969</v>
      </c>
      <c r="R1008" s="1" t="s">
        <v>17970</v>
      </c>
      <c r="S1008" s="1">
        <v>7774964929</v>
      </c>
      <c r="T1008" s="1" t="s">
        <v>17971</v>
      </c>
      <c r="U1008" s="1" t="s">
        <v>17972</v>
      </c>
      <c r="V1008" s="1">
        <v>9226466945</v>
      </c>
      <c r="W1008" s="1" t="s">
        <v>17971</v>
      </c>
      <c r="X1008" s="1" t="s">
        <v>17973</v>
      </c>
      <c r="Y1008" s="1" t="s">
        <v>3474</v>
      </c>
      <c r="Z1008" s="1" t="s">
        <v>92</v>
      </c>
      <c r="AA1008" s="1" t="s">
        <v>17973</v>
      </c>
      <c r="AB1008" s="1" t="s">
        <v>3474</v>
      </c>
      <c r="AC1008" s="1" t="s">
        <v>92</v>
      </c>
      <c r="AD1008" s="1" t="s">
        <v>93</v>
      </c>
      <c r="AE1008" s="1" t="s">
        <v>93</v>
      </c>
      <c r="AF1008" s="1" t="s">
        <v>17974</v>
      </c>
      <c r="AG1008" s="1" t="s">
        <v>17975</v>
      </c>
      <c r="AH1008" s="1" t="s">
        <v>165</v>
      </c>
      <c r="AI1008" s="1" t="s">
        <v>281</v>
      </c>
      <c r="AJ1008" s="1">
        <v>81.2</v>
      </c>
      <c r="AK1008" s="1"/>
      <c r="AL1008" s="1" t="s">
        <v>17976</v>
      </c>
      <c r="AM1008" s="1" t="s">
        <v>17977</v>
      </c>
      <c r="AN1008" s="1" t="s">
        <v>433</v>
      </c>
      <c r="AO1008" s="1" t="s">
        <v>360</v>
      </c>
      <c r="AP1008" s="1">
        <v>72.31</v>
      </c>
      <c r="AQ1008" s="1"/>
      <c r="AR1008" s="1"/>
      <c r="AS1008" s="1"/>
      <c r="AT1008" s="1"/>
      <c r="AU1008" s="1"/>
      <c r="AV1008" s="1"/>
      <c r="AW1008" s="1"/>
      <c r="AX1008" s="1" t="s">
        <v>17978</v>
      </c>
      <c r="AY1008" s="1" t="s">
        <v>17979</v>
      </c>
      <c r="AZ1008" s="1" t="s">
        <v>2016</v>
      </c>
      <c r="BA1008" s="1" t="s">
        <v>1361</v>
      </c>
      <c r="BB1008" s="1">
        <v>70.6</v>
      </c>
      <c r="BC1008" s="1">
        <v>7.06</v>
      </c>
      <c r="BD1008" s="1"/>
      <c r="BE1008" s="1"/>
      <c r="BF1008" s="1"/>
      <c r="BG1008" s="1"/>
      <c r="BH1008" s="1"/>
      <c r="BI1008" s="1"/>
      <c r="BJ1008" s="1" t="s">
        <v>17980</v>
      </c>
      <c r="BK1008" s="1"/>
      <c r="BL1008" s="1"/>
      <c r="BM1008" s="1"/>
      <c r="BN1008" s="1"/>
      <c r="BO1008" s="1" t="s">
        <v>10512</v>
      </c>
      <c r="BP1008" s="1" t="str">
        <f>HYPERLINK("https://nconnect.nicmar.ac.in/storage/profile/ProfilePhoto_P25703075_735968.jpg","Download")</f>
        <v>0</v>
      </c>
      <c r="BQ1008" s="3"/>
      <c r="BR1008" s="3"/>
    </row>
    <row r="1009" spans="1:70">
      <c r="A1009" s="1" t="s">
        <v>552</v>
      </c>
      <c r="B1009" s="1" t="s">
        <v>1269</v>
      </c>
      <c r="C1009" s="1" t="s">
        <v>17981</v>
      </c>
      <c r="D1009" s="1" t="s">
        <v>11629</v>
      </c>
      <c r="E1009" s="1"/>
      <c r="F1009" s="1" t="s">
        <v>17982</v>
      </c>
      <c r="G1009" s="1" t="s">
        <v>17983</v>
      </c>
      <c r="H1009" s="1" t="s">
        <v>17984</v>
      </c>
      <c r="I1009" s="1" t="s">
        <v>17985</v>
      </c>
      <c r="J1009" s="1">
        <v>7752901132</v>
      </c>
      <c r="K1009" s="1" t="s">
        <v>79</v>
      </c>
      <c r="L1009" s="1" t="s">
        <v>17986</v>
      </c>
      <c r="M1009" s="1" t="s">
        <v>81</v>
      </c>
      <c r="N1009" s="1" t="s">
        <v>5040</v>
      </c>
      <c r="O1009" s="1"/>
      <c r="P1009" s="1" t="s">
        <v>1323</v>
      </c>
      <c r="Q1009" s="1" t="s">
        <v>17987</v>
      </c>
      <c r="R1009" s="1" t="s">
        <v>17988</v>
      </c>
      <c r="S1009" s="1">
        <v>9648776435</v>
      </c>
      <c r="T1009" s="1" t="s">
        <v>154</v>
      </c>
      <c r="U1009" s="1" t="s">
        <v>17989</v>
      </c>
      <c r="V1009" s="1">
        <v>9235361317</v>
      </c>
      <c r="W1009" s="1" t="s">
        <v>273</v>
      </c>
      <c r="X1009" s="1" t="s">
        <v>17990</v>
      </c>
      <c r="Y1009" s="1" t="s">
        <v>17908</v>
      </c>
      <c r="Z1009" s="1" t="s">
        <v>1355</v>
      </c>
      <c r="AA1009" s="1" t="s">
        <v>17990</v>
      </c>
      <c r="AB1009" s="1" t="s">
        <v>17908</v>
      </c>
      <c r="AC1009" s="1" t="s">
        <v>1355</v>
      </c>
      <c r="AD1009" s="1" t="s">
        <v>93</v>
      </c>
      <c r="AE1009" s="1" t="s">
        <v>93</v>
      </c>
      <c r="AF1009" s="1" t="s">
        <v>16750</v>
      </c>
      <c r="AG1009" s="1" t="s">
        <v>17991</v>
      </c>
      <c r="AH1009" s="1" t="s">
        <v>310</v>
      </c>
      <c r="AI1009" s="1" t="s">
        <v>681</v>
      </c>
      <c r="AJ1009" s="1">
        <v>56</v>
      </c>
      <c r="AK1009" s="1"/>
      <c r="AL1009" s="1" t="s">
        <v>17992</v>
      </c>
      <c r="AM1009" s="1" t="s">
        <v>307</v>
      </c>
      <c r="AN1009" s="1" t="s">
        <v>3081</v>
      </c>
      <c r="AO1009" s="1" t="s">
        <v>874</v>
      </c>
      <c r="AP1009" s="1">
        <v>51.16</v>
      </c>
      <c r="AQ1009" s="1"/>
      <c r="AR1009" s="1"/>
      <c r="AS1009" s="1"/>
      <c r="AT1009" s="1"/>
      <c r="AU1009" s="1"/>
      <c r="AV1009" s="1"/>
      <c r="AW1009" s="1"/>
      <c r="AX1009" s="1" t="s">
        <v>17993</v>
      </c>
      <c r="AY1009" s="1" t="s">
        <v>17994</v>
      </c>
      <c r="AZ1009" s="1" t="s">
        <v>105</v>
      </c>
      <c r="BA1009" s="1" t="s">
        <v>1584</v>
      </c>
      <c r="BB1009" s="1">
        <v>60.32</v>
      </c>
      <c r="BC1009" s="1">
        <v>6.35</v>
      </c>
      <c r="BD1009" s="1"/>
      <c r="BE1009" s="1"/>
      <c r="BF1009" s="1"/>
      <c r="BG1009" s="1"/>
      <c r="BH1009" s="1"/>
      <c r="BI1009" s="1"/>
      <c r="BJ1009" s="1" t="s">
        <v>4102</v>
      </c>
      <c r="BK1009" s="1"/>
      <c r="BL1009" s="1"/>
      <c r="BM1009" s="1"/>
      <c r="BN1009" s="1"/>
      <c r="BO1009" s="1" t="s">
        <v>17995</v>
      </c>
      <c r="BP1009" s="1" t="str">
        <f>HYPERLINK("https://nconnect.nicmar.ac.in/storage/profile/ProfilePhoto_P25703076_758314.jpg","Download")</f>
        <v>0</v>
      </c>
      <c r="BQ1009" s="3"/>
      <c r="BR1009" s="3"/>
    </row>
    <row r="1010" spans="1:70">
      <c r="A1010" s="1" t="s">
        <v>552</v>
      </c>
      <c r="B1010" s="1" t="s">
        <v>1269</v>
      </c>
      <c r="C1010" s="1" t="s">
        <v>17996</v>
      </c>
      <c r="D1010" s="1" t="s">
        <v>181</v>
      </c>
      <c r="E1010" s="1" t="s">
        <v>17997</v>
      </c>
      <c r="F1010" s="1" t="s">
        <v>8646</v>
      </c>
      <c r="G1010" s="1" t="s">
        <v>17998</v>
      </c>
      <c r="H1010" s="1" t="s">
        <v>17999</v>
      </c>
      <c r="I1010" s="1" t="s">
        <v>18000</v>
      </c>
      <c r="J1010" s="1">
        <v>8830177969</v>
      </c>
      <c r="K1010" s="1" t="s">
        <v>79</v>
      </c>
      <c r="L1010" s="1" t="s">
        <v>18001</v>
      </c>
      <c r="M1010" s="1" t="s">
        <v>81</v>
      </c>
      <c r="N1010" s="1" t="s">
        <v>1418</v>
      </c>
      <c r="O1010" s="1"/>
      <c r="P1010" s="1" t="s">
        <v>1278</v>
      </c>
      <c r="Q1010" s="1" t="s">
        <v>18002</v>
      </c>
      <c r="R1010" s="1" t="s">
        <v>17997</v>
      </c>
      <c r="S1010" s="1">
        <v>9822213592</v>
      </c>
      <c r="T1010" s="1" t="s">
        <v>496</v>
      </c>
      <c r="U1010" s="1" t="s">
        <v>18003</v>
      </c>
      <c r="V1010" s="1">
        <v>8007177969</v>
      </c>
      <c r="W1010" s="1" t="s">
        <v>156</v>
      </c>
      <c r="X1010" s="1" t="s">
        <v>18004</v>
      </c>
      <c r="Y1010" s="1" t="s">
        <v>191</v>
      </c>
      <c r="Z1010" s="1" t="s">
        <v>92</v>
      </c>
      <c r="AA1010" s="1" t="s">
        <v>18004</v>
      </c>
      <c r="AB1010" s="1" t="s">
        <v>191</v>
      </c>
      <c r="AC1010" s="1" t="s">
        <v>92</v>
      </c>
      <c r="AD1010" s="1">
        <v>8.13</v>
      </c>
      <c r="AE1010" s="1" t="s">
        <v>93</v>
      </c>
      <c r="AF1010" s="1" t="s">
        <v>18005</v>
      </c>
      <c r="AG1010" s="1" t="s">
        <v>307</v>
      </c>
      <c r="AH1010" s="1" t="s">
        <v>1307</v>
      </c>
      <c r="AI1010" s="1" t="s">
        <v>308</v>
      </c>
      <c r="AJ1010" s="1">
        <v>77.8</v>
      </c>
      <c r="AK1010" s="1"/>
      <c r="AL1010" s="1" t="s">
        <v>14074</v>
      </c>
      <c r="AM1010" s="1" t="s">
        <v>18006</v>
      </c>
      <c r="AN1010" s="1" t="s">
        <v>201</v>
      </c>
      <c r="AO1010" s="1" t="s">
        <v>436</v>
      </c>
      <c r="AP1010" s="1">
        <v>87.17</v>
      </c>
      <c r="AQ1010" s="1"/>
      <c r="AR1010" s="1"/>
      <c r="AS1010" s="1"/>
      <c r="AT1010" s="1"/>
      <c r="AU1010" s="1"/>
      <c r="AV1010" s="1"/>
      <c r="AW1010" s="1"/>
      <c r="AX1010" s="1" t="s">
        <v>1002</v>
      </c>
      <c r="AY1010" s="1" t="s">
        <v>1002</v>
      </c>
      <c r="AZ1010" s="1" t="s">
        <v>436</v>
      </c>
      <c r="BA1010" s="1" t="s">
        <v>413</v>
      </c>
      <c r="BB1010" s="1">
        <v>83.66</v>
      </c>
      <c r="BC1010" s="1">
        <v>8.36</v>
      </c>
      <c r="BD1010" s="1"/>
      <c r="BE1010" s="1"/>
      <c r="BF1010" s="1"/>
      <c r="BG1010" s="1"/>
      <c r="BH1010" s="1"/>
      <c r="BI1010" s="1"/>
      <c r="BJ1010" s="1" t="s">
        <v>734</v>
      </c>
      <c r="BK1010" s="1"/>
      <c r="BL1010" s="1"/>
      <c r="BM1010" s="1" t="s">
        <v>18007</v>
      </c>
      <c r="BN1010" s="1">
        <v>37</v>
      </c>
      <c r="BO1010" s="1"/>
      <c r="BP1010" s="1" t="str">
        <f>HYPERLINK("https://nconnect.nicmar.ac.in/storage/profile/ProfilePhoto_P25703077_591873.jpg","Download")</f>
        <v>0</v>
      </c>
      <c r="BQ1010" s="3"/>
      <c r="BR1010" s="3"/>
    </row>
    <row r="1011" spans="1:70">
      <c r="A1011" s="1" t="s">
        <v>552</v>
      </c>
      <c r="B1011" s="1" t="s">
        <v>1269</v>
      </c>
      <c r="C1011" s="1" t="s">
        <v>18008</v>
      </c>
      <c r="D1011" s="1" t="s">
        <v>452</v>
      </c>
      <c r="E1011" s="1" t="s">
        <v>18009</v>
      </c>
      <c r="F1011" s="1" t="s">
        <v>2674</v>
      </c>
      <c r="G1011" s="1" t="s">
        <v>18010</v>
      </c>
      <c r="H1011" s="1" t="s">
        <v>18011</v>
      </c>
      <c r="I1011" s="1" t="s">
        <v>18012</v>
      </c>
      <c r="J1011" s="1">
        <v>9373435275</v>
      </c>
      <c r="K1011" s="1" t="s">
        <v>148</v>
      </c>
      <c r="L1011" s="1" t="s">
        <v>18013</v>
      </c>
      <c r="M1011" s="1" t="s">
        <v>81</v>
      </c>
      <c r="N1011" s="1" t="s">
        <v>2008</v>
      </c>
      <c r="O1011" s="1" t="s">
        <v>18014</v>
      </c>
      <c r="P1011" s="1" t="s">
        <v>1278</v>
      </c>
      <c r="Q1011" s="1" t="s">
        <v>18015</v>
      </c>
      <c r="R1011" s="1" t="s">
        <v>18009</v>
      </c>
      <c r="S1011" s="1">
        <v>9730160532</v>
      </c>
      <c r="T1011" s="1" t="s">
        <v>154</v>
      </c>
      <c r="U1011" s="1" t="s">
        <v>693</v>
      </c>
      <c r="V1011" s="1">
        <v>9503840633</v>
      </c>
      <c r="W1011" s="1" t="s">
        <v>156</v>
      </c>
      <c r="X1011" s="1" t="s">
        <v>18016</v>
      </c>
      <c r="Y1011" s="1" t="s">
        <v>1886</v>
      </c>
      <c r="Z1011" s="1" t="s">
        <v>92</v>
      </c>
      <c r="AA1011" s="1" t="s">
        <v>18016</v>
      </c>
      <c r="AB1011" s="1" t="s">
        <v>1886</v>
      </c>
      <c r="AC1011" s="1" t="s">
        <v>92</v>
      </c>
      <c r="AD1011" s="1" t="s">
        <v>93</v>
      </c>
      <c r="AE1011" s="1" t="s">
        <v>93</v>
      </c>
      <c r="AF1011" s="1" t="s">
        <v>18017</v>
      </c>
      <c r="AG1011" s="1" t="s">
        <v>18018</v>
      </c>
      <c r="AH1011" s="1" t="s">
        <v>433</v>
      </c>
      <c r="AI1011" s="1" t="s">
        <v>941</v>
      </c>
      <c r="AJ1011" s="1">
        <v>84.8</v>
      </c>
      <c r="AK1011" s="1">
        <v>0</v>
      </c>
      <c r="AL1011" s="1" t="s">
        <v>18019</v>
      </c>
      <c r="AM1011" s="1" t="s">
        <v>18018</v>
      </c>
      <c r="AN1011" s="1" t="s">
        <v>1131</v>
      </c>
      <c r="AO1011" s="1" t="s">
        <v>2687</v>
      </c>
      <c r="AP1011" s="1">
        <v>72.33</v>
      </c>
      <c r="AQ1011" s="1">
        <v>0</v>
      </c>
      <c r="AR1011" s="1"/>
      <c r="AS1011" s="1"/>
      <c r="AT1011" s="1"/>
      <c r="AU1011" s="1"/>
      <c r="AV1011" s="1"/>
      <c r="AW1011" s="1"/>
      <c r="AX1011" s="1" t="s">
        <v>7752</v>
      </c>
      <c r="AY1011" s="1" t="s">
        <v>18020</v>
      </c>
      <c r="AZ1011" s="1" t="s">
        <v>284</v>
      </c>
      <c r="BA1011" s="1" t="s">
        <v>1714</v>
      </c>
      <c r="BB1011" s="1">
        <v>74.98</v>
      </c>
      <c r="BC1011" s="1">
        <v>8.03</v>
      </c>
      <c r="BD1011" s="1"/>
      <c r="BE1011" s="1"/>
      <c r="BF1011" s="1"/>
      <c r="BG1011" s="1"/>
      <c r="BH1011" s="1"/>
      <c r="BI1011" s="1"/>
      <c r="BJ1011" s="1" t="s">
        <v>18021</v>
      </c>
      <c r="BK1011" s="1"/>
      <c r="BL1011" s="1"/>
      <c r="BM1011" s="1"/>
      <c r="BN1011" s="1"/>
      <c r="BO1011" s="1"/>
      <c r="BP1011" s="1" t="str">
        <f>HYPERLINK("https://nconnect.nicmar.ac.in/storage/profile/ProfilePhoto_P25703078_978462.jpg","Download")</f>
        <v>0</v>
      </c>
      <c r="BQ1011" s="3"/>
      <c r="BR1011" s="3"/>
    </row>
    <row r="1012" spans="1:70">
      <c r="A1012" s="1" t="s">
        <v>552</v>
      </c>
      <c r="B1012" s="1" t="s">
        <v>1269</v>
      </c>
      <c r="C1012" s="1" t="s">
        <v>18022</v>
      </c>
      <c r="D1012" s="1" t="s">
        <v>1898</v>
      </c>
      <c r="E1012" s="1" t="s">
        <v>1566</v>
      </c>
      <c r="F1012" s="1" t="s">
        <v>2674</v>
      </c>
      <c r="G1012" s="1" t="s">
        <v>18023</v>
      </c>
      <c r="H1012" s="1" t="s">
        <v>18024</v>
      </c>
      <c r="I1012" s="1" t="s">
        <v>18025</v>
      </c>
      <c r="J1012" s="1">
        <v>7558235037</v>
      </c>
      <c r="K1012" s="1" t="s">
        <v>79</v>
      </c>
      <c r="L1012" s="1" t="s">
        <v>18026</v>
      </c>
      <c r="M1012" s="1" t="s">
        <v>81</v>
      </c>
      <c r="N1012" s="1" t="s">
        <v>1418</v>
      </c>
      <c r="O1012" s="1"/>
      <c r="P1012" s="1" t="s">
        <v>1278</v>
      </c>
      <c r="Q1012" s="1" t="s">
        <v>18027</v>
      </c>
      <c r="R1012" s="1" t="s">
        <v>6455</v>
      </c>
      <c r="S1012" s="1">
        <v>9422037003</v>
      </c>
      <c r="T1012" s="1" t="s">
        <v>7415</v>
      </c>
      <c r="U1012" s="1" t="s">
        <v>18028</v>
      </c>
      <c r="V1012" s="1">
        <v>9922770998</v>
      </c>
      <c r="W1012" s="1" t="s">
        <v>156</v>
      </c>
      <c r="X1012" s="1" t="s">
        <v>18029</v>
      </c>
      <c r="Y1012" s="1" t="s">
        <v>2786</v>
      </c>
      <c r="Z1012" s="1" t="s">
        <v>92</v>
      </c>
      <c r="AA1012" s="1" t="s">
        <v>18029</v>
      </c>
      <c r="AB1012" s="1" t="s">
        <v>2786</v>
      </c>
      <c r="AC1012" s="1" t="s">
        <v>92</v>
      </c>
      <c r="AD1012" s="1">
        <v>7.61</v>
      </c>
      <c r="AE1012" s="1" t="s">
        <v>93</v>
      </c>
      <c r="AF1012" s="1" t="s">
        <v>18030</v>
      </c>
      <c r="AG1012" s="1" t="s">
        <v>18031</v>
      </c>
      <c r="AH1012" s="1" t="s">
        <v>281</v>
      </c>
      <c r="AI1012" s="1" t="s">
        <v>409</v>
      </c>
      <c r="AJ1012" s="1">
        <v>89.2</v>
      </c>
      <c r="AK1012" s="1"/>
      <c r="AL1012" s="1" t="s">
        <v>18032</v>
      </c>
      <c r="AM1012" s="1" t="s">
        <v>18033</v>
      </c>
      <c r="AN1012" s="1" t="s">
        <v>433</v>
      </c>
      <c r="AO1012" s="1" t="s">
        <v>1131</v>
      </c>
      <c r="AP1012" s="1">
        <v>81.67</v>
      </c>
      <c r="AQ1012" s="1"/>
      <c r="AR1012" s="1"/>
      <c r="AS1012" s="1"/>
      <c r="AT1012" s="1"/>
      <c r="AU1012" s="1"/>
      <c r="AV1012" s="1"/>
      <c r="AW1012" s="1"/>
      <c r="AX1012" s="1" t="s">
        <v>1891</v>
      </c>
      <c r="AY1012" s="1" t="s">
        <v>18034</v>
      </c>
      <c r="AZ1012" s="1" t="s">
        <v>436</v>
      </c>
      <c r="BA1012" s="1" t="s">
        <v>1714</v>
      </c>
      <c r="BB1012" s="1">
        <v>72.1</v>
      </c>
      <c r="BC1012" s="1">
        <v>7.71</v>
      </c>
      <c r="BD1012" s="1"/>
      <c r="BE1012" s="1"/>
      <c r="BF1012" s="1"/>
      <c r="BG1012" s="1"/>
      <c r="BH1012" s="1"/>
      <c r="BI1012" s="1"/>
      <c r="BJ1012" s="1" t="s">
        <v>18035</v>
      </c>
      <c r="BK1012" s="1"/>
      <c r="BL1012" s="1"/>
      <c r="BM1012" s="1" t="s">
        <v>18036</v>
      </c>
      <c r="BN1012" s="1">
        <v>20</v>
      </c>
      <c r="BO1012" s="1"/>
      <c r="BP1012" s="1" t="str">
        <f>HYPERLINK("https://nconnect.nicmar.ac.in/storage/profile/ProfilePhoto_P25703080_396475.jpg","Download")</f>
        <v>0</v>
      </c>
      <c r="BQ1012" s="3"/>
      <c r="BR1012" s="3"/>
    </row>
    <row r="1013" spans="1:70">
      <c r="A1013" s="1" t="s">
        <v>552</v>
      </c>
      <c r="B1013" s="1" t="s">
        <v>1269</v>
      </c>
      <c r="C1013" s="1" t="s">
        <v>18037</v>
      </c>
      <c r="D1013" s="1" t="s">
        <v>14185</v>
      </c>
      <c r="E1013" s="1" t="s">
        <v>6466</v>
      </c>
      <c r="F1013" s="1" t="s">
        <v>236</v>
      </c>
      <c r="G1013" s="1" t="s">
        <v>18038</v>
      </c>
      <c r="H1013" s="1" t="s">
        <v>18039</v>
      </c>
      <c r="I1013" s="1" t="s">
        <v>18039</v>
      </c>
      <c r="J1013" s="1">
        <v>7378759253</v>
      </c>
      <c r="K1013" s="1" t="s">
        <v>79</v>
      </c>
      <c r="L1013" s="1" t="s">
        <v>18040</v>
      </c>
      <c r="M1013" s="1" t="s">
        <v>81</v>
      </c>
      <c r="N1013" s="1" t="s">
        <v>860</v>
      </c>
      <c r="O1013" s="1"/>
      <c r="P1013" s="1" t="s">
        <v>1298</v>
      </c>
      <c r="Q1013" s="1" t="s">
        <v>18041</v>
      </c>
      <c r="R1013" s="1" t="s">
        <v>18042</v>
      </c>
      <c r="S1013" s="1">
        <v>9403558646</v>
      </c>
      <c r="T1013" s="1" t="s">
        <v>122</v>
      </c>
      <c r="U1013" s="1" t="s">
        <v>18043</v>
      </c>
      <c r="V1013" s="1">
        <v>9403558646</v>
      </c>
      <c r="W1013" s="1" t="s">
        <v>18044</v>
      </c>
      <c r="X1013" s="1" t="s">
        <v>18045</v>
      </c>
      <c r="Y1013" s="1" t="s">
        <v>6832</v>
      </c>
      <c r="Z1013" s="1" t="s">
        <v>92</v>
      </c>
      <c r="AA1013" s="1" t="s">
        <v>18045</v>
      </c>
      <c r="AB1013" s="1" t="s">
        <v>6832</v>
      </c>
      <c r="AC1013" s="1" t="s">
        <v>92</v>
      </c>
      <c r="AD1013" s="1">
        <v>8.83</v>
      </c>
      <c r="AE1013" s="1" t="s">
        <v>93</v>
      </c>
      <c r="AF1013" s="1" t="s">
        <v>17337</v>
      </c>
      <c r="AG1013" s="1" t="s">
        <v>3549</v>
      </c>
      <c r="AH1013" s="1" t="s">
        <v>162</v>
      </c>
      <c r="AI1013" s="1" t="s">
        <v>195</v>
      </c>
      <c r="AJ1013" s="1">
        <v>74.8</v>
      </c>
      <c r="AK1013" s="1"/>
      <c r="AL1013" s="1" t="s">
        <v>18046</v>
      </c>
      <c r="AM1013" s="1" t="s">
        <v>476</v>
      </c>
      <c r="AN1013" s="1" t="s">
        <v>166</v>
      </c>
      <c r="AO1013" s="1" t="s">
        <v>198</v>
      </c>
      <c r="AP1013" s="1">
        <v>67.69</v>
      </c>
      <c r="AQ1013" s="1"/>
      <c r="AR1013" s="1"/>
      <c r="AS1013" s="1"/>
      <c r="AT1013" s="1"/>
      <c r="AU1013" s="1"/>
      <c r="AV1013" s="1"/>
      <c r="AW1013" s="1"/>
      <c r="AX1013" s="1" t="s">
        <v>3972</v>
      </c>
      <c r="AY1013" s="1" t="s">
        <v>18047</v>
      </c>
      <c r="AZ1013" s="1" t="s">
        <v>201</v>
      </c>
      <c r="BA1013" s="1" t="s">
        <v>229</v>
      </c>
      <c r="BB1013" s="1">
        <v>72.8</v>
      </c>
      <c r="BC1013" s="1">
        <v>8.18</v>
      </c>
      <c r="BD1013" s="1"/>
      <c r="BE1013" s="1"/>
      <c r="BF1013" s="1"/>
      <c r="BG1013" s="1"/>
      <c r="BH1013" s="1"/>
      <c r="BI1013" s="1"/>
      <c r="BJ1013" s="1" t="s">
        <v>18048</v>
      </c>
      <c r="BK1013" s="1" t="s">
        <v>18049</v>
      </c>
      <c r="BL1013" s="1" t="s">
        <v>1919</v>
      </c>
      <c r="BM1013" s="1"/>
      <c r="BN1013" s="1"/>
      <c r="BO1013" s="1"/>
      <c r="BP1013" s="1" t="str">
        <f>HYPERLINK("https://nconnect.nicmar.ac.in/storage/profile/ProfilePhoto_P25703036_347852.jpg","Download")</f>
        <v>0</v>
      </c>
      <c r="BQ1013" s="3"/>
      <c r="BR1013" s="3"/>
    </row>
    <row r="1014" spans="1:70">
      <c r="A1014" s="1" t="s">
        <v>18050</v>
      </c>
      <c r="B1014" s="1" t="s">
        <v>1269</v>
      </c>
      <c r="C1014" s="1" t="s">
        <v>18051</v>
      </c>
      <c r="D1014" s="1" t="s">
        <v>4016</v>
      </c>
      <c r="E1014" s="1" t="s">
        <v>18052</v>
      </c>
      <c r="F1014" s="1" t="s">
        <v>6553</v>
      </c>
      <c r="G1014" s="1" t="s">
        <v>18053</v>
      </c>
      <c r="H1014" s="1" t="s">
        <v>18054</v>
      </c>
      <c r="I1014" s="1" t="s">
        <v>18055</v>
      </c>
      <c r="J1014" s="1">
        <v>7397991328</v>
      </c>
      <c r="K1014" s="1" t="s">
        <v>79</v>
      </c>
      <c r="L1014" s="1" t="s">
        <v>18056</v>
      </c>
      <c r="M1014" s="1" t="s">
        <v>81</v>
      </c>
      <c r="N1014" s="1" t="s">
        <v>1618</v>
      </c>
      <c r="O1014" s="1"/>
      <c r="P1014" s="1" t="s">
        <v>1323</v>
      </c>
      <c r="Q1014" s="1" t="s">
        <v>18057</v>
      </c>
      <c r="R1014" s="1" t="s">
        <v>18058</v>
      </c>
      <c r="S1014" s="1">
        <v>7030701647</v>
      </c>
      <c r="T1014" s="1" t="s">
        <v>18059</v>
      </c>
      <c r="U1014" s="1" t="s">
        <v>18060</v>
      </c>
      <c r="V1014" s="1">
        <v>9922014858</v>
      </c>
      <c r="W1014" s="1" t="s">
        <v>273</v>
      </c>
      <c r="X1014" s="1" t="s">
        <v>18061</v>
      </c>
      <c r="Y1014" s="1" t="s">
        <v>191</v>
      </c>
      <c r="Z1014" s="1" t="s">
        <v>92</v>
      </c>
      <c r="AA1014" s="1" t="s">
        <v>18061</v>
      </c>
      <c r="AB1014" s="1" t="s">
        <v>191</v>
      </c>
      <c r="AC1014" s="1" t="s">
        <v>92</v>
      </c>
      <c r="AD1014" s="1">
        <v>8.65</v>
      </c>
      <c r="AE1014" s="1" t="s">
        <v>93</v>
      </c>
      <c r="AF1014" s="1" t="s">
        <v>18062</v>
      </c>
      <c r="AG1014" s="1" t="s">
        <v>160</v>
      </c>
      <c r="AH1014" s="1" t="s">
        <v>101</v>
      </c>
      <c r="AI1014" s="1" t="s">
        <v>433</v>
      </c>
      <c r="AJ1014" s="1">
        <v>61.2</v>
      </c>
      <c r="AK1014" s="1"/>
      <c r="AL1014" s="1"/>
      <c r="AM1014" s="1"/>
      <c r="AN1014" s="1"/>
      <c r="AO1014" s="1"/>
      <c r="AP1014" s="1"/>
      <c r="AQ1014" s="1"/>
      <c r="AR1014" s="1" t="s">
        <v>18063</v>
      </c>
      <c r="AS1014" s="1" t="s">
        <v>18064</v>
      </c>
      <c r="AT1014" s="1" t="s">
        <v>310</v>
      </c>
      <c r="AU1014" s="1" t="s">
        <v>481</v>
      </c>
      <c r="AV1014" s="1">
        <v>81.11</v>
      </c>
      <c r="AW1014" s="1"/>
      <c r="AX1014" s="1" t="s">
        <v>18065</v>
      </c>
      <c r="AY1014" s="1" t="s">
        <v>18066</v>
      </c>
      <c r="AZ1014" s="1" t="s">
        <v>2690</v>
      </c>
      <c r="BA1014" s="1" t="s">
        <v>1714</v>
      </c>
      <c r="BB1014" s="1">
        <v>61.14</v>
      </c>
      <c r="BC1014" s="1">
        <v>6.87</v>
      </c>
      <c r="BD1014" s="1"/>
      <c r="BE1014" s="1"/>
      <c r="BF1014" s="1"/>
      <c r="BG1014" s="1"/>
      <c r="BH1014" s="1"/>
      <c r="BI1014" s="1"/>
      <c r="BJ1014" s="1" t="s">
        <v>18067</v>
      </c>
      <c r="BK1014" s="1"/>
      <c r="BL1014" s="1"/>
      <c r="BM1014" s="1" t="s">
        <v>18068</v>
      </c>
      <c r="BN1014" s="1">
        <v>4</v>
      </c>
      <c r="BO1014" s="1" t="s">
        <v>18069</v>
      </c>
      <c r="BP1014" s="1" t="str">
        <f>HYPERLINK("https://nconnect.nicmar.ac.in/storage/profile/ProfilePhoto_P25707001_689247.jpg","Download")</f>
        <v>0</v>
      </c>
      <c r="BQ1014" s="3"/>
      <c r="BR1014" s="3"/>
    </row>
    <row r="1015" spans="1:70">
      <c r="A1015" s="1" t="s">
        <v>18050</v>
      </c>
      <c r="B1015" s="1" t="s">
        <v>1269</v>
      </c>
      <c r="C1015" s="1" t="s">
        <v>18070</v>
      </c>
      <c r="D1015" s="1" t="s">
        <v>18071</v>
      </c>
      <c r="E1015" s="1"/>
      <c r="F1015" s="1" t="s">
        <v>18072</v>
      </c>
      <c r="G1015" s="1" t="s">
        <v>18073</v>
      </c>
      <c r="H1015" s="1" t="s">
        <v>18074</v>
      </c>
      <c r="I1015" s="1" t="s">
        <v>18075</v>
      </c>
      <c r="J1015" s="1">
        <v>6281993458</v>
      </c>
      <c r="K1015" s="1" t="s">
        <v>79</v>
      </c>
      <c r="L1015" s="1" t="s">
        <v>7213</v>
      </c>
      <c r="M1015" s="1" t="s">
        <v>81</v>
      </c>
      <c r="N1015" s="1" t="s">
        <v>2619</v>
      </c>
      <c r="O1015" s="1"/>
      <c r="P1015" s="1" t="s">
        <v>1278</v>
      </c>
      <c r="Q1015" s="1" t="s">
        <v>18076</v>
      </c>
      <c r="R1015" s="1" t="s">
        <v>18077</v>
      </c>
      <c r="S1015" s="1">
        <v>7702066075</v>
      </c>
      <c r="T1015" s="1" t="s">
        <v>4368</v>
      </c>
      <c r="U1015" s="1" t="s">
        <v>18078</v>
      </c>
      <c r="V1015" s="1">
        <v>7702066075</v>
      </c>
      <c r="W1015" s="1" t="s">
        <v>910</v>
      </c>
      <c r="X1015" s="1" t="s">
        <v>18079</v>
      </c>
      <c r="Y1015" s="1" t="s">
        <v>1150</v>
      </c>
      <c r="Z1015" s="1" t="s">
        <v>276</v>
      </c>
      <c r="AA1015" s="1" t="s">
        <v>18079</v>
      </c>
      <c r="AB1015" s="1" t="s">
        <v>1150</v>
      </c>
      <c r="AC1015" s="1" t="s">
        <v>276</v>
      </c>
      <c r="AD1015" s="1">
        <v>9.14</v>
      </c>
      <c r="AE1015" s="1" t="s">
        <v>93</v>
      </c>
      <c r="AF1015" s="1" t="s">
        <v>18080</v>
      </c>
      <c r="AG1015" s="1" t="s">
        <v>2243</v>
      </c>
      <c r="AH1015" s="1" t="s">
        <v>165</v>
      </c>
      <c r="AI1015" s="1" t="s">
        <v>281</v>
      </c>
      <c r="AJ1015" s="1">
        <v>98</v>
      </c>
      <c r="AK1015" s="1">
        <v>9.8</v>
      </c>
      <c r="AL1015" s="1"/>
      <c r="AM1015" s="1"/>
      <c r="AN1015" s="1"/>
      <c r="AO1015" s="1"/>
      <c r="AP1015" s="1"/>
      <c r="AQ1015" s="1"/>
      <c r="AR1015" s="1" t="s">
        <v>434</v>
      </c>
      <c r="AS1015" s="1" t="s">
        <v>18081</v>
      </c>
      <c r="AT1015" s="1" t="s">
        <v>101</v>
      </c>
      <c r="AU1015" s="1" t="s">
        <v>3081</v>
      </c>
      <c r="AV1015" s="1">
        <v>82.28</v>
      </c>
      <c r="AW1015" s="1"/>
      <c r="AX1015" s="1" t="s">
        <v>18082</v>
      </c>
      <c r="AY1015" s="1" t="s">
        <v>18083</v>
      </c>
      <c r="AZ1015" s="1" t="s">
        <v>135</v>
      </c>
      <c r="BA1015" s="1" t="s">
        <v>702</v>
      </c>
      <c r="BB1015" s="1">
        <v>76.4</v>
      </c>
      <c r="BC1015" s="1">
        <v>8.39</v>
      </c>
      <c r="BD1015" s="1"/>
      <c r="BE1015" s="1"/>
      <c r="BF1015" s="1"/>
      <c r="BG1015" s="1"/>
      <c r="BH1015" s="1"/>
      <c r="BI1015" s="1"/>
      <c r="BJ1015" s="1" t="s">
        <v>18084</v>
      </c>
      <c r="BK1015" s="1"/>
      <c r="BL1015" s="1"/>
      <c r="BM1015" s="1" t="s">
        <v>18085</v>
      </c>
      <c r="BN1015" s="1">
        <v>45</v>
      </c>
      <c r="BO1015" s="1" t="s">
        <v>18086</v>
      </c>
      <c r="BP1015" s="1" t="str">
        <f>HYPERLINK("https://nconnect.nicmar.ac.in/storage/profile/ProfilePhoto_P25707002_857632.jpg","Download")</f>
        <v>0</v>
      </c>
      <c r="BQ1015" s="3"/>
      <c r="BR1015" s="3"/>
    </row>
    <row r="1016" spans="1:70">
      <c r="A1016" s="1" t="s">
        <v>18050</v>
      </c>
      <c r="B1016" s="1" t="s">
        <v>1269</v>
      </c>
      <c r="C1016" s="1" t="s">
        <v>18087</v>
      </c>
      <c r="D1016" s="1" t="s">
        <v>18088</v>
      </c>
      <c r="E1016" s="1" t="s">
        <v>18089</v>
      </c>
      <c r="F1016" s="1" t="s">
        <v>18090</v>
      </c>
      <c r="G1016" s="1" t="s">
        <v>18091</v>
      </c>
      <c r="H1016" s="1" t="s">
        <v>18092</v>
      </c>
      <c r="I1016" s="1" t="s">
        <v>18093</v>
      </c>
      <c r="J1016" s="1">
        <v>7264940210</v>
      </c>
      <c r="K1016" s="1" t="s">
        <v>148</v>
      </c>
      <c r="L1016" s="1" t="s">
        <v>18094</v>
      </c>
      <c r="M1016" s="1" t="s">
        <v>81</v>
      </c>
      <c r="N1016" s="1" t="s">
        <v>1418</v>
      </c>
      <c r="O1016" s="1" t="s">
        <v>18095</v>
      </c>
      <c r="P1016" s="1" t="s">
        <v>1278</v>
      </c>
      <c r="Q1016" s="1" t="s">
        <v>18096</v>
      </c>
      <c r="R1016" s="1" t="s">
        <v>18097</v>
      </c>
      <c r="S1016" s="1">
        <v>7841021061</v>
      </c>
      <c r="T1016" s="1" t="s">
        <v>93</v>
      </c>
      <c r="U1016" s="1" t="s">
        <v>18098</v>
      </c>
      <c r="V1016" s="1">
        <v>9960289259</v>
      </c>
      <c r="W1016" s="1" t="s">
        <v>154</v>
      </c>
      <c r="X1016" s="1" t="s">
        <v>18099</v>
      </c>
      <c r="Y1016" s="1" t="s">
        <v>191</v>
      </c>
      <c r="Z1016" s="1" t="s">
        <v>92</v>
      </c>
      <c r="AA1016" s="1" t="s">
        <v>18100</v>
      </c>
      <c r="AB1016" s="1" t="s">
        <v>1886</v>
      </c>
      <c r="AC1016" s="1" t="s">
        <v>92</v>
      </c>
      <c r="AD1016" s="1">
        <v>9.51</v>
      </c>
      <c r="AE1016" s="1" t="s">
        <v>93</v>
      </c>
      <c r="AF1016" s="1" t="s">
        <v>18101</v>
      </c>
      <c r="AG1016" s="1" t="s">
        <v>160</v>
      </c>
      <c r="AH1016" s="1" t="s">
        <v>161</v>
      </c>
      <c r="AI1016" s="1" t="s">
        <v>162</v>
      </c>
      <c r="AJ1016" s="1">
        <v>94.6</v>
      </c>
      <c r="AK1016" s="1"/>
      <c r="AL1016" s="1" t="s">
        <v>18102</v>
      </c>
      <c r="AM1016" s="1" t="s">
        <v>160</v>
      </c>
      <c r="AN1016" s="1" t="s">
        <v>165</v>
      </c>
      <c r="AO1016" s="1" t="s">
        <v>166</v>
      </c>
      <c r="AP1016" s="1">
        <v>79.54</v>
      </c>
      <c r="AQ1016" s="1"/>
      <c r="AR1016" s="1"/>
      <c r="AS1016" s="1"/>
      <c r="AT1016" s="1"/>
      <c r="AU1016" s="1"/>
      <c r="AV1016" s="1"/>
      <c r="AW1016" s="1"/>
      <c r="AX1016" s="1" t="s">
        <v>361</v>
      </c>
      <c r="AY1016" s="1" t="s">
        <v>18103</v>
      </c>
      <c r="AZ1016" s="1" t="s">
        <v>201</v>
      </c>
      <c r="BA1016" s="1" t="s">
        <v>174</v>
      </c>
      <c r="BB1016" s="1">
        <v>84.74</v>
      </c>
      <c r="BC1016" s="1">
        <v>8.92</v>
      </c>
      <c r="BD1016" s="1"/>
      <c r="BE1016" s="1"/>
      <c r="BF1016" s="1"/>
      <c r="BG1016" s="1"/>
      <c r="BH1016" s="1"/>
      <c r="BI1016" s="1"/>
      <c r="BJ1016" s="1" t="s">
        <v>18104</v>
      </c>
      <c r="BK1016" s="1" t="s">
        <v>18105</v>
      </c>
      <c r="BL1016" s="1" t="s">
        <v>1919</v>
      </c>
      <c r="BM1016" s="1" t="s">
        <v>18106</v>
      </c>
      <c r="BN1016" s="1">
        <v>15</v>
      </c>
      <c r="BO1016" s="1" t="s">
        <v>18107</v>
      </c>
      <c r="BP1016" s="1" t="str">
        <f>HYPERLINK("https://nconnect.nicmar.ac.in/storage/profile/ProfilePhoto_P25707003_426789.jpg","Download")</f>
        <v>0</v>
      </c>
      <c r="BQ1016" s="3"/>
      <c r="BR1016" s="3"/>
    </row>
    <row r="1017" spans="1:70">
      <c r="A1017" s="1" t="s">
        <v>18050</v>
      </c>
      <c r="B1017" s="1" t="s">
        <v>1269</v>
      </c>
      <c r="C1017" s="1" t="s">
        <v>18108</v>
      </c>
      <c r="D1017" s="1" t="s">
        <v>18109</v>
      </c>
      <c r="E1017" s="1" t="s">
        <v>18110</v>
      </c>
      <c r="F1017" s="1" t="s">
        <v>18111</v>
      </c>
      <c r="G1017" s="1" t="s">
        <v>18112</v>
      </c>
      <c r="H1017" s="1" t="s">
        <v>18113</v>
      </c>
      <c r="I1017" s="1" t="s">
        <v>18114</v>
      </c>
      <c r="J1017" s="1">
        <v>9496455900</v>
      </c>
      <c r="K1017" s="1" t="s">
        <v>148</v>
      </c>
      <c r="L1017" s="1" t="s">
        <v>18115</v>
      </c>
      <c r="M1017" s="1" t="s">
        <v>81</v>
      </c>
      <c r="N1017" s="1" t="s">
        <v>18116</v>
      </c>
      <c r="O1017" s="1"/>
      <c r="P1017" s="1" t="s">
        <v>1298</v>
      </c>
      <c r="Q1017" s="1" t="s">
        <v>18117</v>
      </c>
      <c r="R1017" s="1" t="s">
        <v>18118</v>
      </c>
      <c r="S1017" s="1">
        <v>9400000124</v>
      </c>
      <c r="T1017" s="1" t="s">
        <v>18119</v>
      </c>
      <c r="U1017" s="1" t="s">
        <v>18120</v>
      </c>
      <c r="V1017" s="1">
        <v>9496455800</v>
      </c>
      <c r="W1017" s="1" t="s">
        <v>156</v>
      </c>
      <c r="X1017" s="1" t="s">
        <v>18121</v>
      </c>
      <c r="Y1017" s="1" t="s">
        <v>1491</v>
      </c>
      <c r="Z1017" s="1" t="s">
        <v>125</v>
      </c>
      <c r="AA1017" s="1" t="s">
        <v>18121</v>
      </c>
      <c r="AB1017" s="1" t="s">
        <v>1491</v>
      </c>
      <c r="AC1017" s="1" t="s">
        <v>125</v>
      </c>
      <c r="AD1017" s="1">
        <v>8.88</v>
      </c>
      <c r="AE1017" s="1" t="s">
        <v>93</v>
      </c>
      <c r="AF1017" s="1" t="s">
        <v>18122</v>
      </c>
      <c r="AG1017" s="1" t="s">
        <v>2531</v>
      </c>
      <c r="AH1017" s="1" t="s">
        <v>658</v>
      </c>
      <c r="AI1017" s="1" t="s">
        <v>129</v>
      </c>
      <c r="AJ1017" s="1">
        <v>83.6</v>
      </c>
      <c r="AK1017" s="1">
        <v>8.8</v>
      </c>
      <c r="AL1017" s="1" t="s">
        <v>18122</v>
      </c>
      <c r="AM1017" s="1" t="s">
        <v>307</v>
      </c>
      <c r="AN1017" s="1" t="s">
        <v>1197</v>
      </c>
      <c r="AO1017" s="1" t="s">
        <v>131</v>
      </c>
      <c r="AP1017" s="1">
        <v>81.6</v>
      </c>
      <c r="AQ1017" s="1"/>
      <c r="AR1017" s="1"/>
      <c r="AS1017" s="1"/>
      <c r="AT1017" s="1"/>
      <c r="AU1017" s="1"/>
      <c r="AV1017" s="1"/>
      <c r="AW1017" s="1"/>
      <c r="AX1017" s="1" t="s">
        <v>1494</v>
      </c>
      <c r="AY1017" s="1" t="s">
        <v>18123</v>
      </c>
      <c r="AZ1017" s="1" t="s">
        <v>131</v>
      </c>
      <c r="BA1017" s="1" t="s">
        <v>310</v>
      </c>
      <c r="BB1017" s="1">
        <v>66.45</v>
      </c>
      <c r="BC1017" s="1">
        <v>7.02</v>
      </c>
      <c r="BD1017" s="1"/>
      <c r="BE1017" s="1"/>
      <c r="BF1017" s="1"/>
      <c r="BG1017" s="1"/>
      <c r="BH1017" s="1"/>
      <c r="BI1017" s="1"/>
      <c r="BJ1017" s="1" t="s">
        <v>4591</v>
      </c>
      <c r="BK1017" s="1" t="s">
        <v>18124</v>
      </c>
      <c r="BL1017" s="1" t="s">
        <v>1629</v>
      </c>
      <c r="BM1017" s="1" t="s">
        <v>18125</v>
      </c>
      <c r="BN1017" s="1">
        <v>1</v>
      </c>
      <c r="BO1017" s="1" t="s">
        <v>18126</v>
      </c>
      <c r="BP1017" s="1" t="str">
        <f>HYPERLINK("https://nconnect.nicmar.ac.in/storage/profile/ProfilePhoto_P25707004_475816.jpg","Download")</f>
        <v>0</v>
      </c>
      <c r="BQ1017" s="3"/>
      <c r="BR1017" s="3"/>
    </row>
    <row r="1018" spans="1:70">
      <c r="A1018" s="1" t="s">
        <v>18050</v>
      </c>
      <c r="B1018" s="1" t="s">
        <v>1269</v>
      </c>
      <c r="C1018" s="1" t="s">
        <v>18127</v>
      </c>
      <c r="D1018" s="1" t="s">
        <v>18128</v>
      </c>
      <c r="E1018" s="1"/>
      <c r="F1018" s="1" t="s">
        <v>18129</v>
      </c>
      <c r="G1018" s="1" t="s">
        <v>18130</v>
      </c>
      <c r="H1018" s="1" t="s">
        <v>18131</v>
      </c>
      <c r="I1018" s="1" t="s">
        <v>18132</v>
      </c>
      <c r="J1018" s="1">
        <v>9663116476</v>
      </c>
      <c r="K1018" s="1" t="s">
        <v>79</v>
      </c>
      <c r="L1018" s="1" t="s">
        <v>5890</v>
      </c>
      <c r="M1018" s="1" t="s">
        <v>81</v>
      </c>
      <c r="N1018" s="1" t="s">
        <v>18133</v>
      </c>
      <c r="O1018" s="1"/>
      <c r="P1018" s="1" t="s">
        <v>1766</v>
      </c>
      <c r="Q1018" s="1" t="s">
        <v>18134</v>
      </c>
      <c r="R1018" s="1" t="s">
        <v>18135</v>
      </c>
      <c r="S1018" s="1">
        <v>9164580389</v>
      </c>
      <c r="T1018" s="1" t="s">
        <v>377</v>
      </c>
      <c r="U1018" s="1" t="s">
        <v>18136</v>
      </c>
      <c r="V1018" s="1">
        <v>7922897285</v>
      </c>
      <c r="W1018" s="1" t="s">
        <v>651</v>
      </c>
      <c r="X1018" s="1" t="s">
        <v>18137</v>
      </c>
      <c r="Y1018" s="1" t="s">
        <v>9693</v>
      </c>
      <c r="Z1018" s="1" t="s">
        <v>1084</v>
      </c>
      <c r="AA1018" s="1" t="s">
        <v>18137</v>
      </c>
      <c r="AB1018" s="1" t="s">
        <v>9693</v>
      </c>
      <c r="AC1018" s="1" t="s">
        <v>1084</v>
      </c>
      <c r="AD1018" s="1">
        <v>7.51</v>
      </c>
      <c r="AE1018" s="1" t="s">
        <v>93</v>
      </c>
      <c r="AF1018" s="1" t="s">
        <v>18138</v>
      </c>
      <c r="AG1018" s="1" t="s">
        <v>18139</v>
      </c>
      <c r="AH1018" s="1" t="s">
        <v>657</v>
      </c>
      <c r="AI1018" s="1" t="s">
        <v>678</v>
      </c>
      <c r="AJ1018" s="1">
        <v>77.9</v>
      </c>
      <c r="AK1018" s="1">
        <v>8.2</v>
      </c>
      <c r="AL1018" s="1" t="s">
        <v>18140</v>
      </c>
      <c r="AM1018" s="1" t="s">
        <v>18141</v>
      </c>
      <c r="AN1018" s="1" t="s">
        <v>162</v>
      </c>
      <c r="AO1018" s="1" t="s">
        <v>409</v>
      </c>
      <c r="AP1018" s="1">
        <v>57</v>
      </c>
      <c r="AQ1018" s="1"/>
      <c r="AR1018" s="1"/>
      <c r="AS1018" s="1"/>
      <c r="AT1018" s="1"/>
      <c r="AU1018" s="1"/>
      <c r="AV1018" s="1"/>
      <c r="AW1018" s="1"/>
      <c r="AX1018" s="1" t="s">
        <v>18142</v>
      </c>
      <c r="AY1018" s="1" t="s">
        <v>18141</v>
      </c>
      <c r="AZ1018" s="1" t="s">
        <v>310</v>
      </c>
      <c r="BA1018" s="1" t="s">
        <v>1977</v>
      </c>
      <c r="BB1018" s="1">
        <v>0</v>
      </c>
      <c r="BC1018" s="1"/>
      <c r="BD1018" s="1"/>
      <c r="BE1018" s="1"/>
      <c r="BF1018" s="1"/>
      <c r="BG1018" s="1"/>
      <c r="BH1018" s="1"/>
      <c r="BI1018" s="1"/>
      <c r="BJ1018" s="1" t="s">
        <v>734</v>
      </c>
      <c r="BK1018" s="1"/>
      <c r="BL1018" s="1"/>
      <c r="BM1018" s="1" t="s">
        <v>18143</v>
      </c>
      <c r="BN1018" s="1">
        <v>20</v>
      </c>
      <c r="BO1018" s="1"/>
      <c r="BP1018" s="1" t="str">
        <f>HYPERLINK("https://nconnect.nicmar.ac.in/storage/profile/ProfilePhoto_P25707005_192873.jpg","Download")</f>
        <v>0</v>
      </c>
      <c r="BQ1018" s="3"/>
      <c r="BR1018" s="3"/>
    </row>
    <row r="1019" spans="1:70">
      <c r="A1019" s="1" t="s">
        <v>18050</v>
      </c>
      <c r="B1019" s="1" t="s">
        <v>1269</v>
      </c>
      <c r="C1019" s="1" t="s">
        <v>18144</v>
      </c>
      <c r="D1019" s="1" t="s">
        <v>18145</v>
      </c>
      <c r="E1019" s="1"/>
      <c r="F1019" s="1" t="s">
        <v>18146</v>
      </c>
      <c r="G1019" s="1" t="s">
        <v>18147</v>
      </c>
      <c r="H1019" s="1" t="s">
        <v>18148</v>
      </c>
      <c r="I1019" s="1" t="s">
        <v>18149</v>
      </c>
      <c r="J1019" s="1">
        <v>9502853807</v>
      </c>
      <c r="K1019" s="1" t="s">
        <v>79</v>
      </c>
      <c r="L1019" s="1" t="s">
        <v>18150</v>
      </c>
      <c r="M1019" s="1" t="s">
        <v>81</v>
      </c>
      <c r="N1019" s="1" t="s">
        <v>18151</v>
      </c>
      <c r="O1019" s="1"/>
      <c r="P1019" s="1" t="s">
        <v>1323</v>
      </c>
      <c r="Q1019" s="1" t="s">
        <v>18152</v>
      </c>
      <c r="R1019" s="1" t="s">
        <v>18153</v>
      </c>
      <c r="S1019" s="1">
        <v>9618386467</v>
      </c>
      <c r="T1019" s="1" t="s">
        <v>154</v>
      </c>
      <c r="U1019" s="1" t="s">
        <v>18154</v>
      </c>
      <c r="V1019" s="1">
        <v>8897348079</v>
      </c>
      <c r="W1019" s="1" t="s">
        <v>18155</v>
      </c>
      <c r="X1019" s="1" t="s">
        <v>18156</v>
      </c>
      <c r="Y1019" s="1" t="s">
        <v>4372</v>
      </c>
      <c r="Z1019" s="1" t="s">
        <v>276</v>
      </c>
      <c r="AA1019" s="1" t="s">
        <v>18156</v>
      </c>
      <c r="AB1019" s="1" t="s">
        <v>4372</v>
      </c>
      <c r="AC1019" s="1" t="s">
        <v>276</v>
      </c>
      <c r="AD1019" s="1">
        <v>9.27</v>
      </c>
      <c r="AE1019" s="1" t="s">
        <v>93</v>
      </c>
      <c r="AF1019" s="1" t="s">
        <v>18157</v>
      </c>
      <c r="AG1019" s="1" t="s">
        <v>3118</v>
      </c>
      <c r="AH1019" s="1" t="s">
        <v>165</v>
      </c>
      <c r="AI1019" s="1" t="s">
        <v>281</v>
      </c>
      <c r="AJ1019" s="1">
        <v>87</v>
      </c>
      <c r="AK1019" s="1">
        <v>8.7</v>
      </c>
      <c r="AL1019" s="1" t="s">
        <v>1153</v>
      </c>
      <c r="AM1019" s="1" t="s">
        <v>1154</v>
      </c>
      <c r="AN1019" s="1" t="s">
        <v>101</v>
      </c>
      <c r="AO1019" s="1" t="s">
        <v>941</v>
      </c>
      <c r="AP1019" s="1">
        <v>74.7</v>
      </c>
      <c r="AQ1019" s="1">
        <v>7.84</v>
      </c>
      <c r="AR1019" s="1"/>
      <c r="AS1019" s="1"/>
      <c r="AT1019" s="1"/>
      <c r="AU1019" s="1"/>
      <c r="AV1019" s="1"/>
      <c r="AW1019" s="1"/>
      <c r="AX1019" s="1" t="s">
        <v>18158</v>
      </c>
      <c r="AY1019" s="1" t="s">
        <v>18159</v>
      </c>
      <c r="AZ1019" s="1" t="s">
        <v>699</v>
      </c>
      <c r="BA1019" s="1" t="s">
        <v>413</v>
      </c>
      <c r="BB1019" s="1">
        <v>85.1</v>
      </c>
      <c r="BC1019" s="1">
        <v>8.51</v>
      </c>
      <c r="BD1019" s="1"/>
      <c r="BE1019" s="1"/>
      <c r="BF1019" s="1"/>
      <c r="BG1019" s="1"/>
      <c r="BH1019" s="1"/>
      <c r="BI1019" s="1"/>
      <c r="BJ1019" s="1" t="s">
        <v>18160</v>
      </c>
      <c r="BK1019" s="1"/>
      <c r="BL1019" s="1"/>
      <c r="BM1019" s="1" t="s">
        <v>18161</v>
      </c>
      <c r="BN1019" s="1">
        <v>26</v>
      </c>
      <c r="BO1019" s="1" t="s">
        <v>18162</v>
      </c>
      <c r="BP1019" s="1" t="str">
        <f>HYPERLINK("https://nconnect.nicmar.ac.in/storage/profile/ProfilePhoto_P25707007_687459.jpg","Download")</f>
        <v>0</v>
      </c>
      <c r="BQ1019" s="3"/>
      <c r="BR1019" s="3"/>
    </row>
    <row r="1020" spans="1:70">
      <c r="A1020" s="1" t="s">
        <v>18050</v>
      </c>
      <c r="B1020" s="1" t="s">
        <v>1269</v>
      </c>
      <c r="C1020" s="1" t="s">
        <v>18163</v>
      </c>
      <c r="D1020" s="1" t="s">
        <v>1479</v>
      </c>
      <c r="E1020" s="1"/>
      <c r="F1020" s="1" t="s">
        <v>18164</v>
      </c>
      <c r="G1020" s="1" t="s">
        <v>18165</v>
      </c>
      <c r="H1020" s="1" t="s">
        <v>18166</v>
      </c>
      <c r="I1020" s="1" t="s">
        <v>18167</v>
      </c>
      <c r="J1020" s="1">
        <v>7907781254</v>
      </c>
      <c r="K1020" s="1" t="s">
        <v>148</v>
      </c>
      <c r="L1020" s="1" t="s">
        <v>18168</v>
      </c>
      <c r="M1020" s="1" t="s">
        <v>81</v>
      </c>
      <c r="N1020" s="1" t="s">
        <v>2133</v>
      </c>
      <c r="O1020" s="1"/>
      <c r="P1020" s="1" t="s">
        <v>1323</v>
      </c>
      <c r="Q1020" s="1" t="s">
        <v>18169</v>
      </c>
      <c r="R1020" s="1" t="s">
        <v>18170</v>
      </c>
      <c r="S1020" s="1">
        <v>9048715537</v>
      </c>
      <c r="T1020" s="1" t="s">
        <v>496</v>
      </c>
      <c r="U1020" s="1" t="s">
        <v>18171</v>
      </c>
      <c r="V1020" s="1">
        <v>9946909937</v>
      </c>
      <c r="W1020" s="1" t="s">
        <v>2622</v>
      </c>
      <c r="X1020" s="1" t="s">
        <v>18172</v>
      </c>
      <c r="Y1020" s="1" t="s">
        <v>124</v>
      </c>
      <c r="Z1020" s="1" t="s">
        <v>125</v>
      </c>
      <c r="AA1020" s="1" t="s">
        <v>18172</v>
      </c>
      <c r="AB1020" s="1" t="s">
        <v>124</v>
      </c>
      <c r="AC1020" s="1" t="s">
        <v>125</v>
      </c>
      <c r="AD1020" s="1">
        <v>9.55</v>
      </c>
      <c r="AE1020" s="1" t="s">
        <v>93</v>
      </c>
      <c r="AF1020" s="1" t="s">
        <v>18173</v>
      </c>
      <c r="AG1020" s="1" t="s">
        <v>6680</v>
      </c>
      <c r="AH1020" s="1" t="s">
        <v>998</v>
      </c>
      <c r="AI1020" s="1" t="s">
        <v>999</v>
      </c>
      <c r="AJ1020" s="1">
        <v>95</v>
      </c>
      <c r="AK1020" s="1"/>
      <c r="AL1020" s="1" t="s">
        <v>18174</v>
      </c>
      <c r="AM1020" s="1" t="s">
        <v>18175</v>
      </c>
      <c r="AN1020" s="1" t="s">
        <v>161</v>
      </c>
      <c r="AO1020" s="1" t="s">
        <v>456</v>
      </c>
      <c r="AP1020" s="1">
        <v>96</v>
      </c>
      <c r="AQ1020" s="1"/>
      <c r="AR1020" s="1"/>
      <c r="AS1020" s="1"/>
      <c r="AT1020" s="1"/>
      <c r="AU1020" s="1"/>
      <c r="AV1020" s="1"/>
      <c r="AW1020" s="1"/>
      <c r="AX1020" s="1" t="s">
        <v>18176</v>
      </c>
      <c r="AY1020" s="1" t="s">
        <v>18177</v>
      </c>
      <c r="AZ1020" s="1" t="s">
        <v>134</v>
      </c>
      <c r="BA1020" s="1" t="s">
        <v>2461</v>
      </c>
      <c r="BB1020" s="1">
        <v>73.95</v>
      </c>
      <c r="BC1020" s="1">
        <v>7.77</v>
      </c>
      <c r="BD1020" s="1"/>
      <c r="BE1020" s="1"/>
      <c r="BF1020" s="1"/>
      <c r="BG1020" s="1"/>
      <c r="BH1020" s="1"/>
      <c r="BI1020" s="1"/>
      <c r="BJ1020" s="1" t="s">
        <v>18178</v>
      </c>
      <c r="BK1020" s="1" t="s">
        <v>18179</v>
      </c>
      <c r="BL1020" s="1" t="s">
        <v>8664</v>
      </c>
      <c r="BM1020" s="1" t="s">
        <v>18180</v>
      </c>
      <c r="BN1020" s="1">
        <v>10</v>
      </c>
      <c r="BO1020" s="1" t="s">
        <v>18181</v>
      </c>
      <c r="BP1020" s="1" t="str">
        <f>HYPERLINK("https://nconnect.nicmar.ac.in/storage/profile/ProfilePhoto_P25707008_267589.jpg","Download")</f>
        <v>0</v>
      </c>
      <c r="BQ1020" s="3"/>
      <c r="BR1020" s="3"/>
    </row>
    <row r="1021" spans="1:70">
      <c r="A1021" s="1" t="s">
        <v>18050</v>
      </c>
      <c r="B1021" s="1" t="s">
        <v>1269</v>
      </c>
      <c r="C1021" s="1" t="s">
        <v>18182</v>
      </c>
      <c r="D1021" s="1" t="s">
        <v>18183</v>
      </c>
      <c r="E1021" s="1"/>
      <c r="F1021" s="1" t="s">
        <v>18184</v>
      </c>
      <c r="G1021" s="1" t="s">
        <v>18185</v>
      </c>
      <c r="H1021" s="1" t="s">
        <v>18186</v>
      </c>
      <c r="I1021" s="1" t="s">
        <v>18187</v>
      </c>
      <c r="J1021" s="1">
        <v>8056007744</v>
      </c>
      <c r="K1021" s="1" t="s">
        <v>148</v>
      </c>
      <c r="L1021" s="1" t="s">
        <v>18188</v>
      </c>
      <c r="M1021" s="1" t="s">
        <v>81</v>
      </c>
      <c r="N1021" s="1" t="s">
        <v>18189</v>
      </c>
      <c r="O1021" s="1"/>
      <c r="P1021" s="1" t="s">
        <v>1298</v>
      </c>
      <c r="Q1021" s="1" t="s">
        <v>18190</v>
      </c>
      <c r="R1021" s="1" t="s">
        <v>18191</v>
      </c>
      <c r="S1021" s="1">
        <v>9611211744</v>
      </c>
      <c r="T1021" s="1" t="s">
        <v>18192</v>
      </c>
      <c r="U1021" s="1" t="s">
        <v>18193</v>
      </c>
      <c r="V1021" s="1">
        <v>8056011186</v>
      </c>
      <c r="W1021" s="1" t="s">
        <v>89</v>
      </c>
      <c r="X1021" s="1" t="s">
        <v>18194</v>
      </c>
      <c r="Y1021" s="1" t="s">
        <v>2318</v>
      </c>
      <c r="Z1021" s="1" t="s">
        <v>1377</v>
      </c>
      <c r="AA1021" s="1" t="s">
        <v>18194</v>
      </c>
      <c r="AB1021" s="1" t="s">
        <v>2318</v>
      </c>
      <c r="AC1021" s="1" t="s">
        <v>1377</v>
      </c>
      <c r="AD1021" s="1">
        <v>9.98</v>
      </c>
      <c r="AE1021" s="1" t="s">
        <v>93</v>
      </c>
      <c r="AF1021" s="1" t="s">
        <v>18195</v>
      </c>
      <c r="AG1021" s="1" t="s">
        <v>18196</v>
      </c>
      <c r="AH1021" s="1" t="s">
        <v>279</v>
      </c>
      <c r="AI1021" s="1" t="s">
        <v>101</v>
      </c>
      <c r="AJ1021" s="1">
        <v>90.6</v>
      </c>
      <c r="AK1021" s="1"/>
      <c r="AL1021" s="1" t="s">
        <v>18195</v>
      </c>
      <c r="AM1021" s="1" t="s">
        <v>18196</v>
      </c>
      <c r="AN1021" s="1" t="s">
        <v>101</v>
      </c>
      <c r="AO1021" s="1" t="s">
        <v>681</v>
      </c>
      <c r="AP1021" s="1">
        <v>93.2</v>
      </c>
      <c r="AQ1021" s="1"/>
      <c r="AR1021" s="1"/>
      <c r="AS1021" s="1"/>
      <c r="AT1021" s="1"/>
      <c r="AU1021" s="1"/>
      <c r="AV1021" s="1"/>
      <c r="AW1021" s="1"/>
      <c r="AX1021" s="1" t="s">
        <v>18197</v>
      </c>
      <c r="AY1021" s="1" t="s">
        <v>18198</v>
      </c>
      <c r="AZ1021" s="1" t="s">
        <v>920</v>
      </c>
      <c r="BA1021" s="1" t="s">
        <v>590</v>
      </c>
      <c r="BB1021" s="1">
        <v>82.25</v>
      </c>
      <c r="BC1021" s="1">
        <v>8.22</v>
      </c>
      <c r="BD1021" s="1"/>
      <c r="BE1021" s="1"/>
      <c r="BF1021" s="1"/>
      <c r="BG1021" s="1"/>
      <c r="BH1021" s="1"/>
      <c r="BI1021" s="1"/>
      <c r="BJ1021" s="1" t="s">
        <v>18199</v>
      </c>
      <c r="BK1021" s="1" t="s">
        <v>18200</v>
      </c>
      <c r="BL1021" s="1" t="s">
        <v>1220</v>
      </c>
      <c r="BM1021" s="1" t="s">
        <v>18201</v>
      </c>
      <c r="BN1021" s="1">
        <v>8</v>
      </c>
      <c r="BO1021" s="1" t="s">
        <v>18202</v>
      </c>
      <c r="BP1021" s="1" t="str">
        <f>HYPERLINK("https://nconnect.nicmar.ac.in/storage/profile/ProfilePhoto_P25707011_829531.jpg","Download")</f>
        <v>0</v>
      </c>
      <c r="BQ1021" s="3"/>
      <c r="BR1021" s="3"/>
    </row>
    <row r="1022" spans="1:70">
      <c r="A1022" s="1" t="s">
        <v>18050</v>
      </c>
      <c r="B1022" s="1" t="s">
        <v>1269</v>
      </c>
      <c r="C1022" s="1" t="s">
        <v>18203</v>
      </c>
      <c r="D1022" s="1" t="s">
        <v>18204</v>
      </c>
      <c r="E1022" s="1" t="s">
        <v>3858</v>
      </c>
      <c r="F1022" s="1" t="s">
        <v>18205</v>
      </c>
      <c r="G1022" s="1" t="s">
        <v>18206</v>
      </c>
      <c r="H1022" s="1" t="s">
        <v>18207</v>
      </c>
      <c r="I1022" s="1" t="s">
        <v>18208</v>
      </c>
      <c r="J1022" s="1">
        <v>8830287545</v>
      </c>
      <c r="K1022" s="1" t="s">
        <v>148</v>
      </c>
      <c r="L1022" s="1" t="s">
        <v>18209</v>
      </c>
      <c r="M1022" s="1" t="s">
        <v>81</v>
      </c>
      <c r="N1022" s="1" t="s">
        <v>1618</v>
      </c>
      <c r="O1022" s="1"/>
      <c r="P1022" s="1" t="s">
        <v>1278</v>
      </c>
      <c r="Q1022" s="1" t="s">
        <v>18210</v>
      </c>
      <c r="R1022" s="1" t="s">
        <v>18211</v>
      </c>
      <c r="S1022" s="1">
        <v>9561742713</v>
      </c>
      <c r="T1022" s="1" t="s">
        <v>4566</v>
      </c>
      <c r="U1022" s="1" t="s">
        <v>18212</v>
      </c>
      <c r="V1022" s="1">
        <v>7744983743</v>
      </c>
      <c r="W1022" s="1" t="s">
        <v>156</v>
      </c>
      <c r="X1022" s="1" t="s">
        <v>18213</v>
      </c>
      <c r="Y1022" s="1" t="s">
        <v>191</v>
      </c>
      <c r="Z1022" s="1" t="s">
        <v>92</v>
      </c>
      <c r="AA1022" s="1" t="s">
        <v>18213</v>
      </c>
      <c r="AB1022" s="1" t="s">
        <v>191</v>
      </c>
      <c r="AC1022" s="1" t="s">
        <v>92</v>
      </c>
      <c r="AD1022" s="1">
        <v>8.48</v>
      </c>
      <c r="AE1022" s="1" t="s">
        <v>93</v>
      </c>
      <c r="AF1022" s="1" t="s">
        <v>14390</v>
      </c>
      <c r="AG1022" s="1" t="s">
        <v>3549</v>
      </c>
      <c r="AH1022" s="1" t="s">
        <v>101</v>
      </c>
      <c r="AI1022" s="1" t="s">
        <v>409</v>
      </c>
      <c r="AJ1022" s="1">
        <v>67.2</v>
      </c>
      <c r="AK1022" s="1"/>
      <c r="AL1022" s="1"/>
      <c r="AM1022" s="1"/>
      <c r="AN1022" s="1"/>
      <c r="AO1022" s="1"/>
      <c r="AP1022" s="1"/>
      <c r="AQ1022" s="1"/>
      <c r="AR1022" s="1" t="s">
        <v>7930</v>
      </c>
      <c r="AS1022" s="1" t="s">
        <v>18214</v>
      </c>
      <c r="AT1022" s="1" t="s">
        <v>201</v>
      </c>
      <c r="AU1022" s="1" t="s">
        <v>481</v>
      </c>
      <c r="AV1022" s="1">
        <v>81.95</v>
      </c>
      <c r="AW1022" s="1"/>
      <c r="AX1022" s="1" t="s">
        <v>361</v>
      </c>
      <c r="AY1022" s="1" t="s">
        <v>18215</v>
      </c>
      <c r="AZ1022" s="1" t="s">
        <v>2690</v>
      </c>
      <c r="BA1022" s="1" t="s">
        <v>1714</v>
      </c>
      <c r="BB1022" s="1">
        <v>58.91</v>
      </c>
      <c r="BC1022" s="1">
        <v>6.62</v>
      </c>
      <c r="BD1022" s="1"/>
      <c r="BE1022" s="1"/>
      <c r="BF1022" s="1"/>
      <c r="BG1022" s="1"/>
      <c r="BH1022" s="1"/>
      <c r="BI1022" s="1"/>
      <c r="BJ1022" s="1" t="s">
        <v>364</v>
      </c>
      <c r="BK1022" s="1"/>
      <c r="BL1022" s="1"/>
      <c r="BM1022" s="1" t="s">
        <v>18216</v>
      </c>
      <c r="BN1022" s="1">
        <v>30</v>
      </c>
      <c r="BO1022" s="1" t="s">
        <v>18217</v>
      </c>
      <c r="BP1022" s="1" t="str">
        <f>HYPERLINK("https://nconnect.nicmar.ac.in/storage/profile/ProfilePhoto_P25707012_126357.jpg","Download")</f>
        <v>0</v>
      </c>
      <c r="BQ1022" s="3"/>
      <c r="BR1022" s="3"/>
    </row>
    <row r="1023" spans="1:70">
      <c r="A1023" s="1" t="s">
        <v>18050</v>
      </c>
      <c r="B1023" s="1" t="s">
        <v>1269</v>
      </c>
      <c r="C1023" s="1" t="s">
        <v>18218</v>
      </c>
      <c r="D1023" s="1" t="s">
        <v>15477</v>
      </c>
      <c r="E1023" s="1"/>
      <c r="F1023" s="1" t="s">
        <v>18219</v>
      </c>
      <c r="G1023" s="1" t="s">
        <v>18220</v>
      </c>
      <c r="H1023" s="1" t="s">
        <v>18221</v>
      </c>
      <c r="I1023" s="1" t="s">
        <v>18222</v>
      </c>
      <c r="J1023" s="1">
        <v>7982326477</v>
      </c>
      <c r="K1023" s="1" t="s">
        <v>148</v>
      </c>
      <c r="L1023" s="1" t="s">
        <v>18223</v>
      </c>
      <c r="M1023" s="1" t="s">
        <v>81</v>
      </c>
      <c r="N1023" s="1" t="s">
        <v>5040</v>
      </c>
      <c r="O1023" s="1"/>
      <c r="P1023" s="1" t="s">
        <v>1323</v>
      </c>
      <c r="Q1023" s="1" t="s">
        <v>18224</v>
      </c>
      <c r="R1023" s="1" t="s">
        <v>18225</v>
      </c>
      <c r="S1023" s="1">
        <v>9910628505</v>
      </c>
      <c r="T1023" s="1" t="s">
        <v>18226</v>
      </c>
      <c r="U1023" s="1" t="s">
        <v>18227</v>
      </c>
      <c r="V1023" s="1">
        <v>9971408505</v>
      </c>
      <c r="W1023" s="1" t="s">
        <v>156</v>
      </c>
      <c r="X1023" s="1" t="s">
        <v>18228</v>
      </c>
      <c r="Y1023" s="1" t="s">
        <v>7531</v>
      </c>
      <c r="Z1023" s="1" t="s">
        <v>722</v>
      </c>
      <c r="AA1023" s="1" t="s">
        <v>18229</v>
      </c>
      <c r="AB1023" s="1" t="s">
        <v>7179</v>
      </c>
      <c r="AC1023" s="1" t="s">
        <v>722</v>
      </c>
      <c r="AD1023" s="1">
        <v>8.92</v>
      </c>
      <c r="AE1023" s="1" t="s">
        <v>93</v>
      </c>
      <c r="AF1023" s="1" t="s">
        <v>18230</v>
      </c>
      <c r="AG1023" s="1" t="s">
        <v>307</v>
      </c>
      <c r="AH1023" s="1" t="s">
        <v>503</v>
      </c>
      <c r="AI1023" s="1" t="s">
        <v>527</v>
      </c>
      <c r="AJ1023" s="1">
        <v>66.5</v>
      </c>
      <c r="AK1023" s="1">
        <v>7</v>
      </c>
      <c r="AL1023" s="1" t="s">
        <v>18231</v>
      </c>
      <c r="AM1023" s="1" t="s">
        <v>307</v>
      </c>
      <c r="AN1023" s="1" t="s">
        <v>678</v>
      </c>
      <c r="AO1023" s="1" t="s">
        <v>166</v>
      </c>
      <c r="AP1023" s="1">
        <v>67.2</v>
      </c>
      <c r="AQ1023" s="1">
        <v>7.07</v>
      </c>
      <c r="AR1023" s="1"/>
      <c r="AS1023" s="1"/>
      <c r="AT1023" s="1"/>
      <c r="AU1023" s="1"/>
      <c r="AV1023" s="1"/>
      <c r="AW1023" s="1"/>
      <c r="AX1023" s="1" t="s">
        <v>3349</v>
      </c>
      <c r="AY1023" s="1" t="s">
        <v>18232</v>
      </c>
      <c r="AZ1023" s="1" t="s">
        <v>169</v>
      </c>
      <c r="BA1023" s="1" t="s">
        <v>2690</v>
      </c>
      <c r="BB1023" s="1">
        <v>82.2</v>
      </c>
      <c r="BC1023" s="1">
        <v>8.22</v>
      </c>
      <c r="BD1023" s="1"/>
      <c r="BE1023" s="1"/>
      <c r="BF1023" s="1"/>
      <c r="BG1023" s="1"/>
      <c r="BH1023" s="1"/>
      <c r="BI1023" s="1"/>
      <c r="BJ1023" s="1" t="s">
        <v>18233</v>
      </c>
      <c r="BK1023" s="1"/>
      <c r="BL1023" s="1"/>
      <c r="BM1023" s="1" t="s">
        <v>18234</v>
      </c>
      <c r="BN1023" s="1">
        <v>47</v>
      </c>
      <c r="BO1023" s="1"/>
      <c r="BP1023" s="1" t="str">
        <f>HYPERLINK("https://nconnect.nicmar.ac.in/storage/profile/ProfilePhoto_P25707013_359281.jpg","Download")</f>
        <v>0</v>
      </c>
      <c r="BQ1023" s="3"/>
      <c r="BR1023" s="3"/>
    </row>
    <row r="1024" spans="1:70">
      <c r="A1024" s="1" t="s">
        <v>18050</v>
      </c>
      <c r="B1024" s="1" t="s">
        <v>1269</v>
      </c>
      <c r="C1024" s="1" t="s">
        <v>18235</v>
      </c>
      <c r="D1024" s="1" t="s">
        <v>18236</v>
      </c>
      <c r="E1024" s="1" t="s">
        <v>18237</v>
      </c>
      <c r="F1024" s="1" t="s">
        <v>7847</v>
      </c>
      <c r="G1024" s="1" t="s">
        <v>18238</v>
      </c>
      <c r="H1024" s="1" t="s">
        <v>18239</v>
      </c>
      <c r="I1024" s="1" t="s">
        <v>18240</v>
      </c>
      <c r="J1024" s="1">
        <v>9823220351</v>
      </c>
      <c r="K1024" s="1" t="s">
        <v>79</v>
      </c>
      <c r="L1024" s="1" t="s">
        <v>18241</v>
      </c>
      <c r="M1024" s="1" t="s">
        <v>81</v>
      </c>
      <c r="N1024" s="1" t="s">
        <v>18242</v>
      </c>
      <c r="O1024" s="1"/>
      <c r="P1024" s="1" t="s">
        <v>1298</v>
      </c>
      <c r="Q1024" s="1" t="s">
        <v>18243</v>
      </c>
      <c r="R1024" s="1" t="s">
        <v>18244</v>
      </c>
      <c r="S1024" s="1">
        <v>9420977474</v>
      </c>
      <c r="T1024" s="1" t="s">
        <v>154</v>
      </c>
      <c r="U1024" s="1" t="s">
        <v>18245</v>
      </c>
      <c r="V1024" s="1">
        <v>9822101690</v>
      </c>
      <c r="W1024" s="1" t="s">
        <v>156</v>
      </c>
      <c r="X1024" s="1" t="s">
        <v>18246</v>
      </c>
      <c r="Y1024" s="1" t="s">
        <v>499</v>
      </c>
      <c r="Z1024" s="1" t="s">
        <v>500</v>
      </c>
      <c r="AA1024" s="1" t="s">
        <v>18246</v>
      </c>
      <c r="AB1024" s="1" t="s">
        <v>499</v>
      </c>
      <c r="AC1024" s="1" t="s">
        <v>500</v>
      </c>
      <c r="AD1024" s="1">
        <v>9.79</v>
      </c>
      <c r="AE1024" s="1" t="s">
        <v>93</v>
      </c>
      <c r="AF1024" s="1" t="s">
        <v>18247</v>
      </c>
      <c r="AG1024" s="1" t="s">
        <v>14483</v>
      </c>
      <c r="AH1024" s="1" t="s">
        <v>101</v>
      </c>
      <c r="AI1024" s="1" t="s">
        <v>308</v>
      </c>
      <c r="AJ1024" s="1">
        <v>93.5</v>
      </c>
      <c r="AK1024" s="1"/>
      <c r="AL1024" s="1" t="s">
        <v>18248</v>
      </c>
      <c r="AM1024" s="1" t="s">
        <v>14483</v>
      </c>
      <c r="AN1024" s="1" t="s">
        <v>699</v>
      </c>
      <c r="AO1024" s="1" t="s">
        <v>1712</v>
      </c>
      <c r="AP1024" s="1">
        <v>83.67</v>
      </c>
      <c r="AQ1024" s="1"/>
      <c r="AR1024" s="1"/>
      <c r="AS1024" s="1"/>
      <c r="AT1024" s="1"/>
      <c r="AU1024" s="1"/>
      <c r="AV1024" s="1"/>
      <c r="AW1024" s="1"/>
      <c r="AX1024" s="1" t="s">
        <v>18249</v>
      </c>
      <c r="AY1024" s="1" t="s">
        <v>18249</v>
      </c>
      <c r="AZ1024" s="1" t="s">
        <v>1407</v>
      </c>
      <c r="BA1024" s="1" t="s">
        <v>1361</v>
      </c>
      <c r="BB1024" s="1">
        <v>78.4</v>
      </c>
      <c r="BC1024" s="1">
        <v>8.34</v>
      </c>
      <c r="BD1024" s="1"/>
      <c r="BE1024" s="1"/>
      <c r="BF1024" s="1"/>
      <c r="BG1024" s="1"/>
      <c r="BH1024" s="1"/>
      <c r="BI1024" s="1"/>
      <c r="BJ1024" s="1" t="s">
        <v>18250</v>
      </c>
      <c r="BK1024" s="1"/>
      <c r="BL1024" s="1"/>
      <c r="BM1024" s="1" t="s">
        <v>18251</v>
      </c>
      <c r="BN1024" s="1">
        <v>15</v>
      </c>
      <c r="BO1024" s="1" t="s">
        <v>18252</v>
      </c>
      <c r="BP1024" s="1" t="str">
        <f>HYPERLINK("https://nconnect.nicmar.ac.in/storage/profile/ProfilePhoto_P25707014_759148.jpg","Download")</f>
        <v>0</v>
      </c>
      <c r="BQ1024" s="3"/>
      <c r="BR1024" s="3"/>
    </row>
    <row r="1025" spans="1:70">
      <c r="A1025" s="1" t="s">
        <v>18050</v>
      </c>
      <c r="B1025" s="1" t="s">
        <v>1269</v>
      </c>
      <c r="C1025" s="1" t="s">
        <v>18253</v>
      </c>
      <c r="D1025" s="1" t="s">
        <v>854</v>
      </c>
      <c r="E1025" s="1"/>
      <c r="F1025" s="1" t="s">
        <v>17761</v>
      </c>
      <c r="G1025" s="1" t="s">
        <v>18254</v>
      </c>
      <c r="H1025" s="1" t="s">
        <v>18255</v>
      </c>
      <c r="I1025" s="1" t="s">
        <v>18256</v>
      </c>
      <c r="J1025" s="1">
        <v>9711938139</v>
      </c>
      <c r="K1025" s="1" t="s">
        <v>79</v>
      </c>
      <c r="L1025" s="1" t="s">
        <v>18257</v>
      </c>
      <c r="M1025" s="1" t="s">
        <v>81</v>
      </c>
      <c r="N1025" s="1" t="s">
        <v>2876</v>
      </c>
      <c r="O1025" s="1"/>
      <c r="P1025" s="1" t="s">
        <v>1278</v>
      </c>
      <c r="Q1025" s="1" t="s">
        <v>18258</v>
      </c>
      <c r="R1025" s="1" t="s">
        <v>18259</v>
      </c>
      <c r="S1025" s="1">
        <v>9412833527</v>
      </c>
      <c r="T1025" s="1" t="s">
        <v>18260</v>
      </c>
      <c r="U1025" s="1" t="s">
        <v>18261</v>
      </c>
      <c r="V1025" s="1">
        <v>8299285539</v>
      </c>
      <c r="W1025" s="1" t="s">
        <v>156</v>
      </c>
      <c r="X1025" s="1" t="s">
        <v>18262</v>
      </c>
      <c r="Y1025" s="1" t="s">
        <v>18263</v>
      </c>
      <c r="Z1025" s="1" t="s">
        <v>1355</v>
      </c>
      <c r="AA1025" s="1" t="s">
        <v>18262</v>
      </c>
      <c r="AB1025" s="1" t="s">
        <v>18263</v>
      </c>
      <c r="AC1025" s="1" t="s">
        <v>1355</v>
      </c>
      <c r="AD1025" s="1" t="s">
        <v>93</v>
      </c>
      <c r="AE1025" s="1" t="s">
        <v>93</v>
      </c>
      <c r="AF1025" s="1" t="s">
        <v>18264</v>
      </c>
      <c r="AG1025" s="1" t="s">
        <v>18265</v>
      </c>
      <c r="AH1025" s="1" t="s">
        <v>1670</v>
      </c>
      <c r="AI1025" s="1" t="s">
        <v>658</v>
      </c>
      <c r="AJ1025" s="1">
        <v>87.4</v>
      </c>
      <c r="AK1025" s="1">
        <v>9.2</v>
      </c>
      <c r="AL1025" s="1" t="s">
        <v>16820</v>
      </c>
      <c r="AM1025" s="1" t="s">
        <v>18266</v>
      </c>
      <c r="AN1025" s="1" t="s">
        <v>129</v>
      </c>
      <c r="AO1025" s="1" t="s">
        <v>1197</v>
      </c>
      <c r="AP1025" s="1">
        <v>91.6</v>
      </c>
      <c r="AQ1025" s="1"/>
      <c r="AR1025" s="1"/>
      <c r="AS1025" s="1"/>
      <c r="AT1025" s="1"/>
      <c r="AU1025" s="1"/>
      <c r="AV1025" s="1"/>
      <c r="AW1025" s="1"/>
      <c r="AX1025" s="1" t="s">
        <v>18267</v>
      </c>
      <c r="AY1025" s="1" t="s">
        <v>18268</v>
      </c>
      <c r="AZ1025" s="1" t="s">
        <v>131</v>
      </c>
      <c r="BA1025" s="1" t="s">
        <v>308</v>
      </c>
      <c r="BB1025" s="1">
        <v>61.4</v>
      </c>
      <c r="BC1025" s="1">
        <v>6.14</v>
      </c>
      <c r="BD1025" s="1"/>
      <c r="BE1025" s="1"/>
      <c r="BF1025" s="1"/>
      <c r="BG1025" s="1"/>
      <c r="BH1025" s="1"/>
      <c r="BI1025" s="1"/>
      <c r="BJ1025" s="1" t="s">
        <v>18269</v>
      </c>
      <c r="BK1025" s="1" t="s">
        <v>18270</v>
      </c>
      <c r="BL1025" s="1" t="s">
        <v>2652</v>
      </c>
      <c r="BM1025" s="1" t="s">
        <v>18271</v>
      </c>
      <c r="BN1025" s="1">
        <v>27</v>
      </c>
      <c r="BO1025" s="1"/>
      <c r="BP1025" s="1" t="str">
        <f>HYPERLINK("https://nconnect.nicmar.ac.in/storage/profile/ProfilePhoto_P25707015_275148.jpg","Download")</f>
        <v>0</v>
      </c>
      <c r="BQ1025" s="3"/>
      <c r="BR1025" s="3"/>
    </row>
    <row r="1026" spans="1:70">
      <c r="A1026" s="1" t="s">
        <v>18050</v>
      </c>
      <c r="B1026" s="1" t="s">
        <v>1269</v>
      </c>
      <c r="C1026" s="1" t="s">
        <v>18272</v>
      </c>
      <c r="D1026" s="1" t="s">
        <v>18273</v>
      </c>
      <c r="E1026" s="1"/>
      <c r="F1026" s="1" t="s">
        <v>18274</v>
      </c>
      <c r="G1026" s="1" t="s">
        <v>18275</v>
      </c>
      <c r="H1026" s="1" t="s">
        <v>18276</v>
      </c>
      <c r="I1026" s="1" t="s">
        <v>18277</v>
      </c>
      <c r="J1026" s="1">
        <v>6374435346</v>
      </c>
      <c r="K1026" s="1" t="s">
        <v>148</v>
      </c>
      <c r="L1026" s="1" t="s">
        <v>10948</v>
      </c>
      <c r="M1026" s="1" t="s">
        <v>81</v>
      </c>
      <c r="N1026" s="1" t="s">
        <v>18278</v>
      </c>
      <c r="O1026" s="1"/>
      <c r="P1026" s="1" t="s">
        <v>1278</v>
      </c>
      <c r="Q1026" s="1" t="s">
        <v>18279</v>
      </c>
      <c r="R1026" s="1" t="s">
        <v>18280</v>
      </c>
      <c r="S1026" s="1">
        <v>9283166157</v>
      </c>
      <c r="T1026" s="1" t="s">
        <v>18281</v>
      </c>
      <c r="U1026" s="1" t="s">
        <v>18282</v>
      </c>
      <c r="V1026" s="1">
        <v>9283798111</v>
      </c>
      <c r="W1026" s="1" t="s">
        <v>89</v>
      </c>
      <c r="X1026" s="1" t="s">
        <v>18283</v>
      </c>
      <c r="Y1026" s="1" t="s">
        <v>2318</v>
      </c>
      <c r="Z1026" s="1" t="s">
        <v>1377</v>
      </c>
      <c r="AA1026" s="1" t="s">
        <v>18283</v>
      </c>
      <c r="AB1026" s="1" t="s">
        <v>2318</v>
      </c>
      <c r="AC1026" s="1" t="s">
        <v>1377</v>
      </c>
      <c r="AD1026" s="1">
        <v>9.49</v>
      </c>
      <c r="AE1026" s="1" t="s">
        <v>93</v>
      </c>
      <c r="AF1026" s="1" t="s">
        <v>18284</v>
      </c>
      <c r="AG1026" s="1" t="s">
        <v>18285</v>
      </c>
      <c r="AH1026" s="1" t="s">
        <v>678</v>
      </c>
      <c r="AI1026" s="1" t="s">
        <v>166</v>
      </c>
      <c r="AJ1026" s="1">
        <v>85</v>
      </c>
      <c r="AK1026" s="1">
        <v>0</v>
      </c>
      <c r="AL1026" s="1" t="s">
        <v>18286</v>
      </c>
      <c r="AM1026" s="1" t="s">
        <v>18285</v>
      </c>
      <c r="AN1026" s="1" t="s">
        <v>433</v>
      </c>
      <c r="AO1026" s="1" t="s">
        <v>412</v>
      </c>
      <c r="AP1026" s="1">
        <v>75</v>
      </c>
      <c r="AQ1026" s="1">
        <v>0</v>
      </c>
      <c r="AR1026" s="1"/>
      <c r="AS1026" s="1"/>
      <c r="AT1026" s="1"/>
      <c r="AU1026" s="1"/>
      <c r="AV1026" s="1"/>
      <c r="AW1026" s="1"/>
      <c r="AX1026" s="1" t="s">
        <v>1381</v>
      </c>
      <c r="AY1026" s="1" t="s">
        <v>18287</v>
      </c>
      <c r="AZ1026" s="1" t="s">
        <v>920</v>
      </c>
      <c r="BA1026" s="1" t="s">
        <v>413</v>
      </c>
      <c r="BB1026" s="1">
        <v>87.3</v>
      </c>
      <c r="BC1026" s="1">
        <v>8.73</v>
      </c>
      <c r="BD1026" s="1"/>
      <c r="BE1026" s="1"/>
      <c r="BF1026" s="1"/>
      <c r="BG1026" s="1"/>
      <c r="BH1026" s="1"/>
      <c r="BI1026" s="1"/>
      <c r="BJ1026" s="1" t="s">
        <v>18288</v>
      </c>
      <c r="BK1026" s="1" t="s">
        <v>18289</v>
      </c>
      <c r="BL1026" s="1" t="s">
        <v>1028</v>
      </c>
      <c r="BM1026" s="1" t="s">
        <v>18290</v>
      </c>
      <c r="BN1026" s="1">
        <v>26</v>
      </c>
      <c r="BO1026" s="1"/>
      <c r="BP1026" s="1" t="str">
        <f>HYPERLINK("https://nconnect.nicmar.ac.in/storage/profile/ProfilePhoto_P25707016_126584.jpg","Download")</f>
        <v>0</v>
      </c>
      <c r="BQ1026" s="3"/>
      <c r="BR1026" s="3"/>
    </row>
    <row r="1027" spans="1:70">
      <c r="A1027" s="1" t="s">
        <v>18050</v>
      </c>
      <c r="B1027" s="1" t="s">
        <v>1269</v>
      </c>
      <c r="C1027" s="1" t="s">
        <v>18291</v>
      </c>
      <c r="D1027" s="1" t="s">
        <v>595</v>
      </c>
      <c r="E1027" s="1"/>
      <c r="F1027" s="1" t="s">
        <v>18292</v>
      </c>
      <c r="G1027" s="1" t="s">
        <v>18293</v>
      </c>
      <c r="H1027" s="1" t="s">
        <v>18294</v>
      </c>
      <c r="I1027" s="1" t="s">
        <v>18295</v>
      </c>
      <c r="J1027" s="1">
        <v>7829595800</v>
      </c>
      <c r="K1027" s="1" t="s">
        <v>79</v>
      </c>
      <c r="L1027" s="1" t="s">
        <v>18296</v>
      </c>
      <c r="M1027" s="1" t="s">
        <v>81</v>
      </c>
      <c r="N1027" s="1" t="s">
        <v>14271</v>
      </c>
      <c r="O1027" s="1"/>
      <c r="P1027" s="1" t="s">
        <v>1323</v>
      </c>
      <c r="Q1027" s="1" t="s">
        <v>18297</v>
      </c>
      <c r="R1027" s="1" t="s">
        <v>18298</v>
      </c>
      <c r="S1027" s="1">
        <v>7829595800</v>
      </c>
      <c r="T1027" s="1" t="s">
        <v>1398</v>
      </c>
      <c r="U1027" s="1" t="s">
        <v>18299</v>
      </c>
      <c r="V1027" s="1">
        <v>9845336240</v>
      </c>
      <c r="W1027" s="1" t="s">
        <v>651</v>
      </c>
      <c r="X1027" s="1" t="s">
        <v>18300</v>
      </c>
      <c r="Y1027" s="1" t="s">
        <v>2743</v>
      </c>
      <c r="Z1027" s="1" t="s">
        <v>1084</v>
      </c>
      <c r="AA1027" s="1" t="s">
        <v>18300</v>
      </c>
      <c r="AB1027" s="1" t="s">
        <v>2743</v>
      </c>
      <c r="AC1027" s="1" t="s">
        <v>1084</v>
      </c>
      <c r="AD1027" s="1">
        <v>9.33</v>
      </c>
      <c r="AE1027" s="1" t="s">
        <v>93</v>
      </c>
      <c r="AF1027" s="1" t="s">
        <v>18301</v>
      </c>
      <c r="AG1027" s="1" t="s">
        <v>1515</v>
      </c>
      <c r="AH1027" s="1" t="s">
        <v>1197</v>
      </c>
      <c r="AI1027" s="1" t="s">
        <v>503</v>
      </c>
      <c r="AJ1027" s="1">
        <v>94.56</v>
      </c>
      <c r="AK1027" s="1"/>
      <c r="AL1027" s="1" t="s">
        <v>18302</v>
      </c>
      <c r="AM1027" s="1" t="s">
        <v>18303</v>
      </c>
      <c r="AN1027" s="1" t="s">
        <v>279</v>
      </c>
      <c r="AO1027" s="1" t="s">
        <v>195</v>
      </c>
      <c r="AP1027" s="1">
        <v>90.33</v>
      </c>
      <c r="AQ1027" s="1"/>
      <c r="AR1027" s="1"/>
      <c r="AS1027" s="1"/>
      <c r="AT1027" s="1"/>
      <c r="AU1027" s="1"/>
      <c r="AV1027" s="1"/>
      <c r="AW1027" s="1"/>
      <c r="AX1027" s="1" t="s">
        <v>1088</v>
      </c>
      <c r="AY1027" s="1" t="s">
        <v>18304</v>
      </c>
      <c r="AZ1027" s="1" t="s">
        <v>383</v>
      </c>
      <c r="BA1027" s="1" t="s">
        <v>436</v>
      </c>
      <c r="BB1027" s="1">
        <v>73.9</v>
      </c>
      <c r="BC1027" s="1">
        <v>8.14</v>
      </c>
      <c r="BD1027" s="1"/>
      <c r="BE1027" s="1"/>
      <c r="BF1027" s="1"/>
      <c r="BG1027" s="1"/>
      <c r="BH1027" s="1"/>
      <c r="BI1027" s="1"/>
      <c r="BJ1027" s="1" t="s">
        <v>18305</v>
      </c>
      <c r="BK1027" s="1"/>
      <c r="BL1027" s="1"/>
      <c r="BM1027" s="1" t="s">
        <v>18306</v>
      </c>
      <c r="BN1027" s="1">
        <v>59</v>
      </c>
      <c r="BO1027" s="1" t="s">
        <v>18307</v>
      </c>
      <c r="BP1027" s="1" t="str">
        <f>HYPERLINK("https://nconnect.nicmar.ac.in/storage/profile/ProfilePhoto_P25707017_492153.jpg","Download")</f>
        <v>0</v>
      </c>
      <c r="BQ1027" s="3"/>
      <c r="BR1027" s="3"/>
    </row>
    <row r="1028" spans="1:70">
      <c r="A1028" s="1" t="s">
        <v>18050</v>
      </c>
      <c r="B1028" s="1" t="s">
        <v>1269</v>
      </c>
      <c r="C1028" s="1" t="s">
        <v>18308</v>
      </c>
      <c r="D1028" s="1" t="s">
        <v>18309</v>
      </c>
      <c r="E1028" s="1" t="s">
        <v>5964</v>
      </c>
      <c r="F1028" s="1" t="s">
        <v>18310</v>
      </c>
      <c r="G1028" s="1" t="s">
        <v>18311</v>
      </c>
      <c r="H1028" s="1" t="s">
        <v>18312</v>
      </c>
      <c r="I1028" s="1" t="s">
        <v>18313</v>
      </c>
      <c r="J1028" s="1">
        <v>8104914549</v>
      </c>
      <c r="K1028" s="1" t="s">
        <v>148</v>
      </c>
      <c r="L1028" s="1" t="s">
        <v>12948</v>
      </c>
      <c r="M1028" s="1" t="s">
        <v>81</v>
      </c>
      <c r="N1028" s="1" t="s">
        <v>1418</v>
      </c>
      <c r="O1028" s="1" t="s">
        <v>18314</v>
      </c>
      <c r="P1028" s="1" t="s">
        <v>1298</v>
      </c>
      <c r="Q1028" s="1" t="s">
        <v>18315</v>
      </c>
      <c r="R1028" s="1" t="s">
        <v>5964</v>
      </c>
      <c r="S1028" s="1">
        <v>9004879500</v>
      </c>
      <c r="T1028" s="1" t="s">
        <v>763</v>
      </c>
      <c r="U1028" s="1" t="s">
        <v>2603</v>
      </c>
      <c r="V1028" s="1">
        <v>9222992520</v>
      </c>
      <c r="W1028" s="1" t="s">
        <v>651</v>
      </c>
      <c r="X1028" s="1" t="s">
        <v>18316</v>
      </c>
      <c r="Y1028" s="1" t="s">
        <v>1623</v>
      </c>
      <c r="Z1028" s="1" t="s">
        <v>92</v>
      </c>
      <c r="AA1028" s="1" t="s">
        <v>18316</v>
      </c>
      <c r="AB1028" s="1" t="s">
        <v>1623</v>
      </c>
      <c r="AC1028" s="1" t="s">
        <v>92</v>
      </c>
      <c r="AD1028" s="1">
        <v>9.68</v>
      </c>
      <c r="AE1028" s="1" t="s">
        <v>93</v>
      </c>
      <c r="AF1028" s="1" t="s">
        <v>18317</v>
      </c>
      <c r="AG1028" s="1" t="s">
        <v>18318</v>
      </c>
      <c r="AH1028" s="1" t="s">
        <v>101</v>
      </c>
      <c r="AI1028" s="1" t="s">
        <v>409</v>
      </c>
      <c r="AJ1028" s="1">
        <v>83.8</v>
      </c>
      <c r="AK1028" s="1"/>
      <c r="AL1028" s="1" t="s">
        <v>18319</v>
      </c>
      <c r="AM1028" s="1" t="s">
        <v>18318</v>
      </c>
      <c r="AN1028" s="1" t="s">
        <v>699</v>
      </c>
      <c r="AO1028" s="1" t="s">
        <v>506</v>
      </c>
      <c r="AP1028" s="1">
        <v>91.17</v>
      </c>
      <c r="AQ1028" s="1"/>
      <c r="AR1028" s="1"/>
      <c r="AS1028" s="1"/>
      <c r="AT1028" s="1"/>
      <c r="AU1028" s="1"/>
      <c r="AV1028" s="1"/>
      <c r="AW1028" s="1"/>
      <c r="AX1028" s="1" t="s">
        <v>1024</v>
      </c>
      <c r="AY1028" s="1" t="s">
        <v>18320</v>
      </c>
      <c r="AZ1028" s="1" t="s">
        <v>897</v>
      </c>
      <c r="BA1028" s="1" t="s">
        <v>1714</v>
      </c>
      <c r="BB1028" s="1">
        <v>70.5</v>
      </c>
      <c r="BC1028" s="1">
        <v>7.8</v>
      </c>
      <c r="BD1028" s="1"/>
      <c r="BE1028" s="1"/>
      <c r="BF1028" s="1"/>
      <c r="BG1028" s="1"/>
      <c r="BH1028" s="1"/>
      <c r="BI1028" s="1"/>
      <c r="BJ1028" s="1" t="s">
        <v>18321</v>
      </c>
      <c r="BK1028" s="1"/>
      <c r="BL1028" s="1"/>
      <c r="BM1028" s="1"/>
      <c r="BN1028" s="1"/>
      <c r="BO1028" s="1"/>
      <c r="BP1028" s="1" t="str">
        <f>HYPERLINK("https://nconnect.nicmar.ac.in/storage/profile/ProfilePhoto_P25707018_314526.jpg","Download")</f>
        <v>0</v>
      </c>
      <c r="BQ1028" s="3"/>
      <c r="BR1028" s="3"/>
    </row>
    <row r="1029" spans="1:70">
      <c r="A1029" s="1" t="s">
        <v>18050</v>
      </c>
      <c r="B1029" s="1" t="s">
        <v>1269</v>
      </c>
      <c r="C1029" s="1" t="s">
        <v>18322</v>
      </c>
      <c r="D1029" s="1" t="s">
        <v>623</v>
      </c>
      <c r="E1029" s="1" t="s">
        <v>4313</v>
      </c>
      <c r="F1029" s="1" t="s">
        <v>18323</v>
      </c>
      <c r="G1029" s="1" t="s">
        <v>18324</v>
      </c>
      <c r="H1029" s="1" t="s">
        <v>18325</v>
      </c>
      <c r="I1029" s="1" t="s">
        <v>18326</v>
      </c>
      <c r="J1029" s="1">
        <v>7559492476</v>
      </c>
      <c r="K1029" s="1" t="s">
        <v>79</v>
      </c>
      <c r="L1029" s="1" t="s">
        <v>18327</v>
      </c>
      <c r="M1029" s="1" t="s">
        <v>81</v>
      </c>
      <c r="N1029" s="1" t="s">
        <v>6792</v>
      </c>
      <c r="O1029" s="1"/>
      <c r="P1029" s="1" t="s">
        <v>1298</v>
      </c>
      <c r="Q1029" s="1" t="s">
        <v>18328</v>
      </c>
      <c r="R1029" s="1" t="s">
        <v>18329</v>
      </c>
      <c r="S1029" s="1">
        <v>9403107425</v>
      </c>
      <c r="T1029" s="1" t="s">
        <v>7415</v>
      </c>
      <c r="U1029" s="1" t="s">
        <v>18330</v>
      </c>
      <c r="V1029" s="1">
        <v>8975988838</v>
      </c>
      <c r="W1029" s="1" t="s">
        <v>156</v>
      </c>
      <c r="X1029" s="1" t="s">
        <v>18331</v>
      </c>
      <c r="Y1029" s="1" t="s">
        <v>2786</v>
      </c>
      <c r="Z1029" s="1" t="s">
        <v>92</v>
      </c>
      <c r="AA1029" s="1" t="s">
        <v>18331</v>
      </c>
      <c r="AB1029" s="1" t="s">
        <v>2786</v>
      </c>
      <c r="AC1029" s="1" t="s">
        <v>92</v>
      </c>
      <c r="AD1029" s="1">
        <v>8.64</v>
      </c>
      <c r="AE1029" s="1" t="s">
        <v>93</v>
      </c>
      <c r="AF1029" s="1" t="s">
        <v>18332</v>
      </c>
      <c r="AG1029" s="1" t="s">
        <v>18333</v>
      </c>
      <c r="AH1029" s="1" t="s">
        <v>165</v>
      </c>
      <c r="AI1029" s="1" t="s">
        <v>281</v>
      </c>
      <c r="AJ1029" s="1">
        <v>85</v>
      </c>
      <c r="AK1029" s="1"/>
      <c r="AL1029" s="1" t="s">
        <v>18334</v>
      </c>
      <c r="AM1029" s="1" t="s">
        <v>18335</v>
      </c>
      <c r="AN1029" s="1" t="s">
        <v>433</v>
      </c>
      <c r="AO1029" s="1" t="s">
        <v>360</v>
      </c>
      <c r="AP1029" s="1">
        <v>66.77</v>
      </c>
      <c r="AQ1029" s="1"/>
      <c r="AR1029" s="1"/>
      <c r="AS1029" s="1"/>
      <c r="AT1029" s="1"/>
      <c r="AU1029" s="1"/>
      <c r="AV1029" s="1"/>
      <c r="AW1029" s="1"/>
      <c r="AX1029" s="1" t="s">
        <v>4491</v>
      </c>
      <c r="AY1029" s="1" t="s">
        <v>18336</v>
      </c>
      <c r="AZ1029" s="1" t="s">
        <v>681</v>
      </c>
      <c r="BA1029" s="1" t="s">
        <v>1714</v>
      </c>
      <c r="BB1029" s="1">
        <v>70.5</v>
      </c>
      <c r="BC1029" s="1">
        <v>7.55</v>
      </c>
      <c r="BD1029" s="1"/>
      <c r="BE1029" s="1"/>
      <c r="BF1029" s="1"/>
      <c r="BG1029" s="1"/>
      <c r="BH1029" s="1"/>
      <c r="BI1029" s="1"/>
      <c r="BJ1029" s="1" t="s">
        <v>18337</v>
      </c>
      <c r="BK1029" s="1"/>
      <c r="BL1029" s="1"/>
      <c r="BM1029" s="1" t="s">
        <v>18338</v>
      </c>
      <c r="BN1029" s="1">
        <v>16</v>
      </c>
      <c r="BO1029" s="1"/>
      <c r="BP1029" s="1" t="str">
        <f>HYPERLINK("https://nconnect.nicmar.ac.in/storage/profile/ProfilePhoto_P25707021_512496.jpg","Download")</f>
        <v>0</v>
      </c>
      <c r="BQ1029" s="3"/>
      <c r="BR1029" s="3"/>
    </row>
    <row r="1030" spans="1:70">
      <c r="A1030" s="1" t="s">
        <v>18050</v>
      </c>
      <c r="B1030" s="1" t="s">
        <v>1269</v>
      </c>
      <c r="C1030" s="1" t="s">
        <v>18339</v>
      </c>
      <c r="D1030" s="1" t="s">
        <v>18340</v>
      </c>
      <c r="E1030" s="1"/>
      <c r="F1030" s="1" t="s">
        <v>2128</v>
      </c>
      <c r="G1030" s="1" t="s">
        <v>18341</v>
      </c>
      <c r="H1030" s="1" t="s">
        <v>18342</v>
      </c>
      <c r="I1030" s="1" t="s">
        <v>18343</v>
      </c>
      <c r="J1030" s="1">
        <v>8606379551</v>
      </c>
      <c r="K1030" s="1" t="s">
        <v>148</v>
      </c>
      <c r="L1030" s="1" t="s">
        <v>18344</v>
      </c>
      <c r="M1030" s="1" t="s">
        <v>81</v>
      </c>
      <c r="N1030" s="1" t="s">
        <v>10095</v>
      </c>
      <c r="O1030" s="1"/>
      <c r="P1030" s="1" t="s">
        <v>3490</v>
      </c>
      <c r="Q1030" s="1" t="s">
        <v>18345</v>
      </c>
      <c r="R1030" s="1" t="s">
        <v>18346</v>
      </c>
      <c r="S1030" s="1">
        <v>9847301887</v>
      </c>
      <c r="T1030" s="1" t="s">
        <v>18347</v>
      </c>
      <c r="U1030" s="1" t="s">
        <v>18348</v>
      </c>
      <c r="V1030" s="1">
        <v>9947824751</v>
      </c>
      <c r="W1030" s="1" t="s">
        <v>122</v>
      </c>
      <c r="X1030" s="1" t="s">
        <v>18349</v>
      </c>
      <c r="Y1030" s="1" t="s">
        <v>5659</v>
      </c>
      <c r="Z1030" s="1" t="s">
        <v>125</v>
      </c>
      <c r="AA1030" s="1" t="s">
        <v>18349</v>
      </c>
      <c r="AB1030" s="1" t="s">
        <v>5659</v>
      </c>
      <c r="AC1030" s="1" t="s">
        <v>125</v>
      </c>
      <c r="AD1030" s="1">
        <v>9.53</v>
      </c>
      <c r="AE1030" s="1" t="s">
        <v>93</v>
      </c>
      <c r="AF1030" s="1" t="s">
        <v>501</v>
      </c>
      <c r="AG1030" s="1" t="s">
        <v>1665</v>
      </c>
      <c r="AH1030" s="1" t="s">
        <v>1307</v>
      </c>
      <c r="AI1030" s="1" t="s">
        <v>308</v>
      </c>
      <c r="AJ1030" s="1">
        <v>95.2</v>
      </c>
      <c r="AK1030" s="1"/>
      <c r="AL1030" s="1" t="s">
        <v>501</v>
      </c>
      <c r="AM1030" s="1" t="s">
        <v>1665</v>
      </c>
      <c r="AN1030" s="1" t="s">
        <v>1833</v>
      </c>
      <c r="AO1030" s="1" t="s">
        <v>506</v>
      </c>
      <c r="AP1030" s="1">
        <v>94.2</v>
      </c>
      <c r="AQ1030" s="1"/>
      <c r="AR1030" s="1"/>
      <c r="AS1030" s="1"/>
      <c r="AT1030" s="1"/>
      <c r="AU1030" s="1"/>
      <c r="AV1030" s="1"/>
      <c r="AW1030" s="1"/>
      <c r="AX1030" s="1" t="s">
        <v>132</v>
      </c>
      <c r="AY1030" s="1" t="s">
        <v>18350</v>
      </c>
      <c r="AZ1030" s="1" t="s">
        <v>135</v>
      </c>
      <c r="BA1030" s="1" t="s">
        <v>1361</v>
      </c>
      <c r="BB1030" s="1">
        <v>80.3</v>
      </c>
      <c r="BC1030" s="1">
        <v>8.03</v>
      </c>
      <c r="BD1030" s="1"/>
      <c r="BE1030" s="1"/>
      <c r="BF1030" s="1"/>
      <c r="BG1030" s="1"/>
      <c r="BH1030" s="1"/>
      <c r="BI1030" s="1"/>
      <c r="BJ1030" s="1" t="s">
        <v>18351</v>
      </c>
      <c r="BK1030" s="1"/>
      <c r="BL1030" s="1"/>
      <c r="BM1030" s="1" t="s">
        <v>18352</v>
      </c>
      <c r="BN1030" s="1">
        <v>19</v>
      </c>
      <c r="BO1030" s="1" t="s">
        <v>18353</v>
      </c>
      <c r="BP1030" s="1" t="str">
        <f>HYPERLINK("https://nconnect.nicmar.ac.in/storage/profile/ProfilePhoto_P25707022_251376.jpg","Download")</f>
        <v>0</v>
      </c>
      <c r="BQ1030" s="3"/>
      <c r="BR1030" s="3"/>
    </row>
    <row r="1031" spans="1:70">
      <c r="A1031" s="1" t="s">
        <v>18050</v>
      </c>
      <c r="B1031" s="1" t="s">
        <v>1269</v>
      </c>
      <c r="C1031" s="1" t="s">
        <v>18354</v>
      </c>
      <c r="D1031" s="1" t="s">
        <v>2594</v>
      </c>
      <c r="E1031" s="1" t="s">
        <v>3297</v>
      </c>
      <c r="F1031" s="1" t="s">
        <v>3843</v>
      </c>
      <c r="G1031" s="1" t="s">
        <v>18355</v>
      </c>
      <c r="H1031" s="1" t="s">
        <v>18356</v>
      </c>
      <c r="I1031" s="1" t="s">
        <v>18357</v>
      </c>
      <c r="J1031" s="1">
        <v>9145787174</v>
      </c>
      <c r="K1031" s="1" t="s">
        <v>79</v>
      </c>
      <c r="L1031" s="1" t="s">
        <v>18358</v>
      </c>
      <c r="M1031" s="1" t="s">
        <v>81</v>
      </c>
      <c r="N1031" s="1" t="s">
        <v>1418</v>
      </c>
      <c r="O1031" s="1"/>
      <c r="P1031" s="1" t="s">
        <v>1278</v>
      </c>
      <c r="Q1031" s="1" t="s">
        <v>18359</v>
      </c>
      <c r="R1031" s="1" t="s">
        <v>18360</v>
      </c>
      <c r="S1031" s="1">
        <v>7770064712</v>
      </c>
      <c r="T1031" s="1" t="s">
        <v>976</v>
      </c>
      <c r="U1031" s="1" t="s">
        <v>18361</v>
      </c>
      <c r="V1031" s="1">
        <v>9923809791</v>
      </c>
      <c r="W1031" s="1" t="s">
        <v>156</v>
      </c>
      <c r="X1031" s="1" t="s">
        <v>18362</v>
      </c>
      <c r="Y1031" s="1" t="s">
        <v>191</v>
      </c>
      <c r="Z1031" s="1" t="s">
        <v>92</v>
      </c>
      <c r="AA1031" s="1" t="s">
        <v>18363</v>
      </c>
      <c r="AB1031" s="1" t="s">
        <v>6375</v>
      </c>
      <c r="AC1031" s="1" t="s">
        <v>92</v>
      </c>
      <c r="AD1031" s="1">
        <v>8.77</v>
      </c>
      <c r="AE1031" s="1" t="s">
        <v>93</v>
      </c>
      <c r="AF1031" s="1" t="s">
        <v>18364</v>
      </c>
      <c r="AG1031" s="1" t="s">
        <v>544</v>
      </c>
      <c r="AH1031" s="1" t="s">
        <v>162</v>
      </c>
      <c r="AI1031" s="1" t="s">
        <v>195</v>
      </c>
      <c r="AJ1031" s="1">
        <v>81.2</v>
      </c>
      <c r="AK1031" s="1"/>
      <c r="AL1031" s="1"/>
      <c r="AM1031" s="1"/>
      <c r="AN1031" s="1"/>
      <c r="AO1031" s="1"/>
      <c r="AP1031" s="1"/>
      <c r="AQ1031" s="1"/>
      <c r="AR1031" s="1" t="s">
        <v>5386</v>
      </c>
      <c r="AS1031" s="1" t="s">
        <v>18365</v>
      </c>
      <c r="AT1031" s="1" t="s">
        <v>165</v>
      </c>
      <c r="AU1031" s="1" t="s">
        <v>170</v>
      </c>
      <c r="AV1031" s="1">
        <v>88.62</v>
      </c>
      <c r="AW1031" s="1"/>
      <c r="AX1031" s="1" t="s">
        <v>361</v>
      </c>
      <c r="AY1031" s="1" t="s">
        <v>18366</v>
      </c>
      <c r="AZ1031" s="1" t="s">
        <v>363</v>
      </c>
      <c r="BA1031" s="1" t="s">
        <v>682</v>
      </c>
      <c r="BB1031" s="1">
        <v>74.04</v>
      </c>
      <c r="BC1031" s="1">
        <v>8.32</v>
      </c>
      <c r="BD1031" s="1"/>
      <c r="BE1031" s="1"/>
      <c r="BF1031" s="1"/>
      <c r="BG1031" s="1"/>
      <c r="BH1031" s="1"/>
      <c r="BI1031" s="1"/>
      <c r="BJ1031" s="1" t="s">
        <v>18367</v>
      </c>
      <c r="BK1031" s="1" t="s">
        <v>18368</v>
      </c>
      <c r="BL1031" s="1" t="s">
        <v>4917</v>
      </c>
      <c r="BM1031" s="1" t="s">
        <v>18369</v>
      </c>
      <c r="BN1031" s="1">
        <v>13</v>
      </c>
      <c r="BO1031" s="1" t="s">
        <v>18370</v>
      </c>
      <c r="BP1031" s="1" t="str">
        <f>HYPERLINK("https://nconnect.nicmar.ac.in/storage/profile/ProfilePhoto_P25707023_842739.jpg","Download")</f>
        <v>0</v>
      </c>
      <c r="BQ1031" s="3"/>
      <c r="BR1031" s="3"/>
    </row>
    <row r="1032" spans="1:70">
      <c r="A1032" s="1" t="s">
        <v>18050</v>
      </c>
      <c r="B1032" s="1" t="s">
        <v>1269</v>
      </c>
      <c r="C1032" s="1" t="s">
        <v>18371</v>
      </c>
      <c r="D1032" s="1" t="s">
        <v>7424</v>
      </c>
      <c r="E1032" s="1" t="s">
        <v>13295</v>
      </c>
      <c r="F1032" s="1" t="s">
        <v>18372</v>
      </c>
      <c r="G1032" s="1" t="s">
        <v>18373</v>
      </c>
      <c r="H1032" s="1" t="s">
        <v>18374</v>
      </c>
      <c r="I1032" s="1" t="s">
        <v>18375</v>
      </c>
      <c r="J1032" s="1">
        <v>9579173930</v>
      </c>
      <c r="K1032" s="1" t="s">
        <v>79</v>
      </c>
      <c r="L1032" s="1" t="s">
        <v>18376</v>
      </c>
      <c r="M1032" s="1" t="s">
        <v>81</v>
      </c>
      <c r="N1032" s="1" t="s">
        <v>1418</v>
      </c>
      <c r="O1032" s="1"/>
      <c r="P1032" s="1"/>
      <c r="Q1032" s="1" t="s">
        <v>18377</v>
      </c>
      <c r="R1032" s="1" t="s">
        <v>18378</v>
      </c>
      <c r="S1032" s="1">
        <v>9545236769</v>
      </c>
      <c r="T1032" s="1" t="s">
        <v>976</v>
      </c>
      <c r="U1032" s="1" t="s">
        <v>18379</v>
      </c>
      <c r="V1032" s="1">
        <v>9209683926</v>
      </c>
      <c r="W1032" s="1" t="s">
        <v>156</v>
      </c>
      <c r="X1032" s="1" t="s">
        <v>18380</v>
      </c>
      <c r="Y1032" s="1" t="s">
        <v>191</v>
      </c>
      <c r="Z1032" s="1" t="s">
        <v>92</v>
      </c>
      <c r="AA1032" s="1" t="s">
        <v>18381</v>
      </c>
      <c r="AB1032" s="1" t="s">
        <v>5064</v>
      </c>
      <c r="AC1032" s="1" t="s">
        <v>92</v>
      </c>
      <c r="AD1032" s="1">
        <v>9.56</v>
      </c>
      <c r="AE1032" s="1" t="s">
        <v>93</v>
      </c>
      <c r="AF1032" s="1" t="s">
        <v>18382</v>
      </c>
      <c r="AG1032" s="1" t="s">
        <v>18383</v>
      </c>
      <c r="AH1032" s="1" t="s">
        <v>101</v>
      </c>
      <c r="AI1032" s="1" t="s">
        <v>433</v>
      </c>
      <c r="AJ1032" s="1">
        <v>77.4</v>
      </c>
      <c r="AK1032" s="1"/>
      <c r="AL1032" s="1"/>
      <c r="AM1032" s="1"/>
      <c r="AN1032" s="1"/>
      <c r="AO1032" s="1"/>
      <c r="AP1032" s="1"/>
      <c r="AQ1032" s="1"/>
      <c r="AR1032" s="1" t="s">
        <v>98</v>
      </c>
      <c r="AS1032" s="1" t="s">
        <v>18384</v>
      </c>
      <c r="AT1032" s="1" t="s">
        <v>201</v>
      </c>
      <c r="AU1032" s="1" t="s">
        <v>481</v>
      </c>
      <c r="AV1032" s="1">
        <v>84.32</v>
      </c>
      <c r="AW1032" s="1"/>
      <c r="AX1032" s="1" t="s">
        <v>253</v>
      </c>
      <c r="AY1032" s="1" t="s">
        <v>15741</v>
      </c>
      <c r="AZ1032" s="1" t="s">
        <v>105</v>
      </c>
      <c r="BA1032" s="1" t="s">
        <v>1714</v>
      </c>
      <c r="BB1032" s="1">
        <v>75.09</v>
      </c>
      <c r="BC1032" s="1">
        <v>8.51</v>
      </c>
      <c r="BD1032" s="1"/>
      <c r="BE1032" s="1"/>
      <c r="BF1032" s="1"/>
      <c r="BG1032" s="1"/>
      <c r="BH1032" s="1"/>
      <c r="BI1032" s="1"/>
      <c r="BJ1032" s="1" t="s">
        <v>18385</v>
      </c>
      <c r="BK1032" s="1"/>
      <c r="BL1032" s="1"/>
      <c r="BM1032" s="1"/>
      <c r="BN1032" s="1"/>
      <c r="BO1032" s="1"/>
      <c r="BP1032" s="1" t="str">
        <f>HYPERLINK("https://nconnect.nicmar.ac.in/storage/profile/ProfilePhoto_P25707024_269347.jpg","Download")</f>
        <v>0</v>
      </c>
      <c r="BQ1032" s="3"/>
      <c r="BR1032" s="3"/>
    </row>
    <row r="1033" spans="1:70">
      <c r="A1033" s="1" t="s">
        <v>18050</v>
      </c>
      <c r="B1033" s="1" t="s">
        <v>1269</v>
      </c>
      <c r="C1033" s="1" t="s">
        <v>18386</v>
      </c>
      <c r="D1033" s="1" t="s">
        <v>8980</v>
      </c>
      <c r="E1033" s="1"/>
      <c r="F1033" s="1" t="s">
        <v>18387</v>
      </c>
      <c r="G1033" s="1" t="s">
        <v>18388</v>
      </c>
      <c r="H1033" s="1" t="s">
        <v>18389</v>
      </c>
      <c r="I1033" s="1" t="s">
        <v>18390</v>
      </c>
      <c r="J1033" s="1">
        <v>7287024258</v>
      </c>
      <c r="K1033" s="1" t="s">
        <v>79</v>
      </c>
      <c r="L1033" s="1" t="s">
        <v>18391</v>
      </c>
      <c r="M1033" s="1" t="s">
        <v>81</v>
      </c>
      <c r="N1033" s="1" t="s">
        <v>18151</v>
      </c>
      <c r="O1033" s="1"/>
      <c r="P1033" s="1" t="s">
        <v>2505</v>
      </c>
      <c r="Q1033" s="1" t="s">
        <v>18392</v>
      </c>
      <c r="R1033" s="1" t="s">
        <v>18393</v>
      </c>
      <c r="S1033" s="1">
        <v>9848860100</v>
      </c>
      <c r="T1033" s="1" t="s">
        <v>18394</v>
      </c>
      <c r="U1033" s="1" t="s">
        <v>18395</v>
      </c>
      <c r="V1033" s="1">
        <v>7386167276</v>
      </c>
      <c r="W1033" s="1" t="s">
        <v>273</v>
      </c>
      <c r="X1033" s="1" t="s">
        <v>18396</v>
      </c>
      <c r="Y1033" s="1" t="s">
        <v>1150</v>
      </c>
      <c r="Z1033" s="1" t="s">
        <v>276</v>
      </c>
      <c r="AA1033" s="1" t="s">
        <v>18396</v>
      </c>
      <c r="AB1033" s="1" t="s">
        <v>1150</v>
      </c>
      <c r="AC1033" s="1" t="s">
        <v>276</v>
      </c>
      <c r="AD1033" s="1">
        <v>8.53</v>
      </c>
      <c r="AE1033" s="1" t="s">
        <v>93</v>
      </c>
      <c r="AF1033" s="1" t="s">
        <v>18397</v>
      </c>
      <c r="AG1033" s="1" t="s">
        <v>2243</v>
      </c>
      <c r="AH1033" s="1" t="s">
        <v>165</v>
      </c>
      <c r="AI1033" s="1" t="s">
        <v>281</v>
      </c>
      <c r="AJ1033" s="1">
        <v>92</v>
      </c>
      <c r="AK1033" s="1">
        <v>9.2</v>
      </c>
      <c r="AL1033" s="1"/>
      <c r="AM1033" s="1"/>
      <c r="AN1033" s="1"/>
      <c r="AO1033" s="1"/>
      <c r="AP1033" s="1"/>
      <c r="AQ1033" s="1"/>
      <c r="AR1033" s="1" t="s">
        <v>434</v>
      </c>
      <c r="AS1033" s="1" t="s">
        <v>18398</v>
      </c>
      <c r="AT1033" s="1" t="s">
        <v>101</v>
      </c>
      <c r="AU1033" s="1" t="s">
        <v>3081</v>
      </c>
      <c r="AV1033" s="1">
        <v>78.68</v>
      </c>
      <c r="AW1033" s="1"/>
      <c r="AX1033" s="1" t="s">
        <v>18399</v>
      </c>
      <c r="AY1033" s="1" t="s">
        <v>18400</v>
      </c>
      <c r="AZ1033" s="1" t="s">
        <v>135</v>
      </c>
      <c r="BA1033" s="1" t="s">
        <v>702</v>
      </c>
      <c r="BB1033" s="1">
        <v>78</v>
      </c>
      <c r="BC1033" s="1">
        <v>8.55</v>
      </c>
      <c r="BD1033" s="1"/>
      <c r="BE1033" s="1"/>
      <c r="BF1033" s="1"/>
      <c r="BG1033" s="1"/>
      <c r="BH1033" s="1"/>
      <c r="BI1033" s="1"/>
      <c r="BJ1033" s="1" t="s">
        <v>18401</v>
      </c>
      <c r="BK1033" s="1"/>
      <c r="BL1033" s="1"/>
      <c r="BM1033" s="1" t="s">
        <v>18402</v>
      </c>
      <c r="BN1033" s="1">
        <v>15</v>
      </c>
      <c r="BO1033" s="1" t="s">
        <v>18403</v>
      </c>
      <c r="BP1033" s="1" t="str">
        <f>HYPERLINK("https://nconnect.nicmar.ac.in/storage/profile/ProfilePhoto_P25707025_542186.jpg","Download")</f>
        <v>0</v>
      </c>
      <c r="BQ1033" s="3"/>
      <c r="BR1033" s="3"/>
    </row>
    <row r="1034" spans="1:70">
      <c r="A1034" s="1" t="s">
        <v>18050</v>
      </c>
      <c r="B1034" s="1" t="s">
        <v>1269</v>
      </c>
      <c r="C1034" s="1" t="s">
        <v>18404</v>
      </c>
      <c r="D1034" s="1" t="s">
        <v>18405</v>
      </c>
      <c r="E1034" s="1"/>
      <c r="F1034" s="1" t="s">
        <v>4107</v>
      </c>
      <c r="G1034" s="1" t="s">
        <v>18406</v>
      </c>
      <c r="H1034" s="1" t="s">
        <v>18407</v>
      </c>
      <c r="I1034" s="1" t="s">
        <v>18408</v>
      </c>
      <c r="J1034" s="1">
        <v>8989534337</v>
      </c>
      <c r="K1034" s="1" t="s">
        <v>148</v>
      </c>
      <c r="L1034" s="1" t="s">
        <v>12350</v>
      </c>
      <c r="M1034" s="1" t="s">
        <v>81</v>
      </c>
      <c r="N1034" s="1" t="s">
        <v>11898</v>
      </c>
      <c r="O1034" s="1"/>
      <c r="P1034" s="1" t="s">
        <v>1278</v>
      </c>
      <c r="Q1034" s="1" t="s">
        <v>18409</v>
      </c>
      <c r="R1034" s="1" t="s">
        <v>18410</v>
      </c>
      <c r="S1034" s="1">
        <v>9424314510</v>
      </c>
      <c r="T1034" s="1" t="s">
        <v>763</v>
      </c>
      <c r="U1034" s="1" t="s">
        <v>18411</v>
      </c>
      <c r="V1034" s="1">
        <v>9343156882</v>
      </c>
      <c r="W1034" s="1" t="s">
        <v>156</v>
      </c>
      <c r="X1034" s="1" t="s">
        <v>18412</v>
      </c>
      <c r="Y1034" s="1" t="s">
        <v>18413</v>
      </c>
      <c r="Z1034" s="1" t="s">
        <v>936</v>
      </c>
      <c r="AA1034" s="1" t="s">
        <v>18414</v>
      </c>
      <c r="AB1034" s="1" t="s">
        <v>18413</v>
      </c>
      <c r="AC1034" s="1" t="s">
        <v>936</v>
      </c>
      <c r="AD1034" s="1">
        <v>9.0</v>
      </c>
      <c r="AE1034" s="1" t="s">
        <v>93</v>
      </c>
      <c r="AF1034" s="1" t="s">
        <v>18415</v>
      </c>
      <c r="AG1034" s="1" t="s">
        <v>18416</v>
      </c>
      <c r="AH1034" s="1" t="s">
        <v>1065</v>
      </c>
      <c r="AI1034" s="1" t="s">
        <v>173</v>
      </c>
      <c r="AJ1034" s="1">
        <v>75.4</v>
      </c>
      <c r="AK1034" s="1"/>
      <c r="AL1034" s="1" t="s">
        <v>18415</v>
      </c>
      <c r="AM1034" s="1" t="s">
        <v>18417</v>
      </c>
      <c r="AN1034" s="1" t="s">
        <v>3081</v>
      </c>
      <c r="AO1034" s="1" t="s">
        <v>575</v>
      </c>
      <c r="AP1034" s="1">
        <v>83.8</v>
      </c>
      <c r="AQ1034" s="1"/>
      <c r="AR1034" s="1"/>
      <c r="AS1034" s="1"/>
      <c r="AT1034" s="1"/>
      <c r="AU1034" s="1"/>
      <c r="AV1034" s="1"/>
      <c r="AW1034" s="1"/>
      <c r="AX1034" s="1" t="s">
        <v>18418</v>
      </c>
      <c r="AY1034" s="1" t="s">
        <v>18419</v>
      </c>
      <c r="AZ1034" s="1" t="s">
        <v>105</v>
      </c>
      <c r="BA1034" s="1" t="s">
        <v>1361</v>
      </c>
      <c r="BB1034" s="1">
        <v>71.3</v>
      </c>
      <c r="BC1034" s="1"/>
      <c r="BD1034" s="1"/>
      <c r="BE1034" s="1"/>
      <c r="BF1034" s="1"/>
      <c r="BG1034" s="1"/>
      <c r="BH1034" s="1"/>
      <c r="BI1034" s="1"/>
      <c r="BJ1034" s="1" t="s">
        <v>734</v>
      </c>
      <c r="BK1034" s="1"/>
      <c r="BL1034" s="1"/>
      <c r="BM1034" s="1"/>
      <c r="BN1034" s="1"/>
      <c r="BO1034" s="1"/>
      <c r="BP1034" s="1" t="str">
        <f>HYPERLINK("https://nconnect.nicmar.ac.in/storage/profile/ProfilePhoto_P25707026_581379.jpg","Download")</f>
        <v>0</v>
      </c>
      <c r="BQ1034" s="3"/>
      <c r="BR1034" s="3"/>
    </row>
    <row r="1035" spans="1:70">
      <c r="A1035" s="1" t="s">
        <v>18050</v>
      </c>
      <c r="B1035" s="1" t="s">
        <v>1269</v>
      </c>
      <c r="C1035" s="1" t="s">
        <v>18420</v>
      </c>
      <c r="D1035" s="1" t="s">
        <v>17899</v>
      </c>
      <c r="E1035" s="1"/>
      <c r="F1035" s="1" t="s">
        <v>5886</v>
      </c>
      <c r="G1035" s="1" t="s">
        <v>18421</v>
      </c>
      <c r="H1035" s="1" t="s">
        <v>18422</v>
      </c>
      <c r="I1035" s="1" t="s">
        <v>18423</v>
      </c>
      <c r="J1035" s="1">
        <v>9958096028</v>
      </c>
      <c r="K1035" s="1" t="s">
        <v>79</v>
      </c>
      <c r="L1035" s="1" t="s">
        <v>1321</v>
      </c>
      <c r="M1035" s="1" t="s">
        <v>81</v>
      </c>
      <c r="N1035" s="1" t="s">
        <v>1950</v>
      </c>
      <c r="O1035" s="1" t="s">
        <v>18424</v>
      </c>
      <c r="P1035" s="1" t="s">
        <v>1278</v>
      </c>
      <c r="Q1035" s="1" t="s">
        <v>18425</v>
      </c>
      <c r="R1035" s="1" t="s">
        <v>18426</v>
      </c>
      <c r="S1035" s="1">
        <v>9811041098</v>
      </c>
      <c r="T1035" s="1" t="s">
        <v>842</v>
      </c>
      <c r="U1035" s="1" t="s">
        <v>18427</v>
      </c>
      <c r="V1035" s="1">
        <v>9953267199</v>
      </c>
      <c r="W1035" s="1" t="s">
        <v>89</v>
      </c>
      <c r="X1035" s="1" t="s">
        <v>18428</v>
      </c>
      <c r="Y1035" s="1" t="s">
        <v>4546</v>
      </c>
      <c r="Z1035" s="1" t="s">
        <v>1355</v>
      </c>
      <c r="AA1035" s="1" t="s">
        <v>18428</v>
      </c>
      <c r="AB1035" s="1" t="s">
        <v>4546</v>
      </c>
      <c r="AC1035" s="1" t="s">
        <v>1355</v>
      </c>
      <c r="AD1035" s="1">
        <v>7.54</v>
      </c>
      <c r="AE1035" s="1" t="s">
        <v>93</v>
      </c>
      <c r="AF1035" s="1" t="s">
        <v>18429</v>
      </c>
      <c r="AG1035" s="1" t="s">
        <v>18430</v>
      </c>
      <c r="AH1035" s="1" t="s">
        <v>999</v>
      </c>
      <c r="AI1035" s="1" t="s">
        <v>503</v>
      </c>
      <c r="AJ1035" s="1">
        <v>68.7</v>
      </c>
      <c r="AK1035" s="1"/>
      <c r="AL1035" s="1" t="s">
        <v>18431</v>
      </c>
      <c r="AM1035" s="1" t="s">
        <v>18432</v>
      </c>
      <c r="AN1035" s="1" t="s">
        <v>456</v>
      </c>
      <c r="AO1035" s="1" t="s">
        <v>195</v>
      </c>
      <c r="AP1035" s="1">
        <v>67.8</v>
      </c>
      <c r="AQ1035" s="1"/>
      <c r="AR1035" s="1"/>
      <c r="AS1035" s="1"/>
      <c r="AT1035" s="1"/>
      <c r="AU1035" s="1"/>
      <c r="AV1035" s="1"/>
      <c r="AW1035" s="1"/>
      <c r="AX1035" s="1" t="s">
        <v>18433</v>
      </c>
      <c r="AY1035" s="1" t="s">
        <v>18434</v>
      </c>
      <c r="AZ1035" s="1" t="s">
        <v>310</v>
      </c>
      <c r="BA1035" s="1" t="s">
        <v>481</v>
      </c>
      <c r="BB1035" s="1">
        <v>69.4</v>
      </c>
      <c r="BC1035" s="1"/>
      <c r="BD1035" s="1"/>
      <c r="BE1035" s="1"/>
      <c r="BF1035" s="1"/>
      <c r="BG1035" s="1"/>
      <c r="BH1035" s="1"/>
      <c r="BI1035" s="1"/>
      <c r="BJ1035" s="1" t="s">
        <v>18435</v>
      </c>
      <c r="BK1035" s="1"/>
      <c r="BL1035" s="1"/>
      <c r="BM1035" s="1" t="s">
        <v>18436</v>
      </c>
      <c r="BN1035" s="1">
        <v>17</v>
      </c>
      <c r="BO1035" s="1"/>
      <c r="BP1035" s="1" t="str">
        <f>HYPERLINK("https://nconnect.nicmar.ac.in/storage/profile/ProfilePhoto_P25707027_184539.jpg","Download")</f>
        <v>0</v>
      </c>
      <c r="BQ1035" s="3"/>
      <c r="BR1035" s="3"/>
    </row>
    <row r="1036" spans="1:70">
      <c r="A1036" s="1" t="s">
        <v>18050</v>
      </c>
      <c r="B1036" s="1" t="s">
        <v>1269</v>
      </c>
      <c r="C1036" s="1" t="s">
        <v>18437</v>
      </c>
      <c r="D1036" s="1" t="s">
        <v>8645</v>
      </c>
      <c r="E1036" s="1" t="s">
        <v>1316</v>
      </c>
      <c r="F1036" s="1" t="s">
        <v>7976</v>
      </c>
      <c r="G1036" s="1" t="s">
        <v>18438</v>
      </c>
      <c r="H1036" s="1" t="s">
        <v>18439</v>
      </c>
      <c r="I1036" s="1" t="s">
        <v>18440</v>
      </c>
      <c r="J1036" s="1">
        <v>7507324914</v>
      </c>
      <c r="K1036" s="1" t="s">
        <v>79</v>
      </c>
      <c r="L1036" s="1" t="s">
        <v>1723</v>
      </c>
      <c r="M1036" s="1" t="s">
        <v>81</v>
      </c>
      <c r="N1036" s="1" t="s">
        <v>1418</v>
      </c>
      <c r="O1036" s="1"/>
      <c r="P1036" s="1" t="s">
        <v>1323</v>
      </c>
      <c r="Q1036" s="1" t="s">
        <v>18441</v>
      </c>
      <c r="R1036" s="1" t="s">
        <v>18442</v>
      </c>
      <c r="S1036" s="1">
        <v>8806882121</v>
      </c>
      <c r="T1036" s="1" t="s">
        <v>496</v>
      </c>
      <c r="U1036" s="1" t="s">
        <v>18443</v>
      </c>
      <c r="V1036" s="1">
        <v>9922070273</v>
      </c>
      <c r="W1036" s="1" t="s">
        <v>89</v>
      </c>
      <c r="X1036" s="1" t="s">
        <v>18444</v>
      </c>
      <c r="Y1036" s="1" t="s">
        <v>191</v>
      </c>
      <c r="Z1036" s="1" t="s">
        <v>92</v>
      </c>
      <c r="AA1036" s="1" t="s">
        <v>18444</v>
      </c>
      <c r="AB1036" s="1" t="s">
        <v>191</v>
      </c>
      <c r="AC1036" s="1" t="s">
        <v>92</v>
      </c>
      <c r="AD1036" s="1">
        <v>8.53</v>
      </c>
      <c r="AE1036" s="1" t="s">
        <v>93</v>
      </c>
      <c r="AF1036" s="1" t="s">
        <v>7983</v>
      </c>
      <c r="AG1036" s="1" t="s">
        <v>8019</v>
      </c>
      <c r="AH1036" s="1" t="s">
        <v>433</v>
      </c>
      <c r="AI1036" s="1" t="s">
        <v>412</v>
      </c>
      <c r="AJ1036" s="1">
        <v>87.2</v>
      </c>
      <c r="AK1036" s="1"/>
      <c r="AL1036" s="1" t="s">
        <v>18445</v>
      </c>
      <c r="AM1036" s="1" t="s">
        <v>8019</v>
      </c>
      <c r="AN1036" s="1" t="s">
        <v>173</v>
      </c>
      <c r="AO1036" s="1" t="s">
        <v>575</v>
      </c>
      <c r="AP1036" s="1">
        <v>70.33</v>
      </c>
      <c r="AQ1036" s="1"/>
      <c r="AR1036" s="1"/>
      <c r="AS1036" s="1"/>
      <c r="AT1036" s="1"/>
      <c r="AU1036" s="1"/>
      <c r="AV1036" s="1"/>
      <c r="AW1036" s="1"/>
      <c r="AX1036" s="1" t="s">
        <v>361</v>
      </c>
      <c r="AY1036" s="1" t="s">
        <v>18446</v>
      </c>
      <c r="AZ1036" s="1" t="s">
        <v>105</v>
      </c>
      <c r="BA1036" s="1" t="s">
        <v>1714</v>
      </c>
      <c r="BB1036" s="1">
        <v>69.9</v>
      </c>
      <c r="BC1036" s="1">
        <v>7.74</v>
      </c>
      <c r="BD1036" s="1"/>
      <c r="BE1036" s="1"/>
      <c r="BF1036" s="1"/>
      <c r="BG1036" s="1"/>
      <c r="BH1036" s="1"/>
      <c r="BI1036" s="1"/>
      <c r="BJ1036" s="1" t="s">
        <v>18447</v>
      </c>
      <c r="BK1036" s="1"/>
      <c r="BL1036" s="1"/>
      <c r="BM1036" s="1" t="s">
        <v>18448</v>
      </c>
      <c r="BN1036" s="1">
        <v>8</v>
      </c>
      <c r="BO1036" s="1" t="s">
        <v>18449</v>
      </c>
      <c r="BP1036" s="1" t="str">
        <f>HYPERLINK("https://nconnect.nicmar.ac.in/storage/profile/ProfilePhoto_P25707028_695231.jpg","Download")</f>
        <v>0</v>
      </c>
      <c r="BQ1036" s="3"/>
      <c r="BR1036" s="3"/>
    </row>
    <row r="1037" spans="1:70">
      <c r="A1037" s="1" t="s">
        <v>18050</v>
      </c>
      <c r="B1037" s="1" t="s">
        <v>1269</v>
      </c>
      <c r="C1037" s="1" t="s">
        <v>18450</v>
      </c>
      <c r="D1037" s="1" t="s">
        <v>18451</v>
      </c>
      <c r="E1037" s="1" t="s">
        <v>6294</v>
      </c>
      <c r="F1037" s="1" t="s">
        <v>18452</v>
      </c>
      <c r="G1037" s="1" t="s">
        <v>18453</v>
      </c>
      <c r="H1037" s="1" t="s">
        <v>18454</v>
      </c>
      <c r="I1037" s="1" t="s">
        <v>18455</v>
      </c>
      <c r="J1037" s="1">
        <v>8805032088</v>
      </c>
      <c r="K1037" s="1" t="s">
        <v>79</v>
      </c>
      <c r="L1037" s="1" t="s">
        <v>18456</v>
      </c>
      <c r="M1037" s="1" t="s">
        <v>81</v>
      </c>
      <c r="N1037" s="1" t="s">
        <v>1618</v>
      </c>
      <c r="O1037" s="1"/>
      <c r="P1037" s="1" t="s">
        <v>1278</v>
      </c>
      <c r="Q1037" s="1" t="s">
        <v>18457</v>
      </c>
      <c r="R1037" s="1" t="s">
        <v>6294</v>
      </c>
      <c r="S1037" s="1">
        <v>8830516177</v>
      </c>
      <c r="T1037" s="1" t="s">
        <v>154</v>
      </c>
      <c r="U1037" s="1" t="s">
        <v>7899</v>
      </c>
      <c r="V1037" s="1">
        <v>8830516177</v>
      </c>
      <c r="W1037" s="1" t="s">
        <v>156</v>
      </c>
      <c r="X1037" s="1" t="s">
        <v>18458</v>
      </c>
      <c r="Y1037" s="1" t="s">
        <v>523</v>
      </c>
      <c r="Z1037" s="1" t="s">
        <v>92</v>
      </c>
      <c r="AA1037" s="1" t="s">
        <v>18458</v>
      </c>
      <c r="AB1037" s="1" t="s">
        <v>523</v>
      </c>
      <c r="AC1037" s="1" t="s">
        <v>92</v>
      </c>
      <c r="AD1037" s="1">
        <v>8.85</v>
      </c>
      <c r="AE1037" s="1" t="s">
        <v>93</v>
      </c>
      <c r="AF1037" s="1" t="s">
        <v>18459</v>
      </c>
      <c r="AG1037" s="1" t="s">
        <v>18460</v>
      </c>
      <c r="AH1037" s="1" t="s">
        <v>165</v>
      </c>
      <c r="AI1037" s="1" t="s">
        <v>281</v>
      </c>
      <c r="AJ1037" s="1">
        <v>82.2</v>
      </c>
      <c r="AK1037" s="1"/>
      <c r="AL1037" s="1" t="s">
        <v>18461</v>
      </c>
      <c r="AM1037" s="1" t="s">
        <v>18460</v>
      </c>
      <c r="AN1037" s="1" t="s">
        <v>433</v>
      </c>
      <c r="AO1037" s="1" t="s">
        <v>360</v>
      </c>
      <c r="AP1037" s="1">
        <v>67.08</v>
      </c>
      <c r="AQ1037" s="1"/>
      <c r="AR1037" s="1"/>
      <c r="AS1037" s="1"/>
      <c r="AT1037" s="1"/>
      <c r="AU1037" s="1"/>
      <c r="AV1037" s="1"/>
      <c r="AW1037" s="1"/>
      <c r="AX1037" s="1" t="s">
        <v>18462</v>
      </c>
      <c r="AY1037" s="1" t="s">
        <v>18463</v>
      </c>
      <c r="AZ1037" s="1" t="s">
        <v>2016</v>
      </c>
      <c r="BA1037" s="1" t="s">
        <v>1938</v>
      </c>
      <c r="BB1037" s="1">
        <v>78.9</v>
      </c>
      <c r="BC1037" s="1">
        <v>7.89</v>
      </c>
      <c r="BD1037" s="1"/>
      <c r="BE1037" s="1"/>
      <c r="BF1037" s="1"/>
      <c r="BG1037" s="1"/>
      <c r="BH1037" s="1"/>
      <c r="BI1037" s="1"/>
      <c r="BJ1037" s="1" t="s">
        <v>734</v>
      </c>
      <c r="BK1037" s="1"/>
      <c r="BL1037" s="1"/>
      <c r="BM1037" s="1" t="s">
        <v>18464</v>
      </c>
      <c r="BN1037" s="1">
        <v>62</v>
      </c>
      <c r="BO1037" s="1" t="s">
        <v>18465</v>
      </c>
      <c r="BP1037" s="1" t="str">
        <f>HYPERLINK("https://nconnect.nicmar.ac.in/storage/profile/ProfilePhoto_P25707029_139628.jpg","Download")</f>
        <v>0</v>
      </c>
      <c r="BQ1037" s="3"/>
      <c r="BR1037" s="3"/>
    </row>
    <row r="1038" spans="1:70">
      <c r="A1038" s="1" t="s">
        <v>18050</v>
      </c>
      <c r="B1038" s="1" t="s">
        <v>1269</v>
      </c>
      <c r="C1038" s="1" t="s">
        <v>18466</v>
      </c>
      <c r="D1038" s="1" t="s">
        <v>18467</v>
      </c>
      <c r="E1038" s="1"/>
      <c r="F1038" s="1" t="s">
        <v>1653</v>
      </c>
      <c r="G1038" s="1" t="s">
        <v>18468</v>
      </c>
      <c r="H1038" s="1" t="s">
        <v>18469</v>
      </c>
      <c r="I1038" s="1" t="s">
        <v>18470</v>
      </c>
      <c r="J1038" s="1">
        <v>9004254887</v>
      </c>
      <c r="K1038" s="1" t="s">
        <v>79</v>
      </c>
      <c r="L1038" s="1" t="s">
        <v>18471</v>
      </c>
      <c r="M1038" s="1" t="s">
        <v>81</v>
      </c>
      <c r="N1038" s="1" t="s">
        <v>1950</v>
      </c>
      <c r="O1038" s="1"/>
      <c r="P1038" s="1" t="s">
        <v>1278</v>
      </c>
      <c r="Q1038" s="1" t="s">
        <v>18472</v>
      </c>
      <c r="R1038" s="1" t="s">
        <v>18473</v>
      </c>
      <c r="S1038" s="1">
        <v>9867614887</v>
      </c>
      <c r="T1038" s="1" t="s">
        <v>763</v>
      </c>
      <c r="U1038" s="1" t="s">
        <v>18474</v>
      </c>
      <c r="V1038" s="1">
        <v>9004243367</v>
      </c>
      <c r="W1038" s="1" t="s">
        <v>2094</v>
      </c>
      <c r="X1038" s="1" t="s">
        <v>18475</v>
      </c>
      <c r="Y1038" s="1" t="s">
        <v>1018</v>
      </c>
      <c r="Z1038" s="1" t="s">
        <v>92</v>
      </c>
      <c r="AA1038" s="1" t="s">
        <v>18475</v>
      </c>
      <c r="AB1038" s="1" t="s">
        <v>1018</v>
      </c>
      <c r="AC1038" s="1" t="s">
        <v>92</v>
      </c>
      <c r="AD1038" s="1">
        <v>9.1</v>
      </c>
      <c r="AE1038" s="1" t="s">
        <v>93</v>
      </c>
      <c r="AF1038" s="1" t="s">
        <v>18476</v>
      </c>
      <c r="AG1038" s="1" t="s">
        <v>2570</v>
      </c>
      <c r="AH1038" s="1" t="s">
        <v>161</v>
      </c>
      <c r="AI1038" s="1" t="s">
        <v>162</v>
      </c>
      <c r="AJ1038" s="1">
        <v>87.6</v>
      </c>
      <c r="AK1038" s="1">
        <v>9.6</v>
      </c>
      <c r="AL1038" s="1" t="s">
        <v>18477</v>
      </c>
      <c r="AM1038" s="1" t="s">
        <v>476</v>
      </c>
      <c r="AN1038" s="1" t="s">
        <v>165</v>
      </c>
      <c r="AO1038" s="1" t="s">
        <v>101</v>
      </c>
      <c r="AP1038" s="1">
        <v>68.46</v>
      </c>
      <c r="AQ1038" s="1"/>
      <c r="AR1038" s="1"/>
      <c r="AS1038" s="1"/>
      <c r="AT1038" s="1"/>
      <c r="AU1038" s="1"/>
      <c r="AV1038" s="1"/>
      <c r="AW1038" s="1"/>
      <c r="AX1038" s="1" t="s">
        <v>18478</v>
      </c>
      <c r="AY1038" s="1" t="s">
        <v>18479</v>
      </c>
      <c r="AZ1038" s="1" t="s">
        <v>636</v>
      </c>
      <c r="BA1038" s="1" t="s">
        <v>481</v>
      </c>
      <c r="BB1038" s="1">
        <v>78.4</v>
      </c>
      <c r="BC1038" s="1">
        <v>8.34</v>
      </c>
      <c r="BD1038" s="1"/>
      <c r="BE1038" s="1"/>
      <c r="BF1038" s="1"/>
      <c r="BG1038" s="1"/>
      <c r="BH1038" s="1"/>
      <c r="BI1038" s="1"/>
      <c r="BJ1038" s="1" t="s">
        <v>18480</v>
      </c>
      <c r="BK1038" s="1" t="s">
        <v>18481</v>
      </c>
      <c r="BL1038" s="1" t="s">
        <v>2382</v>
      </c>
      <c r="BM1038" s="1" t="s">
        <v>18482</v>
      </c>
      <c r="BN1038" s="1">
        <v>15</v>
      </c>
      <c r="BO1038" s="1" t="s">
        <v>18483</v>
      </c>
      <c r="BP1038" s="1" t="str">
        <f>HYPERLINK("https://nconnect.nicmar.ac.in/storage/profile/ProfilePhoto_P25707030_263785.jpg","Download")</f>
        <v>0</v>
      </c>
      <c r="BQ1038" s="3"/>
      <c r="BR1038" s="3"/>
    </row>
    <row r="1039" spans="1:70">
      <c r="A1039" s="1" t="s">
        <v>18050</v>
      </c>
      <c r="B1039" s="1" t="s">
        <v>1269</v>
      </c>
      <c r="C1039" s="1" t="s">
        <v>18484</v>
      </c>
      <c r="D1039" s="1" t="s">
        <v>8366</v>
      </c>
      <c r="E1039" s="1" t="s">
        <v>1546</v>
      </c>
      <c r="F1039" s="1" t="s">
        <v>795</v>
      </c>
      <c r="G1039" s="1" t="s">
        <v>18485</v>
      </c>
      <c r="H1039" s="1" t="s">
        <v>18486</v>
      </c>
      <c r="I1039" s="1" t="s">
        <v>18487</v>
      </c>
      <c r="J1039" s="1">
        <v>9372852385</v>
      </c>
      <c r="K1039" s="1" t="s">
        <v>79</v>
      </c>
      <c r="L1039" s="1" t="s">
        <v>18488</v>
      </c>
      <c r="M1039" s="1" t="s">
        <v>81</v>
      </c>
      <c r="N1039" s="1" t="s">
        <v>1618</v>
      </c>
      <c r="O1039" s="1"/>
      <c r="P1039" s="1" t="s">
        <v>1323</v>
      </c>
      <c r="Q1039" s="1" t="s">
        <v>18489</v>
      </c>
      <c r="R1039" s="1" t="s">
        <v>18490</v>
      </c>
      <c r="S1039" s="1">
        <v>8169978521</v>
      </c>
      <c r="T1039" s="1" t="s">
        <v>763</v>
      </c>
      <c r="U1039" s="1" t="s">
        <v>18491</v>
      </c>
      <c r="V1039" s="1">
        <v>8779067109</v>
      </c>
      <c r="W1039" s="1" t="s">
        <v>18492</v>
      </c>
      <c r="X1039" s="1" t="s">
        <v>18493</v>
      </c>
      <c r="Y1039" s="1" t="s">
        <v>766</v>
      </c>
      <c r="Z1039" s="1" t="s">
        <v>92</v>
      </c>
      <c r="AA1039" s="1" t="s">
        <v>18493</v>
      </c>
      <c r="AB1039" s="1" t="s">
        <v>766</v>
      </c>
      <c r="AC1039" s="1" t="s">
        <v>92</v>
      </c>
      <c r="AD1039" s="1">
        <v>8.85</v>
      </c>
      <c r="AE1039" s="1" t="s">
        <v>93</v>
      </c>
      <c r="AF1039" s="1" t="s">
        <v>14466</v>
      </c>
      <c r="AG1039" s="1" t="s">
        <v>4438</v>
      </c>
      <c r="AH1039" s="1" t="s">
        <v>636</v>
      </c>
      <c r="AI1039" s="1" t="s">
        <v>201</v>
      </c>
      <c r="AJ1039" s="1">
        <v>64</v>
      </c>
      <c r="AK1039" s="1"/>
      <c r="AL1039" s="1"/>
      <c r="AM1039" s="1"/>
      <c r="AN1039" s="1"/>
      <c r="AO1039" s="1"/>
      <c r="AP1039" s="1"/>
      <c r="AQ1039" s="1"/>
      <c r="AR1039" s="1" t="s">
        <v>434</v>
      </c>
      <c r="AS1039" s="1" t="s">
        <v>18494</v>
      </c>
      <c r="AT1039" s="1" t="s">
        <v>201</v>
      </c>
      <c r="AU1039" s="1" t="s">
        <v>481</v>
      </c>
      <c r="AV1039" s="1">
        <v>73.53</v>
      </c>
      <c r="AW1039" s="1"/>
      <c r="AX1039" s="1" t="s">
        <v>1024</v>
      </c>
      <c r="AY1039" s="1" t="s">
        <v>18495</v>
      </c>
      <c r="AZ1039" s="1" t="s">
        <v>105</v>
      </c>
      <c r="BA1039" s="1" t="s">
        <v>1584</v>
      </c>
      <c r="BB1039" s="1">
        <v>59.91</v>
      </c>
      <c r="BC1039" s="1"/>
      <c r="BD1039" s="1"/>
      <c r="BE1039" s="1"/>
      <c r="BF1039" s="1"/>
      <c r="BG1039" s="1"/>
      <c r="BH1039" s="1"/>
      <c r="BI1039" s="1"/>
      <c r="BJ1039" s="1" t="s">
        <v>364</v>
      </c>
      <c r="BK1039" s="1"/>
      <c r="BL1039" s="1"/>
      <c r="BM1039" s="1" t="s">
        <v>18496</v>
      </c>
      <c r="BN1039" s="1">
        <v>4</v>
      </c>
      <c r="BO1039" s="1" t="s">
        <v>18497</v>
      </c>
      <c r="BP1039" s="1" t="str">
        <f>HYPERLINK("https://nconnect.nicmar.ac.in/storage/profile/ProfilePhoto_P25707031_731429.jpg","Download")</f>
        <v>0</v>
      </c>
      <c r="BQ1039" s="3"/>
      <c r="BR1039" s="3"/>
    </row>
    <row r="1040" spans="1:70">
      <c r="A1040" s="1" t="s">
        <v>18050</v>
      </c>
      <c r="B1040" s="1" t="s">
        <v>1269</v>
      </c>
      <c r="C1040" s="1" t="s">
        <v>18498</v>
      </c>
      <c r="D1040" s="1" t="s">
        <v>18499</v>
      </c>
      <c r="E1040" s="1"/>
      <c r="F1040" s="1" t="s">
        <v>18500</v>
      </c>
      <c r="G1040" s="1" t="s">
        <v>18501</v>
      </c>
      <c r="H1040" s="1" t="s">
        <v>18502</v>
      </c>
      <c r="I1040" s="1" t="s">
        <v>18503</v>
      </c>
      <c r="J1040" s="1">
        <v>8660783941</v>
      </c>
      <c r="K1040" s="1" t="s">
        <v>148</v>
      </c>
      <c r="L1040" s="1" t="s">
        <v>18504</v>
      </c>
      <c r="M1040" s="1" t="s">
        <v>81</v>
      </c>
      <c r="N1040" s="1" t="s">
        <v>1418</v>
      </c>
      <c r="O1040" s="1"/>
      <c r="P1040" s="1" t="s">
        <v>1278</v>
      </c>
      <c r="Q1040" s="1" t="s">
        <v>18505</v>
      </c>
      <c r="R1040" s="1" t="s">
        <v>18506</v>
      </c>
      <c r="S1040" s="1">
        <v>9075067936</v>
      </c>
      <c r="T1040" s="1" t="s">
        <v>6861</v>
      </c>
      <c r="U1040" s="1" t="s">
        <v>18507</v>
      </c>
      <c r="V1040" s="1">
        <v>9921949882</v>
      </c>
      <c r="W1040" s="1" t="s">
        <v>18508</v>
      </c>
      <c r="X1040" s="1" t="s">
        <v>18509</v>
      </c>
      <c r="Y1040" s="1" t="s">
        <v>191</v>
      </c>
      <c r="Z1040" s="1" t="s">
        <v>92</v>
      </c>
      <c r="AA1040" s="1" t="s">
        <v>18510</v>
      </c>
      <c r="AB1040" s="1" t="s">
        <v>191</v>
      </c>
      <c r="AC1040" s="1" t="s">
        <v>92</v>
      </c>
      <c r="AD1040" s="1">
        <v>8.43</v>
      </c>
      <c r="AE1040" s="1" t="s">
        <v>93</v>
      </c>
      <c r="AF1040" s="1" t="s">
        <v>5246</v>
      </c>
      <c r="AG1040" s="1" t="s">
        <v>18511</v>
      </c>
      <c r="AH1040" s="1" t="s">
        <v>433</v>
      </c>
      <c r="AI1040" s="1" t="s">
        <v>941</v>
      </c>
      <c r="AJ1040" s="1">
        <v>91.8</v>
      </c>
      <c r="AK1040" s="1"/>
      <c r="AL1040" s="1" t="s">
        <v>18512</v>
      </c>
      <c r="AM1040" s="1" t="s">
        <v>18511</v>
      </c>
      <c r="AN1040" s="1" t="s">
        <v>436</v>
      </c>
      <c r="AO1040" s="1" t="s">
        <v>284</v>
      </c>
      <c r="AP1040" s="1">
        <v>71.4</v>
      </c>
      <c r="AQ1040" s="1"/>
      <c r="AR1040" s="1"/>
      <c r="AS1040" s="1"/>
      <c r="AT1040" s="1"/>
      <c r="AU1040" s="1"/>
      <c r="AV1040" s="1"/>
      <c r="AW1040" s="1"/>
      <c r="AX1040" s="1" t="s">
        <v>18513</v>
      </c>
      <c r="AY1040" s="1" t="s">
        <v>18514</v>
      </c>
      <c r="AZ1040" s="1" t="s">
        <v>105</v>
      </c>
      <c r="BA1040" s="1" t="s">
        <v>1361</v>
      </c>
      <c r="BB1040" s="1">
        <v>75.27</v>
      </c>
      <c r="BC1040" s="1"/>
      <c r="BD1040" s="1"/>
      <c r="BE1040" s="1"/>
      <c r="BF1040" s="1"/>
      <c r="BG1040" s="1"/>
      <c r="BH1040" s="1"/>
      <c r="BI1040" s="1"/>
      <c r="BJ1040" s="1" t="s">
        <v>734</v>
      </c>
      <c r="BK1040" s="1"/>
      <c r="BL1040" s="1"/>
      <c r="BM1040" s="1"/>
      <c r="BN1040" s="1"/>
      <c r="BO1040" s="1" t="s">
        <v>18515</v>
      </c>
      <c r="BP1040" s="1" t="str">
        <f>HYPERLINK("https://nconnect.nicmar.ac.in/storage/profile/ProfilePhoto_P25707033_857492.jpg","Download")</f>
        <v>0</v>
      </c>
      <c r="BQ1040" s="3"/>
      <c r="BR1040" s="3"/>
    </row>
    <row r="1041" spans="1:70">
      <c r="A1041" s="1" t="s">
        <v>18050</v>
      </c>
      <c r="B1041" s="1" t="s">
        <v>1269</v>
      </c>
      <c r="C1041" s="1" t="s">
        <v>18516</v>
      </c>
      <c r="D1041" s="1" t="s">
        <v>18517</v>
      </c>
      <c r="E1041" s="1"/>
      <c r="F1041" s="1" t="s">
        <v>5886</v>
      </c>
      <c r="G1041" s="1" t="s">
        <v>18518</v>
      </c>
      <c r="H1041" s="1" t="s">
        <v>18519</v>
      </c>
      <c r="I1041" s="1" t="s">
        <v>18520</v>
      </c>
      <c r="J1041" s="1">
        <v>8126404019</v>
      </c>
      <c r="K1041" s="1" t="s">
        <v>79</v>
      </c>
      <c r="L1041" s="1" t="s">
        <v>18521</v>
      </c>
      <c r="M1041" s="1" t="s">
        <v>81</v>
      </c>
      <c r="N1041" s="1" t="s">
        <v>5040</v>
      </c>
      <c r="O1041" s="1"/>
      <c r="P1041" s="1" t="s">
        <v>1278</v>
      </c>
      <c r="Q1041" s="1" t="s">
        <v>18522</v>
      </c>
      <c r="R1041" s="1" t="s">
        <v>18523</v>
      </c>
      <c r="S1041" s="1">
        <v>9457852818</v>
      </c>
      <c r="T1041" s="1" t="s">
        <v>763</v>
      </c>
      <c r="U1041" s="1" t="s">
        <v>18524</v>
      </c>
      <c r="V1041" s="1">
        <v>9457852819</v>
      </c>
      <c r="W1041" s="1" t="s">
        <v>89</v>
      </c>
      <c r="X1041" s="1" t="s">
        <v>18525</v>
      </c>
      <c r="Y1041" s="1" t="s">
        <v>18526</v>
      </c>
      <c r="Z1041" s="1" t="s">
        <v>1355</v>
      </c>
      <c r="AA1041" s="1" t="s">
        <v>18525</v>
      </c>
      <c r="AB1041" s="1" t="s">
        <v>18526</v>
      </c>
      <c r="AC1041" s="1" t="s">
        <v>1355</v>
      </c>
      <c r="AD1041" s="1">
        <v>7.35</v>
      </c>
      <c r="AE1041" s="1" t="s">
        <v>93</v>
      </c>
      <c r="AF1041" s="1" t="s">
        <v>18527</v>
      </c>
      <c r="AG1041" s="1" t="s">
        <v>18528</v>
      </c>
      <c r="AH1041" s="1" t="s">
        <v>999</v>
      </c>
      <c r="AI1041" s="1" t="s">
        <v>131</v>
      </c>
      <c r="AJ1041" s="1">
        <v>64.16</v>
      </c>
      <c r="AK1041" s="1"/>
      <c r="AL1041" s="1" t="s">
        <v>18527</v>
      </c>
      <c r="AM1041" s="1" t="s">
        <v>18529</v>
      </c>
      <c r="AN1041" s="1" t="s">
        <v>456</v>
      </c>
      <c r="AO1041" s="1" t="s">
        <v>479</v>
      </c>
      <c r="AP1041" s="1">
        <v>57.6</v>
      </c>
      <c r="AQ1041" s="1"/>
      <c r="AR1041" s="1"/>
      <c r="AS1041" s="1"/>
      <c r="AT1041" s="1"/>
      <c r="AU1041" s="1"/>
      <c r="AV1041" s="1"/>
      <c r="AW1041" s="1"/>
      <c r="AX1041" s="1" t="s">
        <v>18530</v>
      </c>
      <c r="AY1041" s="1" t="s">
        <v>18531</v>
      </c>
      <c r="AZ1041" s="1" t="s">
        <v>201</v>
      </c>
      <c r="BA1041" s="1" t="s">
        <v>18532</v>
      </c>
      <c r="BB1041" s="1">
        <v>62.07</v>
      </c>
      <c r="BC1041" s="1"/>
      <c r="BD1041" s="1" t="s">
        <v>18530</v>
      </c>
      <c r="BE1041" s="1" t="s">
        <v>17226</v>
      </c>
      <c r="BF1041" s="1" t="s">
        <v>1090</v>
      </c>
      <c r="BG1041" s="1" t="s">
        <v>8398</v>
      </c>
      <c r="BH1041" s="1">
        <v>75.48</v>
      </c>
      <c r="BI1041" s="1"/>
      <c r="BJ1041" s="1" t="s">
        <v>734</v>
      </c>
      <c r="BK1041" s="1"/>
      <c r="BL1041" s="1"/>
      <c r="BM1041" s="1" t="s">
        <v>18533</v>
      </c>
      <c r="BN1041" s="1">
        <v>13</v>
      </c>
      <c r="BO1041" s="1" t="s">
        <v>18534</v>
      </c>
      <c r="BP1041" s="1" t="str">
        <f>HYPERLINK("https://nconnect.nicmar.ac.in/storage/profile/ProfilePhoto_P25707034_398276.jpg","Download")</f>
        <v>0</v>
      </c>
      <c r="BQ1041" s="3"/>
      <c r="BR1041" s="3"/>
    </row>
    <row r="1042" spans="1:70">
      <c r="A1042" s="1" t="s">
        <v>18050</v>
      </c>
      <c r="B1042" s="1" t="s">
        <v>1269</v>
      </c>
      <c r="C1042" s="1" t="s">
        <v>18535</v>
      </c>
      <c r="D1042" s="1" t="s">
        <v>6145</v>
      </c>
      <c r="E1042" s="1" t="s">
        <v>10036</v>
      </c>
      <c r="F1042" s="1" t="s">
        <v>13859</v>
      </c>
      <c r="G1042" s="1" t="s">
        <v>18536</v>
      </c>
      <c r="H1042" s="1" t="s">
        <v>18537</v>
      </c>
      <c r="I1042" s="1" t="s">
        <v>18538</v>
      </c>
      <c r="J1042" s="1">
        <v>9067032223</v>
      </c>
      <c r="K1042" s="1" t="s">
        <v>148</v>
      </c>
      <c r="L1042" s="1" t="s">
        <v>8864</v>
      </c>
      <c r="M1042" s="1" t="s">
        <v>81</v>
      </c>
      <c r="N1042" s="1" t="s">
        <v>18539</v>
      </c>
      <c r="O1042" s="1" t="s">
        <v>18540</v>
      </c>
      <c r="P1042" s="1" t="s">
        <v>1323</v>
      </c>
      <c r="Q1042" s="1" t="s">
        <v>18541</v>
      </c>
      <c r="R1042" s="1" t="s">
        <v>10036</v>
      </c>
      <c r="S1042" s="1">
        <v>9822396657</v>
      </c>
      <c r="T1042" s="1" t="s">
        <v>18542</v>
      </c>
      <c r="U1042" s="1" t="s">
        <v>3799</v>
      </c>
      <c r="V1042" s="1">
        <v>9021363301</v>
      </c>
      <c r="W1042" s="1" t="s">
        <v>18543</v>
      </c>
      <c r="X1042" s="1" t="s">
        <v>18544</v>
      </c>
      <c r="Y1042" s="1" t="s">
        <v>191</v>
      </c>
      <c r="Z1042" s="1" t="s">
        <v>92</v>
      </c>
      <c r="AA1042" s="1" t="s">
        <v>18545</v>
      </c>
      <c r="AB1042" s="1" t="s">
        <v>191</v>
      </c>
      <c r="AC1042" s="1" t="s">
        <v>92</v>
      </c>
      <c r="AD1042" s="1">
        <v>9.26</v>
      </c>
      <c r="AE1042" s="1" t="s">
        <v>93</v>
      </c>
      <c r="AF1042" s="1" t="s">
        <v>18546</v>
      </c>
      <c r="AG1042" s="1" t="s">
        <v>160</v>
      </c>
      <c r="AH1042" s="1" t="s">
        <v>97</v>
      </c>
      <c r="AI1042" s="1" t="s">
        <v>456</v>
      </c>
      <c r="AJ1042" s="1">
        <v>85.4</v>
      </c>
      <c r="AK1042" s="1"/>
      <c r="AL1042" s="1" t="s">
        <v>18547</v>
      </c>
      <c r="AM1042" s="1" t="s">
        <v>160</v>
      </c>
      <c r="AN1042" s="1" t="s">
        <v>1332</v>
      </c>
      <c r="AO1042" s="1" t="s">
        <v>457</v>
      </c>
      <c r="AP1042" s="1">
        <v>59.38</v>
      </c>
      <c r="AQ1042" s="1"/>
      <c r="AR1042" s="1"/>
      <c r="AS1042" s="1"/>
      <c r="AT1042" s="1"/>
      <c r="AU1042" s="1"/>
      <c r="AV1042" s="1"/>
      <c r="AW1042" s="1"/>
      <c r="AX1042" s="1" t="s">
        <v>361</v>
      </c>
      <c r="AY1042" s="1" t="s">
        <v>18548</v>
      </c>
      <c r="AZ1042" s="1" t="s">
        <v>18549</v>
      </c>
      <c r="BA1042" s="1" t="s">
        <v>590</v>
      </c>
      <c r="BB1042" s="1">
        <v>62.42</v>
      </c>
      <c r="BC1042" s="1">
        <v>7.01</v>
      </c>
      <c r="BD1042" s="1"/>
      <c r="BE1042" s="1"/>
      <c r="BF1042" s="1"/>
      <c r="BG1042" s="1"/>
      <c r="BH1042" s="1"/>
      <c r="BI1042" s="1"/>
      <c r="BJ1042" s="1" t="s">
        <v>18550</v>
      </c>
      <c r="BK1042" s="1" t="s">
        <v>18551</v>
      </c>
      <c r="BL1042" s="1" t="s">
        <v>2382</v>
      </c>
      <c r="BM1042" s="1" t="s">
        <v>18552</v>
      </c>
      <c r="BN1042" s="1">
        <v>24</v>
      </c>
      <c r="BO1042" s="1"/>
      <c r="BP1042" s="1" t="str">
        <f>HYPERLINK("https://nconnect.nicmar.ac.in/storage/profile/ProfilePhoto_P25707035_892731.jpg","Download")</f>
        <v>0</v>
      </c>
      <c r="BQ1042" s="3"/>
      <c r="BR1042" s="3"/>
    </row>
    <row r="1043" spans="1:70">
      <c r="A1043" s="1" t="s">
        <v>18050</v>
      </c>
      <c r="B1043" s="1" t="s">
        <v>1269</v>
      </c>
      <c r="C1043" s="1" t="s">
        <v>18553</v>
      </c>
      <c r="D1043" s="1" t="s">
        <v>7571</v>
      </c>
      <c r="E1043" s="1" t="s">
        <v>3538</v>
      </c>
      <c r="F1043" s="1" t="s">
        <v>18554</v>
      </c>
      <c r="G1043" s="1" t="s">
        <v>18555</v>
      </c>
      <c r="H1043" s="1" t="s">
        <v>18556</v>
      </c>
      <c r="I1043" s="1" t="s">
        <v>18557</v>
      </c>
      <c r="J1043" s="1">
        <v>9967448276</v>
      </c>
      <c r="K1043" s="1" t="s">
        <v>79</v>
      </c>
      <c r="L1043" s="1" t="s">
        <v>18558</v>
      </c>
      <c r="M1043" s="1" t="s">
        <v>81</v>
      </c>
      <c r="N1043" s="1" t="s">
        <v>6894</v>
      </c>
      <c r="O1043" s="1"/>
      <c r="P1043" s="1" t="s">
        <v>1278</v>
      </c>
      <c r="Q1043" s="1" t="s">
        <v>18559</v>
      </c>
      <c r="R1043" s="1" t="s">
        <v>18560</v>
      </c>
      <c r="S1043" s="1">
        <v>9867317957</v>
      </c>
      <c r="T1043" s="1" t="s">
        <v>7415</v>
      </c>
      <c r="U1043" s="1" t="s">
        <v>18561</v>
      </c>
      <c r="V1043" s="1">
        <v>9867043732</v>
      </c>
      <c r="W1043" s="1" t="s">
        <v>651</v>
      </c>
      <c r="X1043" s="1" t="s">
        <v>18562</v>
      </c>
      <c r="Y1043" s="1" t="s">
        <v>1018</v>
      </c>
      <c r="Z1043" s="1" t="s">
        <v>92</v>
      </c>
      <c r="AA1043" s="1" t="s">
        <v>18562</v>
      </c>
      <c r="AB1043" s="1" t="s">
        <v>1018</v>
      </c>
      <c r="AC1043" s="1" t="s">
        <v>92</v>
      </c>
      <c r="AD1043" s="1">
        <v>8.63</v>
      </c>
      <c r="AE1043" s="1" t="s">
        <v>93</v>
      </c>
      <c r="AF1043" s="1" t="s">
        <v>18563</v>
      </c>
      <c r="AG1043" s="1" t="s">
        <v>18564</v>
      </c>
      <c r="AH1043" s="1" t="s">
        <v>101</v>
      </c>
      <c r="AI1043" s="1" t="s">
        <v>409</v>
      </c>
      <c r="AJ1043" s="1">
        <v>81.8</v>
      </c>
      <c r="AK1043" s="1"/>
      <c r="AL1043" s="1" t="s">
        <v>18565</v>
      </c>
      <c r="AM1043" s="1" t="s">
        <v>160</v>
      </c>
      <c r="AN1043" s="1" t="s">
        <v>173</v>
      </c>
      <c r="AO1043" s="1" t="s">
        <v>504</v>
      </c>
      <c r="AP1043" s="1">
        <v>75.17</v>
      </c>
      <c r="AQ1043" s="1"/>
      <c r="AR1043" s="1"/>
      <c r="AS1043" s="1"/>
      <c r="AT1043" s="1"/>
      <c r="AU1043" s="1"/>
      <c r="AV1043" s="1"/>
      <c r="AW1043" s="1"/>
      <c r="AX1043" s="1" t="s">
        <v>253</v>
      </c>
      <c r="AY1043" s="1" t="s">
        <v>18566</v>
      </c>
      <c r="AZ1043" s="1" t="s">
        <v>897</v>
      </c>
      <c r="BA1043" s="1" t="s">
        <v>1361</v>
      </c>
      <c r="BB1043" s="1">
        <v>68.39</v>
      </c>
      <c r="BC1043" s="1">
        <v>7.62</v>
      </c>
      <c r="BD1043" s="1"/>
      <c r="BE1043" s="1"/>
      <c r="BF1043" s="1"/>
      <c r="BG1043" s="1"/>
      <c r="BH1043" s="1"/>
      <c r="BI1043" s="1"/>
      <c r="BJ1043" s="1" t="s">
        <v>18567</v>
      </c>
      <c r="BK1043" s="1"/>
      <c r="BL1043" s="1"/>
      <c r="BM1043" s="1" t="s">
        <v>18568</v>
      </c>
      <c r="BN1043" s="1">
        <v>8</v>
      </c>
      <c r="BO1043" s="1" t="s">
        <v>18569</v>
      </c>
      <c r="BP1043" s="1" t="str">
        <f>HYPERLINK("https://nconnect.nicmar.ac.in/storage/profile/ProfilePhoto_P25707036_319574.jpg","Download")</f>
        <v>0</v>
      </c>
      <c r="BQ1043" s="3"/>
      <c r="BR1043" s="3"/>
    </row>
    <row r="1044" spans="1:70">
      <c r="A1044" s="1" t="s">
        <v>18050</v>
      </c>
      <c r="B1044" s="1" t="s">
        <v>1269</v>
      </c>
      <c r="C1044" s="1" t="s">
        <v>18570</v>
      </c>
      <c r="D1044" s="1" t="s">
        <v>11628</v>
      </c>
      <c r="E1044" s="1" t="s">
        <v>13121</v>
      </c>
      <c r="F1044" s="1" t="s">
        <v>7847</v>
      </c>
      <c r="G1044" s="1" t="s">
        <v>18571</v>
      </c>
      <c r="H1044" s="1" t="s">
        <v>18572</v>
      </c>
      <c r="I1044" s="1" t="s">
        <v>18573</v>
      </c>
      <c r="J1044" s="1">
        <v>7768093156</v>
      </c>
      <c r="K1044" s="1" t="s">
        <v>79</v>
      </c>
      <c r="L1044" s="1" t="s">
        <v>13334</v>
      </c>
      <c r="M1044" s="1" t="s">
        <v>81</v>
      </c>
      <c r="N1044" s="1" t="s">
        <v>18574</v>
      </c>
      <c r="O1044" s="1"/>
      <c r="P1044" s="1" t="s">
        <v>1298</v>
      </c>
      <c r="Q1044" s="1" t="s">
        <v>18575</v>
      </c>
      <c r="R1044" s="1" t="s">
        <v>18576</v>
      </c>
      <c r="S1044" s="1">
        <v>7972194378</v>
      </c>
      <c r="T1044" s="1" t="s">
        <v>12004</v>
      </c>
      <c r="U1044" s="1" t="s">
        <v>18577</v>
      </c>
      <c r="V1044" s="1">
        <v>8007342244</v>
      </c>
      <c r="W1044" s="1" t="s">
        <v>12004</v>
      </c>
      <c r="X1044" s="1" t="s">
        <v>18578</v>
      </c>
      <c r="Y1044" s="1" t="s">
        <v>2786</v>
      </c>
      <c r="Z1044" s="1" t="s">
        <v>92</v>
      </c>
      <c r="AA1044" s="1" t="s">
        <v>18578</v>
      </c>
      <c r="AB1044" s="1" t="s">
        <v>2786</v>
      </c>
      <c r="AC1044" s="1" t="s">
        <v>92</v>
      </c>
      <c r="AD1044" s="1">
        <v>9.44</v>
      </c>
      <c r="AE1044" s="1" t="s">
        <v>93</v>
      </c>
      <c r="AF1044" s="1" t="s">
        <v>18579</v>
      </c>
      <c r="AG1044" s="1" t="s">
        <v>18580</v>
      </c>
      <c r="AH1044" s="1" t="s">
        <v>383</v>
      </c>
      <c r="AI1044" s="1" t="s">
        <v>1307</v>
      </c>
      <c r="AJ1044" s="1">
        <v>68.83</v>
      </c>
      <c r="AK1044" s="1"/>
      <c r="AL1044" s="1" t="s">
        <v>18581</v>
      </c>
      <c r="AM1044" s="1" t="s">
        <v>160</v>
      </c>
      <c r="AN1044" s="1" t="s">
        <v>310</v>
      </c>
      <c r="AO1044" s="1" t="s">
        <v>941</v>
      </c>
      <c r="AP1044" s="1">
        <v>65.08</v>
      </c>
      <c r="AQ1044" s="1"/>
      <c r="AR1044" s="1"/>
      <c r="AS1044" s="1"/>
      <c r="AT1044" s="1"/>
      <c r="AU1044" s="1"/>
      <c r="AV1044" s="1"/>
      <c r="AW1044" s="1"/>
      <c r="AX1044" s="1" t="s">
        <v>2688</v>
      </c>
      <c r="AY1044" s="1" t="s">
        <v>18582</v>
      </c>
      <c r="AZ1044" s="1" t="s">
        <v>506</v>
      </c>
      <c r="BA1044" s="1" t="s">
        <v>413</v>
      </c>
      <c r="BB1044" s="1">
        <v>82.4</v>
      </c>
      <c r="BC1044" s="1">
        <v>8.74</v>
      </c>
      <c r="BD1044" s="1"/>
      <c r="BE1044" s="1"/>
      <c r="BF1044" s="1"/>
      <c r="BG1044" s="1"/>
      <c r="BH1044" s="1"/>
      <c r="BI1044" s="1"/>
      <c r="BJ1044" s="1" t="s">
        <v>18583</v>
      </c>
      <c r="BK1044" s="1"/>
      <c r="BL1044" s="1"/>
      <c r="BM1044" s="1" t="s">
        <v>18584</v>
      </c>
      <c r="BN1044" s="1">
        <v>22</v>
      </c>
      <c r="BO1044" s="1" t="s">
        <v>18585</v>
      </c>
      <c r="BP1044" s="1" t="str">
        <f>HYPERLINK("https://nconnect.nicmar.ac.in/storage/profile/ProfilePhoto_P25707037_629387.jpg","Download")</f>
        <v>0</v>
      </c>
      <c r="BQ1044" s="3"/>
      <c r="BR1044" s="3"/>
    </row>
    <row r="1045" spans="1:70">
      <c r="A1045" s="1" t="s">
        <v>18050</v>
      </c>
      <c r="B1045" s="1" t="s">
        <v>1269</v>
      </c>
      <c r="C1045" s="1" t="s">
        <v>18586</v>
      </c>
      <c r="D1045" s="1" t="s">
        <v>18587</v>
      </c>
      <c r="E1045" s="1"/>
      <c r="F1045" s="1" t="s">
        <v>18588</v>
      </c>
      <c r="G1045" s="1" t="s">
        <v>18589</v>
      </c>
      <c r="H1045" s="1" t="s">
        <v>18590</v>
      </c>
      <c r="I1045" s="1" t="s">
        <v>18591</v>
      </c>
      <c r="J1045" s="1">
        <v>6289954906</v>
      </c>
      <c r="K1045" s="1" t="s">
        <v>148</v>
      </c>
      <c r="L1045" s="1" t="s">
        <v>14965</v>
      </c>
      <c r="M1045" s="1" t="s">
        <v>81</v>
      </c>
      <c r="N1045" s="1" t="s">
        <v>14578</v>
      </c>
      <c r="O1045" s="1"/>
      <c r="P1045" s="1" t="s">
        <v>1323</v>
      </c>
      <c r="Q1045" s="1" t="s">
        <v>18592</v>
      </c>
      <c r="R1045" s="1" t="s">
        <v>18593</v>
      </c>
      <c r="S1045" s="1">
        <v>9682557989</v>
      </c>
      <c r="T1045" s="1" t="s">
        <v>18594</v>
      </c>
      <c r="U1045" s="1" t="s">
        <v>18595</v>
      </c>
      <c r="V1045" s="1">
        <v>9123944987</v>
      </c>
      <c r="W1045" s="1" t="s">
        <v>273</v>
      </c>
      <c r="X1045" s="1" t="s">
        <v>18596</v>
      </c>
      <c r="Y1045" s="1" t="s">
        <v>4078</v>
      </c>
      <c r="Z1045" s="1" t="s">
        <v>783</v>
      </c>
      <c r="AA1045" s="1" t="s">
        <v>18596</v>
      </c>
      <c r="AB1045" s="1" t="s">
        <v>4078</v>
      </c>
      <c r="AC1045" s="1" t="s">
        <v>783</v>
      </c>
      <c r="AD1045" s="1">
        <v>8.45</v>
      </c>
      <c r="AE1045" s="1" t="s">
        <v>93</v>
      </c>
      <c r="AF1045" s="1" t="s">
        <v>18597</v>
      </c>
      <c r="AG1045" s="1" t="s">
        <v>18598</v>
      </c>
      <c r="AH1045" s="1" t="s">
        <v>162</v>
      </c>
      <c r="AI1045" s="1" t="s">
        <v>165</v>
      </c>
      <c r="AJ1045" s="1">
        <v>77.9</v>
      </c>
      <c r="AK1045" s="1">
        <v>8.2</v>
      </c>
      <c r="AL1045" s="1" t="s">
        <v>18599</v>
      </c>
      <c r="AM1045" s="1" t="s">
        <v>18600</v>
      </c>
      <c r="AN1045" s="1" t="s">
        <v>166</v>
      </c>
      <c r="AO1045" s="1" t="s">
        <v>433</v>
      </c>
      <c r="AP1045" s="1">
        <v>65.2</v>
      </c>
      <c r="AQ1045" s="1"/>
      <c r="AR1045" s="1"/>
      <c r="AS1045" s="1"/>
      <c r="AT1045" s="1"/>
      <c r="AU1045" s="1"/>
      <c r="AV1045" s="1"/>
      <c r="AW1045" s="1"/>
      <c r="AX1045" s="1" t="s">
        <v>850</v>
      </c>
      <c r="AY1045" s="1" t="s">
        <v>18601</v>
      </c>
      <c r="AZ1045" s="1" t="s">
        <v>1712</v>
      </c>
      <c r="BA1045" s="1" t="s">
        <v>1938</v>
      </c>
      <c r="BB1045" s="1">
        <v>69.4</v>
      </c>
      <c r="BC1045" s="1"/>
      <c r="BD1045" s="1"/>
      <c r="BE1045" s="1"/>
      <c r="BF1045" s="1"/>
      <c r="BG1045" s="1"/>
      <c r="BH1045" s="1"/>
      <c r="BI1045" s="1"/>
      <c r="BJ1045" s="1" t="s">
        <v>18602</v>
      </c>
      <c r="BK1045" s="1"/>
      <c r="BL1045" s="1"/>
      <c r="BM1045" s="1"/>
      <c r="BN1045" s="1"/>
      <c r="BO1045" s="1"/>
      <c r="BP1045" s="1" t="str">
        <f>HYPERLINK("https://nconnect.nicmar.ac.in/storage/profile/ProfilePhoto_P25707038_634579.jpg","Download")</f>
        <v>0</v>
      </c>
      <c r="BQ1045" s="3"/>
      <c r="BR1045" s="3"/>
    </row>
    <row r="1046" spans="1:70">
      <c r="A1046" s="1" t="s">
        <v>18050</v>
      </c>
      <c r="B1046" s="1" t="s">
        <v>1269</v>
      </c>
      <c r="C1046" s="1" t="s">
        <v>18603</v>
      </c>
      <c r="D1046" s="1" t="s">
        <v>18604</v>
      </c>
      <c r="E1046" s="1"/>
      <c r="F1046" s="1" t="s">
        <v>18605</v>
      </c>
      <c r="G1046" s="1" t="s">
        <v>18606</v>
      </c>
      <c r="H1046" s="1" t="s">
        <v>18607</v>
      </c>
      <c r="I1046" s="1" t="s">
        <v>18608</v>
      </c>
      <c r="J1046" s="1">
        <v>9115775205</v>
      </c>
      <c r="K1046" s="1" t="s">
        <v>148</v>
      </c>
      <c r="L1046" s="1" t="s">
        <v>18609</v>
      </c>
      <c r="M1046" s="1" t="s">
        <v>81</v>
      </c>
      <c r="N1046" s="1" t="s">
        <v>18610</v>
      </c>
      <c r="O1046" s="1"/>
      <c r="P1046" s="1" t="s">
        <v>1298</v>
      </c>
      <c r="Q1046" s="1" t="s">
        <v>18611</v>
      </c>
      <c r="R1046" s="1" t="s">
        <v>18612</v>
      </c>
      <c r="S1046" s="1">
        <v>9811018149</v>
      </c>
      <c r="T1046" s="1" t="s">
        <v>18613</v>
      </c>
      <c r="U1046" s="1" t="s">
        <v>18614</v>
      </c>
      <c r="V1046" s="1">
        <v>9115711925</v>
      </c>
      <c r="W1046" s="1" t="s">
        <v>122</v>
      </c>
      <c r="X1046" s="1" t="s">
        <v>18615</v>
      </c>
      <c r="Y1046" s="1" t="s">
        <v>2548</v>
      </c>
      <c r="Z1046" s="1" t="s">
        <v>722</v>
      </c>
      <c r="AA1046" s="1" t="s">
        <v>18616</v>
      </c>
      <c r="AB1046" s="1" t="s">
        <v>7179</v>
      </c>
      <c r="AC1046" s="1" t="s">
        <v>722</v>
      </c>
      <c r="AD1046" s="1">
        <v>8.84</v>
      </c>
      <c r="AE1046" s="1" t="s">
        <v>93</v>
      </c>
      <c r="AF1046" s="1" t="s">
        <v>18617</v>
      </c>
      <c r="AG1046" s="1" t="s">
        <v>18618</v>
      </c>
      <c r="AH1046" s="1" t="s">
        <v>1307</v>
      </c>
      <c r="AI1046" s="1" t="s">
        <v>308</v>
      </c>
      <c r="AJ1046" s="1">
        <v>75</v>
      </c>
      <c r="AK1046" s="1"/>
      <c r="AL1046" s="1" t="s">
        <v>18617</v>
      </c>
      <c r="AM1046" s="1" t="s">
        <v>18618</v>
      </c>
      <c r="AN1046" s="1" t="s">
        <v>1833</v>
      </c>
      <c r="AO1046" s="1" t="s">
        <v>506</v>
      </c>
      <c r="AP1046" s="1">
        <v>89.2</v>
      </c>
      <c r="AQ1046" s="1"/>
      <c r="AR1046" s="1"/>
      <c r="AS1046" s="1"/>
      <c r="AT1046" s="1"/>
      <c r="AU1046" s="1"/>
      <c r="AV1046" s="1"/>
      <c r="AW1046" s="1"/>
      <c r="AX1046" s="1" t="s">
        <v>18619</v>
      </c>
      <c r="AY1046" s="1" t="s">
        <v>18620</v>
      </c>
      <c r="AZ1046" s="1" t="s">
        <v>1407</v>
      </c>
      <c r="BA1046" s="1" t="s">
        <v>413</v>
      </c>
      <c r="BB1046" s="1">
        <v>80</v>
      </c>
      <c r="BC1046" s="1">
        <v>8</v>
      </c>
      <c r="BD1046" s="1"/>
      <c r="BE1046" s="1"/>
      <c r="BF1046" s="1"/>
      <c r="BG1046" s="1"/>
      <c r="BH1046" s="1"/>
      <c r="BI1046" s="1"/>
      <c r="BJ1046" s="1" t="s">
        <v>18621</v>
      </c>
      <c r="BK1046" s="1"/>
      <c r="BL1046" s="1"/>
      <c r="BM1046" s="1" t="s">
        <v>18622</v>
      </c>
      <c r="BN1046" s="1">
        <v>30</v>
      </c>
      <c r="BO1046" s="1" t="s">
        <v>18623</v>
      </c>
      <c r="BP1046" s="1" t="str">
        <f>HYPERLINK("https://nconnect.nicmar.ac.in/storage/profile/ProfilePhoto_P25707039_752349.jpg","Download")</f>
        <v>0</v>
      </c>
      <c r="BQ1046" s="3"/>
      <c r="BR1046" s="3"/>
    </row>
    <row r="1047" spans="1:70">
      <c r="A1047" s="1" t="s">
        <v>1113</v>
      </c>
      <c r="B1047" s="1" t="s">
        <v>1269</v>
      </c>
      <c r="C1047" s="1" t="s">
        <v>18624</v>
      </c>
      <c r="D1047" s="1" t="s">
        <v>18625</v>
      </c>
      <c r="E1047" s="1"/>
      <c r="F1047" s="1" t="s">
        <v>596</v>
      </c>
      <c r="G1047" s="1" t="s">
        <v>18626</v>
      </c>
      <c r="H1047" s="1" t="s">
        <v>18627</v>
      </c>
      <c r="I1047" s="1" t="s">
        <v>18628</v>
      </c>
      <c r="J1047" s="1">
        <v>9361199118</v>
      </c>
      <c r="K1047" s="1" t="s">
        <v>79</v>
      </c>
      <c r="L1047" s="1" t="s">
        <v>9932</v>
      </c>
      <c r="M1047" s="1" t="s">
        <v>81</v>
      </c>
      <c r="N1047" s="1" t="s">
        <v>18629</v>
      </c>
      <c r="O1047" s="1"/>
      <c r="P1047" s="1" t="s">
        <v>6615</v>
      </c>
      <c r="Q1047" s="1" t="s">
        <v>18630</v>
      </c>
      <c r="R1047" s="1" t="s">
        <v>18631</v>
      </c>
      <c r="S1047" s="1">
        <v>9443007880</v>
      </c>
      <c r="T1047" s="1" t="s">
        <v>18632</v>
      </c>
      <c r="U1047" s="1" t="s">
        <v>18633</v>
      </c>
      <c r="V1047" s="1">
        <v>9486273559</v>
      </c>
      <c r="W1047" s="1" t="s">
        <v>273</v>
      </c>
      <c r="X1047" s="1" t="s">
        <v>18634</v>
      </c>
      <c r="Y1047" s="1" t="s">
        <v>9642</v>
      </c>
      <c r="Z1047" s="1" t="s">
        <v>1377</v>
      </c>
      <c r="AA1047" s="1" t="s">
        <v>18634</v>
      </c>
      <c r="AB1047" s="1" t="s">
        <v>9642</v>
      </c>
      <c r="AC1047" s="1" t="s">
        <v>1377</v>
      </c>
      <c r="AD1047" s="1">
        <v>8.37</v>
      </c>
      <c r="AE1047" s="1" t="s">
        <v>93</v>
      </c>
      <c r="AF1047" s="1" t="s">
        <v>18635</v>
      </c>
      <c r="AG1047" s="1" t="s">
        <v>18636</v>
      </c>
      <c r="AH1047" s="1" t="s">
        <v>96</v>
      </c>
      <c r="AI1047" s="1" t="s">
        <v>503</v>
      </c>
      <c r="AJ1047" s="1">
        <v>97</v>
      </c>
      <c r="AK1047" s="1"/>
      <c r="AL1047" s="1" t="s">
        <v>18635</v>
      </c>
      <c r="AM1047" s="1" t="s">
        <v>18636</v>
      </c>
      <c r="AN1047" s="1" t="s">
        <v>162</v>
      </c>
      <c r="AO1047" s="1" t="s">
        <v>195</v>
      </c>
      <c r="AP1047" s="1">
        <v>59</v>
      </c>
      <c r="AQ1047" s="1"/>
      <c r="AR1047" s="1"/>
      <c r="AS1047" s="1"/>
      <c r="AT1047" s="1"/>
      <c r="AU1047" s="1"/>
      <c r="AV1047" s="1"/>
      <c r="AW1047" s="1"/>
      <c r="AX1047" s="1" t="s">
        <v>1381</v>
      </c>
      <c r="AY1047" s="1" t="s">
        <v>18637</v>
      </c>
      <c r="AZ1047" s="1" t="s">
        <v>636</v>
      </c>
      <c r="BA1047" s="1" t="s">
        <v>229</v>
      </c>
      <c r="BB1047" s="1">
        <v>73</v>
      </c>
      <c r="BC1047" s="1">
        <v>7.33</v>
      </c>
      <c r="BD1047" s="1"/>
      <c r="BE1047" s="1"/>
      <c r="BF1047" s="1"/>
      <c r="BG1047" s="1"/>
      <c r="BH1047" s="1"/>
      <c r="BI1047" s="1"/>
      <c r="BJ1047" s="1" t="s">
        <v>18638</v>
      </c>
      <c r="BK1047" s="1"/>
      <c r="BL1047" s="1"/>
      <c r="BM1047" s="1" t="s">
        <v>18639</v>
      </c>
      <c r="BN1047" s="1">
        <v>17</v>
      </c>
      <c r="BO1047" s="1" t="s">
        <v>18640</v>
      </c>
      <c r="BP1047" s="1" t="str">
        <f>HYPERLINK("https://nconnect.nicmar.ac.in/storage/profile/ProfilePhoto_P25706001_497368.jpg","Download")</f>
        <v>0</v>
      </c>
      <c r="BQ1047" s="3"/>
      <c r="BR1047" s="3"/>
    </row>
    <row r="1048" spans="1:70">
      <c r="A1048" s="1" t="s">
        <v>1113</v>
      </c>
      <c r="B1048" s="1" t="s">
        <v>1269</v>
      </c>
      <c r="C1048" s="1" t="s">
        <v>18641</v>
      </c>
      <c r="D1048" s="1" t="s">
        <v>14048</v>
      </c>
      <c r="E1048" s="1" t="s">
        <v>8790</v>
      </c>
      <c r="F1048" s="1" t="s">
        <v>8791</v>
      </c>
      <c r="G1048" s="1" t="s">
        <v>18642</v>
      </c>
      <c r="H1048" s="1" t="s">
        <v>18643</v>
      </c>
      <c r="I1048" s="1" t="s">
        <v>18644</v>
      </c>
      <c r="J1048" s="1">
        <v>8767396335</v>
      </c>
      <c r="K1048" s="1" t="s">
        <v>148</v>
      </c>
      <c r="L1048" s="1" t="s">
        <v>8795</v>
      </c>
      <c r="M1048" s="1" t="s">
        <v>81</v>
      </c>
      <c r="N1048" s="1" t="s">
        <v>18645</v>
      </c>
      <c r="O1048" s="1"/>
      <c r="P1048" s="1" t="s">
        <v>1323</v>
      </c>
      <c r="Q1048" s="1" t="s">
        <v>18646</v>
      </c>
      <c r="R1048" s="1" t="s">
        <v>8790</v>
      </c>
      <c r="S1048" s="1">
        <v>8999722459</v>
      </c>
      <c r="T1048" s="1" t="s">
        <v>18647</v>
      </c>
      <c r="U1048" s="1" t="s">
        <v>6913</v>
      </c>
      <c r="V1048" s="1">
        <v>8788934800</v>
      </c>
      <c r="W1048" s="1" t="s">
        <v>156</v>
      </c>
      <c r="X1048" s="1" t="s">
        <v>18648</v>
      </c>
      <c r="Y1048" s="1" t="s">
        <v>995</v>
      </c>
      <c r="Z1048" s="1" t="s">
        <v>92</v>
      </c>
      <c r="AA1048" s="1" t="s">
        <v>18648</v>
      </c>
      <c r="AB1048" s="1" t="s">
        <v>995</v>
      </c>
      <c r="AC1048" s="1" t="s">
        <v>92</v>
      </c>
      <c r="AD1048" s="1">
        <v>7.85</v>
      </c>
      <c r="AE1048" s="1" t="s">
        <v>93</v>
      </c>
      <c r="AF1048" s="1" t="s">
        <v>8799</v>
      </c>
      <c r="AG1048" s="1" t="s">
        <v>16382</v>
      </c>
      <c r="AH1048" s="1" t="s">
        <v>479</v>
      </c>
      <c r="AI1048" s="1" t="s">
        <v>101</v>
      </c>
      <c r="AJ1048" s="1">
        <v>54.6</v>
      </c>
      <c r="AK1048" s="1">
        <v>5.74</v>
      </c>
      <c r="AL1048" s="1"/>
      <c r="AM1048" s="1"/>
      <c r="AN1048" s="1"/>
      <c r="AO1048" s="1"/>
      <c r="AP1048" s="1"/>
      <c r="AQ1048" s="1"/>
      <c r="AR1048" s="1" t="s">
        <v>434</v>
      </c>
      <c r="AS1048" s="1" t="s">
        <v>8801</v>
      </c>
      <c r="AT1048" s="1" t="s">
        <v>636</v>
      </c>
      <c r="AU1048" s="1" t="s">
        <v>436</v>
      </c>
      <c r="AV1048" s="1">
        <v>94.11</v>
      </c>
      <c r="AW1048" s="1">
        <v>9.66</v>
      </c>
      <c r="AX1048" s="1" t="s">
        <v>253</v>
      </c>
      <c r="AY1048" s="1" t="s">
        <v>18649</v>
      </c>
      <c r="AZ1048" s="1" t="s">
        <v>1051</v>
      </c>
      <c r="BA1048" s="1" t="s">
        <v>944</v>
      </c>
      <c r="BB1048" s="1">
        <v>58.96</v>
      </c>
      <c r="BC1048" s="1">
        <v>6.48</v>
      </c>
      <c r="BD1048" s="1"/>
      <c r="BE1048" s="1"/>
      <c r="BF1048" s="1"/>
      <c r="BG1048" s="1"/>
      <c r="BH1048" s="1"/>
      <c r="BI1048" s="1"/>
      <c r="BJ1048" s="1" t="s">
        <v>7133</v>
      </c>
      <c r="BK1048" s="1"/>
      <c r="BL1048" s="1"/>
      <c r="BM1048" s="1" t="s">
        <v>18650</v>
      </c>
      <c r="BN1048" s="1">
        <v>4</v>
      </c>
      <c r="BO1048" s="1" t="s">
        <v>18651</v>
      </c>
      <c r="BP1048" s="1" t="str">
        <f>HYPERLINK("https://nconnect.nicmar.ac.in/storage/profile/ProfilePhoto_P25706002_764851.jpg","Download")</f>
        <v>0</v>
      </c>
      <c r="BQ1048" s="3"/>
      <c r="BR1048" s="3"/>
    </row>
    <row r="1049" spans="1:70">
      <c r="A1049" s="1" t="s">
        <v>1113</v>
      </c>
      <c r="B1049" s="1" t="s">
        <v>1269</v>
      </c>
      <c r="C1049" s="1" t="s">
        <v>18652</v>
      </c>
      <c r="D1049" s="1" t="s">
        <v>443</v>
      </c>
      <c r="E1049" s="1" t="s">
        <v>7939</v>
      </c>
      <c r="F1049" s="1" t="s">
        <v>4329</v>
      </c>
      <c r="G1049" s="1" t="s">
        <v>18653</v>
      </c>
      <c r="H1049" s="1" t="s">
        <v>18654</v>
      </c>
      <c r="I1049" s="1" t="s">
        <v>18655</v>
      </c>
      <c r="J1049" s="1">
        <v>8714062285</v>
      </c>
      <c r="K1049" s="1" t="s">
        <v>79</v>
      </c>
      <c r="L1049" s="1" t="s">
        <v>18656</v>
      </c>
      <c r="M1049" s="1" t="s">
        <v>81</v>
      </c>
      <c r="N1049" s="1" t="s">
        <v>18657</v>
      </c>
      <c r="O1049" s="1"/>
      <c r="P1049" s="1" t="s">
        <v>1766</v>
      </c>
      <c r="Q1049" s="1" t="s">
        <v>18658</v>
      </c>
      <c r="R1049" s="1" t="s">
        <v>18659</v>
      </c>
      <c r="S1049" s="1">
        <v>8129913184</v>
      </c>
      <c r="T1049" s="1" t="s">
        <v>14532</v>
      </c>
      <c r="U1049" s="1" t="s">
        <v>18660</v>
      </c>
      <c r="V1049" s="1">
        <v>7994274119</v>
      </c>
      <c r="W1049" s="1" t="s">
        <v>122</v>
      </c>
      <c r="X1049" s="1" t="s">
        <v>18661</v>
      </c>
      <c r="Y1049" s="1" t="s">
        <v>5659</v>
      </c>
      <c r="Z1049" s="1" t="s">
        <v>125</v>
      </c>
      <c r="AA1049" s="1" t="s">
        <v>18661</v>
      </c>
      <c r="AB1049" s="1" t="s">
        <v>5659</v>
      </c>
      <c r="AC1049" s="1" t="s">
        <v>125</v>
      </c>
      <c r="AD1049" s="1">
        <v>9.38</v>
      </c>
      <c r="AE1049" s="1" t="s">
        <v>93</v>
      </c>
      <c r="AF1049" s="1" t="s">
        <v>18662</v>
      </c>
      <c r="AG1049" s="1" t="s">
        <v>18663</v>
      </c>
      <c r="AH1049" s="1" t="s">
        <v>457</v>
      </c>
      <c r="AI1049" s="1" t="s">
        <v>308</v>
      </c>
      <c r="AJ1049" s="1">
        <v>91.4</v>
      </c>
      <c r="AK1049" s="1"/>
      <c r="AL1049" s="1" t="s">
        <v>18662</v>
      </c>
      <c r="AM1049" s="1" t="s">
        <v>18663</v>
      </c>
      <c r="AN1049" s="1" t="s">
        <v>360</v>
      </c>
      <c r="AO1049" s="1" t="s">
        <v>506</v>
      </c>
      <c r="AP1049" s="1">
        <v>95.2</v>
      </c>
      <c r="AQ1049" s="1"/>
      <c r="AR1049" s="1"/>
      <c r="AS1049" s="1"/>
      <c r="AT1049" s="1"/>
      <c r="AU1049" s="1"/>
      <c r="AV1049" s="1"/>
      <c r="AW1049" s="1"/>
      <c r="AX1049" s="1" t="s">
        <v>18664</v>
      </c>
      <c r="AY1049" s="1" t="s">
        <v>18665</v>
      </c>
      <c r="AZ1049" s="1" t="s">
        <v>897</v>
      </c>
      <c r="BA1049" s="1" t="s">
        <v>1584</v>
      </c>
      <c r="BB1049" s="1">
        <v>69.4</v>
      </c>
      <c r="BC1049" s="1">
        <v>6.94</v>
      </c>
      <c r="BD1049" s="1"/>
      <c r="BE1049" s="1"/>
      <c r="BF1049" s="1"/>
      <c r="BG1049" s="1"/>
      <c r="BH1049" s="1"/>
      <c r="BI1049" s="1"/>
      <c r="BJ1049" s="1" t="s">
        <v>1135</v>
      </c>
      <c r="BK1049" s="1"/>
      <c r="BL1049" s="1"/>
      <c r="BM1049" s="1" t="s">
        <v>18666</v>
      </c>
      <c r="BN1049" s="1">
        <v>22</v>
      </c>
      <c r="BO1049" s="1"/>
      <c r="BP1049" s="1" t="str">
        <f>HYPERLINK("https://nconnect.nicmar.ac.in/storage/profile/ProfilePhoto_P25706003_729314.jpg","Download")</f>
        <v>0</v>
      </c>
      <c r="BQ1049" s="3"/>
      <c r="BR1049" s="3"/>
    </row>
    <row r="1050" spans="1:70">
      <c r="A1050" s="1" t="s">
        <v>1113</v>
      </c>
      <c r="B1050" s="1" t="s">
        <v>1269</v>
      </c>
      <c r="C1050" s="1" t="s">
        <v>18667</v>
      </c>
      <c r="D1050" s="1" t="s">
        <v>512</v>
      </c>
      <c r="E1050" s="1"/>
      <c r="F1050" s="1" t="s">
        <v>18668</v>
      </c>
      <c r="G1050" s="1" t="s">
        <v>18669</v>
      </c>
      <c r="H1050" s="1" t="s">
        <v>18670</v>
      </c>
      <c r="I1050" s="1" t="s">
        <v>18671</v>
      </c>
      <c r="J1050" s="1">
        <v>8319054647</v>
      </c>
      <c r="K1050" s="1" t="s">
        <v>148</v>
      </c>
      <c r="L1050" s="1" t="s">
        <v>18672</v>
      </c>
      <c r="M1050" s="1" t="s">
        <v>81</v>
      </c>
      <c r="N1050" s="1" t="s">
        <v>2008</v>
      </c>
      <c r="O1050" s="1" t="s">
        <v>18673</v>
      </c>
      <c r="P1050" s="1" t="s">
        <v>1278</v>
      </c>
      <c r="Q1050" s="1" t="s">
        <v>18674</v>
      </c>
      <c r="R1050" s="1" t="s">
        <v>18675</v>
      </c>
      <c r="S1050" s="1">
        <v>9752475429</v>
      </c>
      <c r="T1050" s="1" t="s">
        <v>16542</v>
      </c>
      <c r="U1050" s="1" t="s">
        <v>18676</v>
      </c>
      <c r="V1050" s="1">
        <v>8718097538</v>
      </c>
      <c r="W1050" s="1" t="s">
        <v>89</v>
      </c>
      <c r="X1050" s="1" t="s">
        <v>18677</v>
      </c>
      <c r="Y1050" s="1" t="s">
        <v>191</v>
      </c>
      <c r="Z1050" s="1" t="s">
        <v>92</v>
      </c>
      <c r="AA1050" s="1" t="s">
        <v>18678</v>
      </c>
      <c r="AB1050" s="1" t="s">
        <v>6065</v>
      </c>
      <c r="AC1050" s="1" t="s">
        <v>1237</v>
      </c>
      <c r="AD1050" s="1">
        <v>9.91</v>
      </c>
      <c r="AE1050" s="1" t="s">
        <v>93</v>
      </c>
      <c r="AF1050" s="1" t="s">
        <v>18679</v>
      </c>
      <c r="AG1050" s="1" t="s">
        <v>9678</v>
      </c>
      <c r="AH1050" s="1" t="s">
        <v>279</v>
      </c>
      <c r="AI1050" s="1" t="s">
        <v>165</v>
      </c>
      <c r="AJ1050" s="1">
        <v>95</v>
      </c>
      <c r="AK1050" s="1">
        <v>10</v>
      </c>
      <c r="AL1050" s="1" t="s">
        <v>18679</v>
      </c>
      <c r="AM1050" s="1" t="s">
        <v>9678</v>
      </c>
      <c r="AN1050" s="1" t="s">
        <v>1307</v>
      </c>
      <c r="AO1050" s="1" t="s">
        <v>308</v>
      </c>
      <c r="AP1050" s="1">
        <v>87.6</v>
      </c>
      <c r="AQ1050" s="1"/>
      <c r="AR1050" s="1"/>
      <c r="AS1050" s="1"/>
      <c r="AT1050" s="1"/>
      <c r="AU1050" s="1"/>
      <c r="AV1050" s="1"/>
      <c r="AW1050" s="1"/>
      <c r="AX1050" s="1" t="s">
        <v>12319</v>
      </c>
      <c r="AY1050" s="1" t="s">
        <v>18680</v>
      </c>
      <c r="AZ1050" s="1" t="s">
        <v>310</v>
      </c>
      <c r="BA1050" s="1" t="s">
        <v>1938</v>
      </c>
      <c r="BB1050" s="1">
        <v>85.7</v>
      </c>
      <c r="BC1050" s="1">
        <v>9.07</v>
      </c>
      <c r="BD1050" s="1"/>
      <c r="BE1050" s="1"/>
      <c r="BF1050" s="1"/>
      <c r="BG1050" s="1"/>
      <c r="BH1050" s="1"/>
      <c r="BI1050" s="1"/>
      <c r="BJ1050" s="1" t="s">
        <v>18681</v>
      </c>
      <c r="BK1050" s="1" t="s">
        <v>18682</v>
      </c>
      <c r="BL1050" s="1" t="s">
        <v>639</v>
      </c>
      <c r="BM1050" s="1" t="s">
        <v>18683</v>
      </c>
      <c r="BN1050" s="1">
        <v>30</v>
      </c>
      <c r="BO1050" s="1" t="s">
        <v>18684</v>
      </c>
      <c r="BP1050" s="1" t="str">
        <f>HYPERLINK("https://nconnect.nicmar.ac.in/storage/profile/ProfilePhoto_P25706004_745293.jpg","Download")</f>
        <v>0</v>
      </c>
      <c r="BQ1050" s="3"/>
      <c r="BR1050" s="3"/>
    </row>
    <row r="1051" spans="1:70">
      <c r="A1051" s="1" t="s">
        <v>1113</v>
      </c>
      <c r="B1051" s="1" t="s">
        <v>1269</v>
      </c>
      <c r="C1051" s="1" t="s">
        <v>18685</v>
      </c>
      <c r="D1051" s="1" t="s">
        <v>7651</v>
      </c>
      <c r="E1051" s="1"/>
      <c r="F1051" s="1" t="s">
        <v>18686</v>
      </c>
      <c r="G1051" s="1" t="s">
        <v>18687</v>
      </c>
      <c r="H1051" s="1" t="s">
        <v>18688</v>
      </c>
      <c r="I1051" s="1" t="s">
        <v>18689</v>
      </c>
      <c r="J1051" s="1">
        <v>9606169448</v>
      </c>
      <c r="K1051" s="1" t="s">
        <v>148</v>
      </c>
      <c r="L1051" s="1" t="s">
        <v>18690</v>
      </c>
      <c r="M1051" s="1" t="s">
        <v>81</v>
      </c>
      <c r="N1051" s="1" t="s">
        <v>11429</v>
      </c>
      <c r="O1051" s="1"/>
      <c r="P1051" s="1" t="s">
        <v>1298</v>
      </c>
      <c r="Q1051" s="1" t="s">
        <v>18691</v>
      </c>
      <c r="R1051" s="1" t="s">
        <v>18692</v>
      </c>
      <c r="S1051" s="1">
        <v>9606169448</v>
      </c>
      <c r="T1051" s="1" t="s">
        <v>10420</v>
      </c>
      <c r="U1051" s="1" t="s">
        <v>18693</v>
      </c>
      <c r="V1051" s="1">
        <v>8970752252</v>
      </c>
      <c r="W1051" s="1" t="s">
        <v>7397</v>
      </c>
      <c r="X1051" s="1" t="s">
        <v>18694</v>
      </c>
      <c r="Y1051" s="1" t="s">
        <v>18695</v>
      </c>
      <c r="Z1051" s="1" t="s">
        <v>1084</v>
      </c>
      <c r="AA1051" s="1" t="s">
        <v>18696</v>
      </c>
      <c r="AB1051" s="1" t="s">
        <v>18695</v>
      </c>
      <c r="AC1051" s="1" t="s">
        <v>1084</v>
      </c>
      <c r="AD1051" s="1">
        <v>8.74</v>
      </c>
      <c r="AE1051" s="1" t="s">
        <v>93</v>
      </c>
      <c r="AF1051" s="1" t="s">
        <v>18697</v>
      </c>
      <c r="AG1051" s="1" t="s">
        <v>2745</v>
      </c>
      <c r="AH1051" s="1" t="s">
        <v>165</v>
      </c>
      <c r="AI1051" s="1" t="s">
        <v>1307</v>
      </c>
      <c r="AJ1051" s="1">
        <v>89.12</v>
      </c>
      <c r="AK1051" s="1">
        <v>0</v>
      </c>
      <c r="AL1051" s="1" t="s">
        <v>18697</v>
      </c>
      <c r="AM1051" s="1" t="s">
        <v>4781</v>
      </c>
      <c r="AN1051" s="1" t="s">
        <v>101</v>
      </c>
      <c r="AO1051" s="1" t="s">
        <v>941</v>
      </c>
      <c r="AP1051" s="1">
        <v>83.8</v>
      </c>
      <c r="AQ1051" s="1">
        <v>0</v>
      </c>
      <c r="AR1051" s="1"/>
      <c r="AS1051" s="1"/>
      <c r="AT1051" s="1"/>
      <c r="AU1051" s="1"/>
      <c r="AV1051" s="1"/>
      <c r="AW1051" s="1"/>
      <c r="AX1051" s="1" t="s">
        <v>18142</v>
      </c>
      <c r="AY1051" s="1" t="s">
        <v>18698</v>
      </c>
      <c r="AZ1051" s="1" t="s">
        <v>363</v>
      </c>
      <c r="BA1051" s="1" t="s">
        <v>1134</v>
      </c>
      <c r="BB1051" s="1">
        <v>70.86</v>
      </c>
      <c r="BC1051" s="1">
        <v>7.1</v>
      </c>
      <c r="BD1051" s="1"/>
      <c r="BE1051" s="1"/>
      <c r="BF1051" s="1"/>
      <c r="BG1051" s="1"/>
      <c r="BH1051" s="1"/>
      <c r="BI1051" s="1"/>
      <c r="BJ1051" s="1" t="s">
        <v>18699</v>
      </c>
      <c r="BK1051" s="1"/>
      <c r="BL1051" s="1"/>
      <c r="BM1051" s="1"/>
      <c r="BN1051" s="1"/>
      <c r="BO1051" s="1"/>
      <c r="BP1051" s="1" t="str">
        <f>HYPERLINK("https://nconnect.nicmar.ac.in/storage/profile/ProfilePhoto_P25706005_369741.jpg","Download")</f>
        <v>0</v>
      </c>
      <c r="BQ1051" s="3"/>
      <c r="BR1051" s="3"/>
    </row>
    <row r="1052" spans="1:70">
      <c r="A1052" s="1" t="s">
        <v>1113</v>
      </c>
      <c r="B1052" s="1" t="s">
        <v>1269</v>
      </c>
      <c r="C1052" s="1" t="s">
        <v>18700</v>
      </c>
      <c r="D1052" s="1" t="s">
        <v>18701</v>
      </c>
      <c r="E1052" s="1" t="s">
        <v>18702</v>
      </c>
      <c r="F1052" s="1" t="s">
        <v>10257</v>
      </c>
      <c r="G1052" s="1" t="s">
        <v>18703</v>
      </c>
      <c r="H1052" s="1" t="s">
        <v>18704</v>
      </c>
      <c r="I1052" s="1" t="s">
        <v>18705</v>
      </c>
      <c r="J1052" s="1">
        <v>8928234154</v>
      </c>
      <c r="K1052" s="1" t="s">
        <v>79</v>
      </c>
      <c r="L1052" s="1" t="s">
        <v>18706</v>
      </c>
      <c r="M1052" s="1" t="s">
        <v>81</v>
      </c>
      <c r="N1052" s="1" t="s">
        <v>18707</v>
      </c>
      <c r="O1052" s="1"/>
      <c r="P1052" s="1" t="s">
        <v>1323</v>
      </c>
      <c r="Q1052" s="1" t="s">
        <v>18708</v>
      </c>
      <c r="R1052" s="1" t="s">
        <v>18709</v>
      </c>
      <c r="S1052" s="1">
        <v>8097449154</v>
      </c>
      <c r="T1052" s="1" t="s">
        <v>18710</v>
      </c>
      <c r="U1052" s="1" t="s">
        <v>18711</v>
      </c>
      <c r="V1052" s="1">
        <v>8850515128</v>
      </c>
      <c r="W1052" s="1" t="s">
        <v>2094</v>
      </c>
      <c r="X1052" s="1" t="s">
        <v>18712</v>
      </c>
      <c r="Y1052" s="1" t="s">
        <v>995</v>
      </c>
      <c r="Z1052" s="1" t="s">
        <v>92</v>
      </c>
      <c r="AA1052" s="1" t="s">
        <v>18712</v>
      </c>
      <c r="AB1052" s="1" t="s">
        <v>995</v>
      </c>
      <c r="AC1052" s="1" t="s">
        <v>92</v>
      </c>
      <c r="AD1052" s="1">
        <v>8.99</v>
      </c>
      <c r="AE1052" s="1" t="s">
        <v>93</v>
      </c>
      <c r="AF1052" s="1" t="s">
        <v>18713</v>
      </c>
      <c r="AG1052" s="1" t="s">
        <v>544</v>
      </c>
      <c r="AH1052" s="1" t="s">
        <v>165</v>
      </c>
      <c r="AI1052" s="1" t="s">
        <v>281</v>
      </c>
      <c r="AJ1052" s="1">
        <v>74.4</v>
      </c>
      <c r="AK1052" s="1"/>
      <c r="AL1052" s="1"/>
      <c r="AM1052" s="1"/>
      <c r="AN1052" s="1"/>
      <c r="AO1052" s="1"/>
      <c r="AP1052" s="1"/>
      <c r="AQ1052" s="1"/>
      <c r="AR1052" s="1" t="s">
        <v>18714</v>
      </c>
      <c r="AS1052" s="1" t="s">
        <v>18715</v>
      </c>
      <c r="AT1052" s="1" t="s">
        <v>636</v>
      </c>
      <c r="AU1052" s="1" t="s">
        <v>436</v>
      </c>
      <c r="AV1052" s="1">
        <v>87.72</v>
      </c>
      <c r="AW1052" s="1"/>
      <c r="AX1052" s="1" t="s">
        <v>1024</v>
      </c>
      <c r="AY1052" s="1" t="s">
        <v>18716</v>
      </c>
      <c r="AZ1052" s="1" t="s">
        <v>436</v>
      </c>
      <c r="BA1052" s="1" t="s">
        <v>413</v>
      </c>
      <c r="BB1052" s="1">
        <v>69.07</v>
      </c>
      <c r="BC1052" s="1">
        <v>7.83</v>
      </c>
      <c r="BD1052" s="1"/>
      <c r="BE1052" s="1"/>
      <c r="BF1052" s="1"/>
      <c r="BG1052" s="1"/>
      <c r="BH1052" s="1"/>
      <c r="BI1052" s="1"/>
      <c r="BJ1052" s="1" t="s">
        <v>18717</v>
      </c>
      <c r="BK1052" s="1" t="s">
        <v>18718</v>
      </c>
      <c r="BL1052" s="1" t="s">
        <v>287</v>
      </c>
      <c r="BM1052" s="1" t="s">
        <v>18719</v>
      </c>
      <c r="BN1052" s="1">
        <v>9</v>
      </c>
      <c r="BO1052" s="1"/>
      <c r="BP1052" s="1" t="str">
        <f>HYPERLINK("https://nconnect.nicmar.ac.in/storage/profile/ProfilePhoto_P25706006_148672.jpg","Download")</f>
        <v>0</v>
      </c>
      <c r="BQ1052" s="3"/>
      <c r="BR1052" s="3"/>
    </row>
    <row r="1053" spans="1:70">
      <c r="A1053" s="1" t="s">
        <v>1113</v>
      </c>
      <c r="B1053" s="1" t="s">
        <v>1269</v>
      </c>
      <c r="C1053" s="1" t="s">
        <v>18720</v>
      </c>
      <c r="D1053" s="1" t="s">
        <v>1924</v>
      </c>
      <c r="E1053" s="1" t="s">
        <v>4807</v>
      </c>
      <c r="F1053" s="1" t="s">
        <v>18721</v>
      </c>
      <c r="G1053" s="1" t="s">
        <v>18722</v>
      </c>
      <c r="H1053" s="1" t="s">
        <v>18723</v>
      </c>
      <c r="I1053" s="1" t="s">
        <v>18724</v>
      </c>
      <c r="J1053" s="1">
        <v>6301180283</v>
      </c>
      <c r="K1053" s="1" t="s">
        <v>79</v>
      </c>
      <c r="L1053" s="1" t="s">
        <v>18725</v>
      </c>
      <c r="M1053" s="1" t="s">
        <v>81</v>
      </c>
      <c r="N1053" s="1" t="s">
        <v>2274</v>
      </c>
      <c r="O1053" s="1"/>
      <c r="P1053" s="1" t="s">
        <v>3490</v>
      </c>
      <c r="Q1053" s="1" t="s">
        <v>18726</v>
      </c>
      <c r="R1053" s="1" t="s">
        <v>18727</v>
      </c>
      <c r="S1053" s="1">
        <v>9959680113</v>
      </c>
      <c r="T1053" s="1" t="s">
        <v>18728</v>
      </c>
      <c r="U1053" s="1" t="s">
        <v>18729</v>
      </c>
      <c r="V1053" s="1">
        <v>9000605652</v>
      </c>
      <c r="W1053" s="1" t="s">
        <v>651</v>
      </c>
      <c r="X1053" s="1" t="s">
        <v>18730</v>
      </c>
      <c r="Y1053" s="1" t="s">
        <v>608</v>
      </c>
      <c r="Z1053" s="1" t="s">
        <v>609</v>
      </c>
      <c r="AA1053" s="1" t="s">
        <v>18730</v>
      </c>
      <c r="AB1053" s="1" t="s">
        <v>608</v>
      </c>
      <c r="AC1053" s="1" t="s">
        <v>609</v>
      </c>
      <c r="AD1053" s="1">
        <v>9.5</v>
      </c>
      <c r="AE1053" s="1" t="s">
        <v>93</v>
      </c>
      <c r="AF1053" s="1" t="s">
        <v>18731</v>
      </c>
      <c r="AG1053" s="1" t="s">
        <v>18732</v>
      </c>
      <c r="AH1053" s="1" t="s">
        <v>96</v>
      </c>
      <c r="AI1053" s="1" t="s">
        <v>97</v>
      </c>
      <c r="AJ1053" s="1">
        <v>87</v>
      </c>
      <c r="AK1053" s="1">
        <v>8.7</v>
      </c>
      <c r="AL1053" s="1" t="s">
        <v>612</v>
      </c>
      <c r="AM1053" s="1" t="s">
        <v>613</v>
      </c>
      <c r="AN1053" s="1" t="s">
        <v>162</v>
      </c>
      <c r="AO1053" s="1" t="s">
        <v>195</v>
      </c>
      <c r="AP1053" s="1">
        <v>87.1</v>
      </c>
      <c r="AQ1053" s="1">
        <v>8.71</v>
      </c>
      <c r="AR1053" s="1"/>
      <c r="AS1053" s="1"/>
      <c r="AT1053" s="1"/>
      <c r="AU1053" s="1"/>
      <c r="AV1053" s="1"/>
      <c r="AW1053" s="1"/>
      <c r="AX1053" s="1" t="s">
        <v>614</v>
      </c>
      <c r="AY1053" s="1" t="s">
        <v>18733</v>
      </c>
      <c r="AZ1053" s="1" t="s">
        <v>165</v>
      </c>
      <c r="BA1053" s="1" t="s">
        <v>507</v>
      </c>
      <c r="BB1053" s="1">
        <v>57.9</v>
      </c>
      <c r="BC1053" s="1">
        <v>6.29</v>
      </c>
      <c r="BD1053" s="1"/>
      <c r="BE1053" s="1"/>
      <c r="BF1053" s="1"/>
      <c r="BG1053" s="1"/>
      <c r="BH1053" s="1"/>
      <c r="BI1053" s="1"/>
      <c r="BJ1053" s="1" t="s">
        <v>18734</v>
      </c>
      <c r="BK1053" s="1" t="s">
        <v>18735</v>
      </c>
      <c r="BL1053" s="1" t="s">
        <v>3239</v>
      </c>
      <c r="BM1053" s="1" t="s">
        <v>18736</v>
      </c>
      <c r="BN1053" s="1">
        <v>9</v>
      </c>
      <c r="BO1053" s="1"/>
      <c r="BP1053" s="1" t="str">
        <f>HYPERLINK("https://nconnect.nicmar.ac.in/storage/profile/ProfilePhoto_P25706007_459328.jpg","Download")</f>
        <v>0</v>
      </c>
      <c r="BQ1053" s="3"/>
      <c r="BR1053" s="3"/>
    </row>
    <row r="1054" spans="1:70">
      <c r="A1054" s="1" t="s">
        <v>1113</v>
      </c>
      <c r="B1054" s="1" t="s">
        <v>1269</v>
      </c>
      <c r="C1054" s="1" t="s">
        <v>18737</v>
      </c>
      <c r="D1054" s="1" t="s">
        <v>18738</v>
      </c>
      <c r="E1054" s="1"/>
      <c r="F1054" s="1" t="s">
        <v>18739</v>
      </c>
      <c r="G1054" s="1" t="s">
        <v>18740</v>
      </c>
      <c r="H1054" s="1" t="s">
        <v>18741</v>
      </c>
      <c r="I1054" s="1" t="s">
        <v>18742</v>
      </c>
      <c r="J1054" s="1">
        <v>9715208646</v>
      </c>
      <c r="K1054" s="1" t="s">
        <v>79</v>
      </c>
      <c r="L1054" s="1" t="s">
        <v>11596</v>
      </c>
      <c r="M1054" s="1" t="s">
        <v>81</v>
      </c>
      <c r="N1054" s="1" t="s">
        <v>3132</v>
      </c>
      <c r="O1054" s="1"/>
      <c r="P1054" s="1" t="s">
        <v>1323</v>
      </c>
      <c r="Q1054" s="1" t="s">
        <v>18743</v>
      </c>
      <c r="R1054" s="1" t="s">
        <v>7607</v>
      </c>
      <c r="S1054" s="1">
        <v>8838717125</v>
      </c>
      <c r="T1054" s="1" t="s">
        <v>4188</v>
      </c>
      <c r="U1054" s="1" t="s">
        <v>18744</v>
      </c>
      <c r="V1054" s="1">
        <v>7305110126</v>
      </c>
      <c r="W1054" s="1" t="s">
        <v>156</v>
      </c>
      <c r="X1054" s="1" t="s">
        <v>18745</v>
      </c>
      <c r="Y1054" s="1" t="s">
        <v>18746</v>
      </c>
      <c r="Z1054" s="1" t="s">
        <v>1377</v>
      </c>
      <c r="AA1054" s="1" t="s">
        <v>18745</v>
      </c>
      <c r="AB1054" s="1" t="s">
        <v>18746</v>
      </c>
      <c r="AC1054" s="1" t="s">
        <v>1377</v>
      </c>
      <c r="AD1054" s="1">
        <v>8.32</v>
      </c>
      <c r="AE1054" s="1" t="s">
        <v>93</v>
      </c>
      <c r="AF1054" s="1" t="s">
        <v>18747</v>
      </c>
      <c r="AG1054" s="1" t="s">
        <v>307</v>
      </c>
      <c r="AH1054" s="1" t="s">
        <v>162</v>
      </c>
      <c r="AI1054" s="1" t="s">
        <v>165</v>
      </c>
      <c r="AJ1054" s="1">
        <v>84.5</v>
      </c>
      <c r="AK1054" s="1">
        <v>9</v>
      </c>
      <c r="AL1054" s="1" t="s">
        <v>18748</v>
      </c>
      <c r="AM1054" s="1" t="s">
        <v>307</v>
      </c>
      <c r="AN1054" s="1" t="s">
        <v>101</v>
      </c>
      <c r="AO1054" s="1" t="s">
        <v>308</v>
      </c>
      <c r="AP1054" s="1">
        <v>73.6</v>
      </c>
      <c r="AQ1054" s="1">
        <v>7.74</v>
      </c>
      <c r="AR1054" s="1"/>
      <c r="AS1054" s="1"/>
      <c r="AT1054" s="1"/>
      <c r="AU1054" s="1"/>
      <c r="AV1054" s="1"/>
      <c r="AW1054" s="1"/>
      <c r="AX1054" s="1" t="s">
        <v>18749</v>
      </c>
      <c r="AY1054" s="1" t="s">
        <v>18750</v>
      </c>
      <c r="AZ1054" s="1" t="s">
        <v>310</v>
      </c>
      <c r="BA1054" s="1" t="s">
        <v>682</v>
      </c>
      <c r="BB1054" s="1">
        <v>80</v>
      </c>
      <c r="BC1054" s="1">
        <v>8</v>
      </c>
      <c r="BD1054" s="1"/>
      <c r="BE1054" s="1"/>
      <c r="BF1054" s="1"/>
      <c r="BG1054" s="1"/>
      <c r="BH1054" s="1"/>
      <c r="BI1054" s="1"/>
      <c r="BJ1054" s="1" t="s">
        <v>7133</v>
      </c>
      <c r="BK1054" s="1"/>
      <c r="BL1054" s="1"/>
      <c r="BM1054" s="1" t="s">
        <v>18751</v>
      </c>
      <c r="BN1054" s="1">
        <v>8</v>
      </c>
      <c r="BO1054" s="1"/>
      <c r="BP1054" s="1" t="str">
        <f>HYPERLINK("https://nconnect.nicmar.ac.in/storage/profile/ProfilePhoto_P25706008_824173.jpg","Download")</f>
        <v>0</v>
      </c>
      <c r="BQ1054" s="3"/>
      <c r="BR1054" s="3"/>
    </row>
    <row r="1055" spans="1:70">
      <c r="A1055" s="1" t="s">
        <v>1113</v>
      </c>
      <c r="B1055" s="1" t="s">
        <v>1269</v>
      </c>
      <c r="C1055" s="1" t="s">
        <v>18752</v>
      </c>
      <c r="D1055" s="1" t="s">
        <v>7625</v>
      </c>
      <c r="E1055" s="1" t="s">
        <v>3858</v>
      </c>
      <c r="F1055" s="1" t="s">
        <v>18753</v>
      </c>
      <c r="G1055" s="1" t="s">
        <v>18754</v>
      </c>
      <c r="H1055" s="1" t="s">
        <v>18755</v>
      </c>
      <c r="I1055" s="1" t="s">
        <v>18756</v>
      </c>
      <c r="J1055" s="1">
        <v>9373022458</v>
      </c>
      <c r="K1055" s="1" t="s">
        <v>148</v>
      </c>
      <c r="L1055" s="1" t="s">
        <v>7638</v>
      </c>
      <c r="M1055" s="1" t="s">
        <v>81</v>
      </c>
      <c r="N1055" s="1" t="s">
        <v>18707</v>
      </c>
      <c r="O1055" s="1" t="s">
        <v>18757</v>
      </c>
      <c r="P1055" s="1" t="s">
        <v>1323</v>
      </c>
      <c r="Q1055" s="1" t="s">
        <v>18758</v>
      </c>
      <c r="R1055" s="1" t="s">
        <v>18759</v>
      </c>
      <c r="S1055" s="1">
        <v>8550987765</v>
      </c>
      <c r="T1055" s="1" t="s">
        <v>18760</v>
      </c>
      <c r="U1055" s="1" t="s">
        <v>18761</v>
      </c>
      <c r="V1055" s="1">
        <v>7875757765</v>
      </c>
      <c r="W1055" s="1" t="s">
        <v>18762</v>
      </c>
      <c r="X1055" s="1" t="s">
        <v>18763</v>
      </c>
      <c r="Y1055" s="1" t="s">
        <v>191</v>
      </c>
      <c r="Z1055" s="1" t="s">
        <v>92</v>
      </c>
      <c r="AA1055" s="1" t="s">
        <v>18764</v>
      </c>
      <c r="AB1055" s="1" t="s">
        <v>191</v>
      </c>
      <c r="AC1055" s="1" t="s">
        <v>92</v>
      </c>
      <c r="AD1055" s="1">
        <v>9.69</v>
      </c>
      <c r="AE1055" s="1" t="s">
        <v>93</v>
      </c>
      <c r="AF1055" s="1" t="s">
        <v>18765</v>
      </c>
      <c r="AG1055" s="1" t="s">
        <v>18766</v>
      </c>
      <c r="AH1055" s="1" t="s">
        <v>101</v>
      </c>
      <c r="AI1055" s="1" t="s">
        <v>433</v>
      </c>
      <c r="AJ1055" s="1">
        <v>89.6</v>
      </c>
      <c r="AK1055" s="1"/>
      <c r="AL1055" s="1" t="s">
        <v>18767</v>
      </c>
      <c r="AM1055" s="1" t="s">
        <v>18766</v>
      </c>
      <c r="AN1055" s="1" t="s">
        <v>173</v>
      </c>
      <c r="AO1055" s="1" t="s">
        <v>436</v>
      </c>
      <c r="AP1055" s="1">
        <v>88.67</v>
      </c>
      <c r="AQ1055" s="1"/>
      <c r="AR1055" s="1"/>
      <c r="AS1055" s="1"/>
      <c r="AT1055" s="1"/>
      <c r="AU1055" s="1"/>
      <c r="AV1055" s="1"/>
      <c r="AW1055" s="1"/>
      <c r="AX1055" s="1" t="s">
        <v>18768</v>
      </c>
      <c r="AY1055" s="1" t="s">
        <v>18769</v>
      </c>
      <c r="AZ1055" s="1" t="s">
        <v>897</v>
      </c>
      <c r="BA1055" s="1" t="s">
        <v>1361</v>
      </c>
      <c r="BB1055" s="1">
        <v>76.19</v>
      </c>
      <c r="BC1055" s="1">
        <v>8.02</v>
      </c>
      <c r="BD1055" s="1"/>
      <c r="BE1055" s="1"/>
      <c r="BF1055" s="1"/>
      <c r="BG1055" s="1"/>
      <c r="BH1055" s="1"/>
      <c r="BI1055" s="1"/>
      <c r="BJ1055" s="1" t="s">
        <v>18770</v>
      </c>
      <c r="BK1055" s="1"/>
      <c r="BL1055" s="1"/>
      <c r="BM1055" s="1" t="s">
        <v>18771</v>
      </c>
      <c r="BN1055" s="1">
        <v>12</v>
      </c>
      <c r="BO1055" s="1" t="s">
        <v>18772</v>
      </c>
      <c r="BP1055" s="1" t="str">
        <f>HYPERLINK("https://nconnect.nicmar.ac.in/storage/profile/ProfilePhoto_P25706009_795423.jpg","Download")</f>
        <v>0</v>
      </c>
      <c r="BQ1055" s="3"/>
      <c r="BR1055" s="3"/>
    </row>
    <row r="1056" spans="1:70">
      <c r="A1056" s="1" t="s">
        <v>1113</v>
      </c>
      <c r="B1056" s="1" t="s">
        <v>1269</v>
      </c>
      <c r="C1056" s="1" t="s">
        <v>18773</v>
      </c>
      <c r="D1056" s="1" t="s">
        <v>16996</v>
      </c>
      <c r="E1056" s="1"/>
      <c r="F1056" s="1" t="s">
        <v>18774</v>
      </c>
      <c r="G1056" s="1" t="s">
        <v>18775</v>
      </c>
      <c r="H1056" s="1" t="s">
        <v>18776</v>
      </c>
      <c r="I1056" s="1" t="s">
        <v>18777</v>
      </c>
      <c r="J1056" s="1">
        <v>9168339222</v>
      </c>
      <c r="K1056" s="1" t="s">
        <v>148</v>
      </c>
      <c r="L1056" s="1" t="s">
        <v>18778</v>
      </c>
      <c r="M1056" s="1" t="s">
        <v>81</v>
      </c>
      <c r="N1056" s="1" t="s">
        <v>18779</v>
      </c>
      <c r="O1056" s="1" t="s">
        <v>18780</v>
      </c>
      <c r="P1056" s="1" t="s">
        <v>2505</v>
      </c>
      <c r="Q1056" s="1" t="s">
        <v>18781</v>
      </c>
      <c r="R1056" s="1" t="s">
        <v>18782</v>
      </c>
      <c r="S1056" s="1">
        <v>9730753535</v>
      </c>
      <c r="T1056" s="1" t="s">
        <v>763</v>
      </c>
      <c r="U1056" s="1" t="s">
        <v>18783</v>
      </c>
      <c r="V1056" s="1">
        <v>9168339222</v>
      </c>
      <c r="W1056" s="1" t="s">
        <v>18784</v>
      </c>
      <c r="X1056" s="1" t="s">
        <v>18785</v>
      </c>
      <c r="Y1056" s="1" t="s">
        <v>191</v>
      </c>
      <c r="Z1056" s="1" t="s">
        <v>92</v>
      </c>
      <c r="AA1056" s="1" t="s">
        <v>18785</v>
      </c>
      <c r="AB1056" s="1" t="s">
        <v>191</v>
      </c>
      <c r="AC1056" s="1" t="s">
        <v>92</v>
      </c>
      <c r="AD1056" s="1">
        <v>9.43</v>
      </c>
      <c r="AE1056" s="1" t="s">
        <v>93</v>
      </c>
      <c r="AF1056" s="1" t="s">
        <v>18786</v>
      </c>
      <c r="AG1056" s="1" t="s">
        <v>18787</v>
      </c>
      <c r="AH1056" s="1" t="s">
        <v>433</v>
      </c>
      <c r="AI1056" s="1" t="s">
        <v>173</v>
      </c>
      <c r="AJ1056" s="1">
        <v>96.6</v>
      </c>
      <c r="AK1056" s="1"/>
      <c r="AL1056" s="1" t="s">
        <v>18788</v>
      </c>
      <c r="AM1056" s="1" t="s">
        <v>18789</v>
      </c>
      <c r="AN1056" s="1" t="s">
        <v>920</v>
      </c>
      <c r="AO1056" s="1" t="s">
        <v>284</v>
      </c>
      <c r="AP1056" s="1">
        <v>94.5</v>
      </c>
      <c r="AQ1056" s="1"/>
      <c r="AR1056" s="1"/>
      <c r="AS1056" s="1"/>
      <c r="AT1056" s="1"/>
      <c r="AU1056" s="1"/>
      <c r="AV1056" s="1"/>
      <c r="AW1056" s="1"/>
      <c r="AX1056" s="1" t="s">
        <v>361</v>
      </c>
      <c r="AY1056" s="1" t="s">
        <v>1130</v>
      </c>
      <c r="AZ1056" s="1" t="s">
        <v>481</v>
      </c>
      <c r="BA1056" s="1" t="s">
        <v>1361</v>
      </c>
      <c r="BB1056" s="1">
        <v>85.52</v>
      </c>
      <c r="BC1056" s="1">
        <v>9.21</v>
      </c>
      <c r="BD1056" s="1"/>
      <c r="BE1056" s="1"/>
      <c r="BF1056" s="1"/>
      <c r="BG1056" s="1"/>
      <c r="BH1056" s="1"/>
      <c r="BI1056" s="1"/>
      <c r="BJ1056" s="1" t="s">
        <v>18790</v>
      </c>
      <c r="BK1056" s="1"/>
      <c r="BL1056" s="1"/>
      <c r="BM1056" s="1" t="s">
        <v>18791</v>
      </c>
      <c r="BN1056" s="1">
        <v>8</v>
      </c>
      <c r="BO1056" s="1"/>
      <c r="BP1056" s="1" t="str">
        <f>HYPERLINK("https://nconnect.nicmar.ac.in/storage/profile/ProfilePhoto_P25706010_137249.jpg","Download")</f>
        <v>0</v>
      </c>
      <c r="BQ1056" s="3"/>
      <c r="BR1056" s="3"/>
    </row>
    <row r="1057" spans="1:70">
      <c r="A1057" s="1" t="s">
        <v>1113</v>
      </c>
      <c r="B1057" s="1" t="s">
        <v>1269</v>
      </c>
      <c r="C1057" s="1" t="s">
        <v>18792</v>
      </c>
      <c r="D1057" s="1" t="s">
        <v>417</v>
      </c>
      <c r="E1057" s="1" t="s">
        <v>1455</v>
      </c>
      <c r="F1057" s="1" t="s">
        <v>18793</v>
      </c>
      <c r="G1057" s="1" t="s">
        <v>18794</v>
      </c>
      <c r="H1057" s="1" t="s">
        <v>18795</v>
      </c>
      <c r="I1057" s="1" t="s">
        <v>18796</v>
      </c>
      <c r="J1057" s="1">
        <v>7709765680</v>
      </c>
      <c r="K1057" s="1" t="s">
        <v>148</v>
      </c>
      <c r="L1057" s="1" t="s">
        <v>5496</v>
      </c>
      <c r="M1057" s="1" t="s">
        <v>81</v>
      </c>
      <c r="N1057" s="1" t="s">
        <v>1929</v>
      </c>
      <c r="O1057" s="1"/>
      <c r="P1057" s="1" t="s">
        <v>1323</v>
      </c>
      <c r="Q1057" s="1" t="s">
        <v>18797</v>
      </c>
      <c r="R1057" s="1" t="s">
        <v>18798</v>
      </c>
      <c r="S1057" s="1">
        <v>9881461032</v>
      </c>
      <c r="T1057" s="1" t="s">
        <v>120</v>
      </c>
      <c r="U1057" s="1" t="s">
        <v>18799</v>
      </c>
      <c r="V1057" s="1">
        <v>9881461031</v>
      </c>
      <c r="W1057" s="1" t="s">
        <v>763</v>
      </c>
      <c r="X1057" s="1" t="s">
        <v>18800</v>
      </c>
      <c r="Y1057" s="1" t="s">
        <v>191</v>
      </c>
      <c r="Z1057" s="1" t="s">
        <v>92</v>
      </c>
      <c r="AA1057" s="1" t="s">
        <v>18800</v>
      </c>
      <c r="AB1057" s="1" t="s">
        <v>191</v>
      </c>
      <c r="AC1057" s="1" t="s">
        <v>92</v>
      </c>
      <c r="AD1057" s="1">
        <v>8.31</v>
      </c>
      <c r="AE1057" s="1" t="s">
        <v>93</v>
      </c>
      <c r="AF1057" s="1" t="s">
        <v>18801</v>
      </c>
      <c r="AG1057" s="1" t="s">
        <v>18802</v>
      </c>
      <c r="AH1057" s="1" t="s">
        <v>503</v>
      </c>
      <c r="AI1057" s="1" t="s">
        <v>527</v>
      </c>
      <c r="AJ1057" s="1">
        <v>85.5</v>
      </c>
      <c r="AK1057" s="1">
        <v>9</v>
      </c>
      <c r="AL1057" s="1" t="s">
        <v>18803</v>
      </c>
      <c r="AM1057" s="1" t="s">
        <v>18804</v>
      </c>
      <c r="AN1057" s="1" t="s">
        <v>383</v>
      </c>
      <c r="AO1057" s="1" t="s">
        <v>101</v>
      </c>
      <c r="AP1057" s="1">
        <v>65.23</v>
      </c>
      <c r="AQ1057" s="1"/>
      <c r="AR1057" s="1"/>
      <c r="AS1057" s="1"/>
      <c r="AT1057" s="1"/>
      <c r="AU1057" s="1"/>
      <c r="AV1057" s="1"/>
      <c r="AW1057" s="1"/>
      <c r="AX1057" s="1" t="s">
        <v>18805</v>
      </c>
      <c r="AY1057" s="1" t="s">
        <v>18806</v>
      </c>
      <c r="AZ1057" s="1" t="s">
        <v>201</v>
      </c>
      <c r="BA1057" s="1" t="s">
        <v>1938</v>
      </c>
      <c r="BB1057" s="1">
        <v>67.2</v>
      </c>
      <c r="BC1057" s="1">
        <v>7.03</v>
      </c>
      <c r="BD1057" s="1"/>
      <c r="BE1057" s="1"/>
      <c r="BF1057" s="1"/>
      <c r="BG1057" s="1"/>
      <c r="BH1057" s="1"/>
      <c r="BI1057" s="1"/>
      <c r="BJ1057" s="1" t="s">
        <v>18807</v>
      </c>
      <c r="BK1057" s="1"/>
      <c r="BL1057" s="1"/>
      <c r="BM1057" s="1" t="s">
        <v>18808</v>
      </c>
      <c r="BN1057" s="1">
        <v>30</v>
      </c>
      <c r="BO1057" s="1" t="s">
        <v>18809</v>
      </c>
      <c r="BP1057" s="1" t="str">
        <f>HYPERLINK("https://nconnect.nicmar.ac.in/storage/profile/ProfilePhoto_P25706011_687321.jpg","Download")</f>
        <v>0</v>
      </c>
      <c r="BQ1057" s="3"/>
      <c r="BR1057" s="3"/>
    </row>
    <row r="1058" spans="1:70">
      <c r="A1058" s="1" t="s">
        <v>1113</v>
      </c>
      <c r="B1058" s="1" t="s">
        <v>1269</v>
      </c>
      <c r="C1058" s="1" t="s">
        <v>18810</v>
      </c>
      <c r="D1058" s="1" t="s">
        <v>816</v>
      </c>
      <c r="E1058" s="1"/>
      <c r="F1058" s="1" t="s">
        <v>18811</v>
      </c>
      <c r="G1058" s="1" t="s">
        <v>18812</v>
      </c>
      <c r="H1058" s="1" t="s">
        <v>18813</v>
      </c>
      <c r="I1058" s="1" t="s">
        <v>18814</v>
      </c>
      <c r="J1058" s="1">
        <v>8928716199</v>
      </c>
      <c r="K1058" s="1" t="s">
        <v>79</v>
      </c>
      <c r="L1058" s="1" t="s">
        <v>18815</v>
      </c>
      <c r="M1058" s="1" t="s">
        <v>81</v>
      </c>
      <c r="N1058" s="1" t="s">
        <v>82</v>
      </c>
      <c r="O1058" s="1" t="s">
        <v>18816</v>
      </c>
      <c r="P1058" s="1" t="s">
        <v>1278</v>
      </c>
      <c r="Q1058" s="1" t="s">
        <v>18817</v>
      </c>
      <c r="R1058" s="1" t="s">
        <v>18818</v>
      </c>
      <c r="S1058" s="1">
        <v>8591610630</v>
      </c>
      <c r="T1058" s="1" t="s">
        <v>122</v>
      </c>
      <c r="U1058" s="1" t="s">
        <v>18819</v>
      </c>
      <c r="V1058" s="1">
        <v>7506955528</v>
      </c>
      <c r="W1058" s="1" t="s">
        <v>122</v>
      </c>
      <c r="X1058" s="1" t="s">
        <v>18820</v>
      </c>
      <c r="Y1058" s="1" t="s">
        <v>766</v>
      </c>
      <c r="Z1058" s="1" t="s">
        <v>92</v>
      </c>
      <c r="AA1058" s="1" t="s">
        <v>18820</v>
      </c>
      <c r="AB1058" s="1" t="s">
        <v>766</v>
      </c>
      <c r="AC1058" s="1" t="s">
        <v>92</v>
      </c>
      <c r="AD1058" s="1">
        <v>9.76</v>
      </c>
      <c r="AE1058" s="1" t="s">
        <v>93</v>
      </c>
      <c r="AF1058" s="1" t="s">
        <v>18821</v>
      </c>
      <c r="AG1058" s="1" t="s">
        <v>476</v>
      </c>
      <c r="AH1058" s="1" t="s">
        <v>101</v>
      </c>
      <c r="AI1058" s="1" t="s">
        <v>409</v>
      </c>
      <c r="AJ1058" s="1">
        <v>82.6</v>
      </c>
      <c r="AK1058" s="1"/>
      <c r="AL1058" s="1" t="s">
        <v>18822</v>
      </c>
      <c r="AM1058" s="1" t="s">
        <v>476</v>
      </c>
      <c r="AN1058" s="1" t="s">
        <v>699</v>
      </c>
      <c r="AO1058" s="1" t="s">
        <v>436</v>
      </c>
      <c r="AP1058" s="1">
        <v>90.33</v>
      </c>
      <c r="AQ1058" s="1"/>
      <c r="AR1058" s="1"/>
      <c r="AS1058" s="1"/>
      <c r="AT1058" s="1"/>
      <c r="AU1058" s="1"/>
      <c r="AV1058" s="1"/>
      <c r="AW1058" s="1"/>
      <c r="AX1058" s="1" t="s">
        <v>361</v>
      </c>
      <c r="AY1058" s="1" t="s">
        <v>18823</v>
      </c>
      <c r="AZ1058" s="1" t="s">
        <v>1051</v>
      </c>
      <c r="BA1058" s="1" t="s">
        <v>1361</v>
      </c>
      <c r="BB1058" s="1">
        <v>63.32</v>
      </c>
      <c r="BC1058" s="1">
        <v>6.9</v>
      </c>
      <c r="BD1058" s="1"/>
      <c r="BE1058" s="1"/>
      <c r="BF1058" s="1"/>
      <c r="BG1058" s="1"/>
      <c r="BH1058" s="1"/>
      <c r="BI1058" s="1"/>
      <c r="BJ1058" s="1" t="s">
        <v>1135</v>
      </c>
      <c r="BK1058" s="1"/>
      <c r="BL1058" s="1"/>
      <c r="BM1058" s="1" t="s">
        <v>18824</v>
      </c>
      <c r="BN1058" s="1">
        <v>9</v>
      </c>
      <c r="BO1058" s="1"/>
      <c r="BP1058" s="1" t="str">
        <f>HYPERLINK("https://nconnect.nicmar.ac.in/storage/profile/ProfilePhoto_P25706012_485726.jpg","Download")</f>
        <v>0</v>
      </c>
      <c r="BQ1058" s="3"/>
      <c r="BR1058" s="3"/>
    </row>
    <row r="1059" spans="1:70">
      <c r="A1059" s="1" t="s">
        <v>1113</v>
      </c>
      <c r="B1059" s="1" t="s">
        <v>1269</v>
      </c>
      <c r="C1059" s="1" t="s">
        <v>18825</v>
      </c>
      <c r="D1059" s="1" t="s">
        <v>4345</v>
      </c>
      <c r="E1059" s="1" t="s">
        <v>13581</v>
      </c>
      <c r="F1059" s="1" t="s">
        <v>3901</v>
      </c>
      <c r="G1059" s="1" t="s">
        <v>18826</v>
      </c>
      <c r="H1059" s="1" t="s">
        <v>18827</v>
      </c>
      <c r="I1059" s="1" t="s">
        <v>18828</v>
      </c>
      <c r="J1059" s="1">
        <v>9322877802</v>
      </c>
      <c r="K1059" s="1" t="s">
        <v>79</v>
      </c>
      <c r="L1059" s="1" t="s">
        <v>8268</v>
      </c>
      <c r="M1059" s="1" t="s">
        <v>81</v>
      </c>
      <c r="N1059" s="1" t="s">
        <v>3847</v>
      </c>
      <c r="O1059" s="1"/>
      <c r="P1059" s="1" t="s">
        <v>1323</v>
      </c>
      <c r="Q1059" s="1" t="s">
        <v>18829</v>
      </c>
      <c r="R1059" s="1" t="s">
        <v>18830</v>
      </c>
      <c r="S1059" s="1">
        <v>7588434615</v>
      </c>
      <c r="T1059" s="1" t="s">
        <v>154</v>
      </c>
      <c r="U1059" s="1" t="s">
        <v>18831</v>
      </c>
      <c r="V1059" s="1">
        <v>9403813448</v>
      </c>
      <c r="W1059" s="1" t="s">
        <v>156</v>
      </c>
      <c r="X1059" s="1" t="s">
        <v>18832</v>
      </c>
      <c r="Y1059" s="1" t="s">
        <v>5767</v>
      </c>
      <c r="Z1059" s="1" t="s">
        <v>92</v>
      </c>
      <c r="AA1059" s="1" t="s">
        <v>18832</v>
      </c>
      <c r="AB1059" s="1" t="s">
        <v>5767</v>
      </c>
      <c r="AC1059" s="1" t="s">
        <v>92</v>
      </c>
      <c r="AD1059" s="1">
        <v>8.99</v>
      </c>
      <c r="AE1059" s="1" t="s">
        <v>93</v>
      </c>
      <c r="AF1059" s="1" t="s">
        <v>18833</v>
      </c>
      <c r="AG1059" s="1" t="s">
        <v>307</v>
      </c>
      <c r="AH1059" s="1" t="s">
        <v>7997</v>
      </c>
      <c r="AI1059" s="1" t="s">
        <v>101</v>
      </c>
      <c r="AJ1059" s="1">
        <v>56</v>
      </c>
      <c r="AK1059" s="1"/>
      <c r="AL1059" s="1" t="s">
        <v>18834</v>
      </c>
      <c r="AM1059" s="1" t="s">
        <v>18835</v>
      </c>
      <c r="AN1059" s="1" t="s">
        <v>433</v>
      </c>
      <c r="AO1059" s="1" t="s">
        <v>412</v>
      </c>
      <c r="AP1059" s="1">
        <v>77.38</v>
      </c>
      <c r="AQ1059" s="1"/>
      <c r="AR1059" s="1"/>
      <c r="AS1059" s="1"/>
      <c r="AT1059" s="1"/>
      <c r="AU1059" s="1"/>
      <c r="AV1059" s="1"/>
      <c r="AW1059" s="1"/>
      <c r="AX1059" s="1" t="s">
        <v>18836</v>
      </c>
      <c r="AY1059" s="1" t="s">
        <v>7699</v>
      </c>
      <c r="AZ1059" s="1" t="s">
        <v>363</v>
      </c>
      <c r="BA1059" s="1" t="s">
        <v>6069</v>
      </c>
      <c r="BB1059" s="1">
        <v>61.6</v>
      </c>
      <c r="BC1059" s="1">
        <v>6.66</v>
      </c>
      <c r="BD1059" s="1"/>
      <c r="BE1059" s="1"/>
      <c r="BF1059" s="1"/>
      <c r="BG1059" s="1"/>
      <c r="BH1059" s="1"/>
      <c r="BI1059" s="1"/>
      <c r="BJ1059" s="1" t="s">
        <v>255</v>
      </c>
      <c r="BK1059" s="1"/>
      <c r="BL1059" s="1"/>
      <c r="BM1059" s="1" t="s">
        <v>18837</v>
      </c>
      <c r="BN1059" s="1">
        <v>12</v>
      </c>
      <c r="BO1059" s="1" t="s">
        <v>18838</v>
      </c>
      <c r="BP1059" s="1" t="str">
        <f>HYPERLINK("https://nconnect.nicmar.ac.in/storage/profile/ProfilePhoto_P25706013_549263.jpg","Download")</f>
        <v>0</v>
      </c>
      <c r="BQ1059" s="3"/>
      <c r="BR1059" s="3"/>
    </row>
    <row r="1060" spans="1:70">
      <c r="A1060" s="1" t="s">
        <v>1113</v>
      </c>
      <c r="B1060" s="1" t="s">
        <v>1269</v>
      </c>
      <c r="C1060" s="1" t="s">
        <v>18839</v>
      </c>
      <c r="D1060" s="1" t="s">
        <v>18840</v>
      </c>
      <c r="E1060" s="1" t="s">
        <v>18841</v>
      </c>
      <c r="F1060" s="1" t="s">
        <v>3447</v>
      </c>
      <c r="G1060" s="1" t="s">
        <v>18842</v>
      </c>
      <c r="H1060" s="1" t="s">
        <v>18843</v>
      </c>
      <c r="I1060" s="1" t="s">
        <v>18844</v>
      </c>
      <c r="J1060" s="1">
        <v>9347078940</v>
      </c>
      <c r="K1060" s="1" t="s">
        <v>148</v>
      </c>
      <c r="L1060" s="1" t="s">
        <v>18845</v>
      </c>
      <c r="M1060" s="1" t="s">
        <v>81</v>
      </c>
      <c r="N1060" s="1" t="s">
        <v>18846</v>
      </c>
      <c r="O1060" s="1"/>
      <c r="P1060" s="1" t="s">
        <v>1766</v>
      </c>
      <c r="Q1060" s="1" t="s">
        <v>18847</v>
      </c>
      <c r="R1060" s="1" t="s">
        <v>18848</v>
      </c>
      <c r="S1060" s="1">
        <v>9848099087</v>
      </c>
      <c r="T1060" s="1" t="s">
        <v>18849</v>
      </c>
      <c r="U1060" s="1" t="s">
        <v>18850</v>
      </c>
      <c r="V1060" s="1">
        <v>9441270786</v>
      </c>
      <c r="W1060" s="1" t="s">
        <v>651</v>
      </c>
      <c r="X1060" s="1" t="s">
        <v>18851</v>
      </c>
      <c r="Y1060" s="1" t="s">
        <v>1083</v>
      </c>
      <c r="Z1060" s="1" t="s">
        <v>1084</v>
      </c>
      <c r="AA1060" s="1" t="s">
        <v>18852</v>
      </c>
      <c r="AB1060" s="1" t="s">
        <v>1513</v>
      </c>
      <c r="AC1060" s="1" t="s">
        <v>276</v>
      </c>
      <c r="AD1060" s="1">
        <v>8.47</v>
      </c>
      <c r="AE1060" s="1" t="s">
        <v>93</v>
      </c>
      <c r="AF1060" s="1" t="s">
        <v>18853</v>
      </c>
      <c r="AG1060" s="1" t="s">
        <v>18854</v>
      </c>
      <c r="AH1060" s="1" t="s">
        <v>279</v>
      </c>
      <c r="AI1060" s="1" t="s">
        <v>479</v>
      </c>
      <c r="AJ1060" s="1">
        <v>95</v>
      </c>
      <c r="AK1060" s="1">
        <v>10</v>
      </c>
      <c r="AL1060" s="1" t="s">
        <v>18855</v>
      </c>
      <c r="AM1060" s="1" t="s">
        <v>18856</v>
      </c>
      <c r="AN1060" s="1" t="s">
        <v>165</v>
      </c>
      <c r="AO1060" s="1" t="s">
        <v>1065</v>
      </c>
      <c r="AP1060" s="1">
        <v>85.9</v>
      </c>
      <c r="AQ1060" s="1">
        <v>8.5</v>
      </c>
      <c r="AR1060" s="1"/>
      <c r="AS1060" s="1"/>
      <c r="AT1060" s="1"/>
      <c r="AU1060" s="1"/>
      <c r="AV1060" s="1"/>
      <c r="AW1060" s="1"/>
      <c r="AX1060" s="1" t="s">
        <v>1088</v>
      </c>
      <c r="AY1060" s="1" t="s">
        <v>18857</v>
      </c>
      <c r="AZ1060" s="1" t="s">
        <v>681</v>
      </c>
      <c r="BA1060" s="1" t="s">
        <v>1584</v>
      </c>
      <c r="BB1060" s="1">
        <v>64.2</v>
      </c>
      <c r="BC1060" s="1">
        <v>7.17</v>
      </c>
      <c r="BD1060" s="1"/>
      <c r="BE1060" s="1"/>
      <c r="BF1060" s="1"/>
      <c r="BG1060" s="1"/>
      <c r="BH1060" s="1"/>
      <c r="BI1060" s="1"/>
      <c r="BJ1060" s="1" t="s">
        <v>18858</v>
      </c>
      <c r="BK1060" s="1"/>
      <c r="BL1060" s="1"/>
      <c r="BM1060" s="1" t="s">
        <v>18859</v>
      </c>
      <c r="BN1060" s="1">
        <v>8</v>
      </c>
      <c r="BO1060" s="1" t="s">
        <v>18860</v>
      </c>
      <c r="BP1060" s="1" t="str">
        <f>HYPERLINK("https://nconnect.nicmar.ac.in/storage/profile/ProfilePhoto_P25706014_412957.jpg","Download")</f>
        <v>0</v>
      </c>
      <c r="BQ1060" s="3"/>
      <c r="BR1060" s="3"/>
    </row>
    <row r="1061" spans="1:70">
      <c r="A1061" s="1" t="s">
        <v>1113</v>
      </c>
      <c r="B1061" s="1" t="s">
        <v>1269</v>
      </c>
      <c r="C1061" s="1" t="s">
        <v>18861</v>
      </c>
      <c r="D1061" s="1" t="s">
        <v>4016</v>
      </c>
      <c r="E1061" s="1" t="s">
        <v>18862</v>
      </c>
      <c r="F1061" s="1" t="s">
        <v>392</v>
      </c>
      <c r="G1061" s="1" t="s">
        <v>18863</v>
      </c>
      <c r="H1061" s="1" t="s">
        <v>18864</v>
      </c>
      <c r="I1061" s="1" t="s">
        <v>18865</v>
      </c>
      <c r="J1061" s="1">
        <v>8766764405</v>
      </c>
      <c r="K1061" s="1" t="s">
        <v>148</v>
      </c>
      <c r="L1061" s="1" t="s">
        <v>18866</v>
      </c>
      <c r="M1061" s="1" t="s">
        <v>81</v>
      </c>
      <c r="N1061" s="1" t="s">
        <v>2008</v>
      </c>
      <c r="O1061" s="1"/>
      <c r="P1061" s="1" t="s">
        <v>1323</v>
      </c>
      <c r="Q1061" s="1" t="s">
        <v>18867</v>
      </c>
      <c r="R1061" s="1" t="s">
        <v>18868</v>
      </c>
      <c r="S1061" s="1">
        <v>7498507226</v>
      </c>
      <c r="T1061" s="1" t="s">
        <v>1398</v>
      </c>
      <c r="U1061" s="1" t="s">
        <v>18869</v>
      </c>
      <c r="V1061" s="1">
        <v>7498507226</v>
      </c>
      <c r="W1061" s="1" t="s">
        <v>1398</v>
      </c>
      <c r="X1061" s="1" t="s">
        <v>18870</v>
      </c>
      <c r="Y1061" s="1" t="s">
        <v>379</v>
      </c>
      <c r="Z1061" s="1" t="s">
        <v>92</v>
      </c>
      <c r="AA1061" s="1" t="s">
        <v>18870</v>
      </c>
      <c r="AB1061" s="1" t="s">
        <v>379</v>
      </c>
      <c r="AC1061" s="1" t="s">
        <v>92</v>
      </c>
      <c r="AD1061" s="1">
        <v>9.22</v>
      </c>
      <c r="AE1061" s="1" t="s">
        <v>93</v>
      </c>
      <c r="AF1061" s="1" t="s">
        <v>18871</v>
      </c>
      <c r="AG1061" s="1" t="s">
        <v>160</v>
      </c>
      <c r="AH1061" s="1" t="s">
        <v>2401</v>
      </c>
      <c r="AI1061" s="1" t="s">
        <v>999</v>
      </c>
      <c r="AJ1061" s="1">
        <v>75</v>
      </c>
      <c r="AK1061" s="1"/>
      <c r="AL1061" s="1" t="s">
        <v>18872</v>
      </c>
      <c r="AM1061" s="1" t="s">
        <v>160</v>
      </c>
      <c r="AN1061" s="1" t="s">
        <v>337</v>
      </c>
      <c r="AO1061" s="1" t="s">
        <v>1001</v>
      </c>
      <c r="AP1061" s="1">
        <v>59.38</v>
      </c>
      <c r="AQ1061" s="1"/>
      <c r="AR1061" s="1"/>
      <c r="AS1061" s="1"/>
      <c r="AT1061" s="1"/>
      <c r="AU1061" s="1"/>
      <c r="AV1061" s="1"/>
      <c r="AW1061" s="1"/>
      <c r="AX1061" s="1" t="s">
        <v>18873</v>
      </c>
      <c r="AY1061" s="1" t="s">
        <v>18874</v>
      </c>
      <c r="AZ1061" s="1" t="s">
        <v>733</v>
      </c>
      <c r="BA1061" s="1" t="s">
        <v>170</v>
      </c>
      <c r="BB1061" s="1">
        <v>76.8</v>
      </c>
      <c r="BC1061" s="1">
        <v>8.43</v>
      </c>
      <c r="BD1061" s="1" t="s">
        <v>18873</v>
      </c>
      <c r="BE1061" s="1" t="s">
        <v>2403</v>
      </c>
      <c r="BF1061" s="1" t="s">
        <v>173</v>
      </c>
      <c r="BG1061" s="1" t="s">
        <v>105</v>
      </c>
      <c r="BH1061" s="1">
        <v>79.6</v>
      </c>
      <c r="BI1061" s="1">
        <v>8.71</v>
      </c>
      <c r="BJ1061" s="1" t="s">
        <v>18875</v>
      </c>
      <c r="BK1061" s="1"/>
      <c r="BL1061" s="1"/>
      <c r="BM1061" s="1" t="s">
        <v>18876</v>
      </c>
      <c r="BN1061" s="1">
        <v>100</v>
      </c>
      <c r="BO1061" s="1" t="s">
        <v>18877</v>
      </c>
      <c r="BP1061" s="1" t="str">
        <f>HYPERLINK("https://nconnect.nicmar.ac.in/storage/profile/ProfilePhoto_P25706015_614758.jpg","Download")</f>
        <v>0</v>
      </c>
      <c r="BQ1061" s="3"/>
      <c r="BR1061" s="3"/>
    </row>
    <row r="1062" spans="1:70">
      <c r="A1062" s="1" t="s">
        <v>1113</v>
      </c>
      <c r="B1062" s="1" t="s">
        <v>1269</v>
      </c>
      <c r="C1062" s="1" t="s">
        <v>18878</v>
      </c>
      <c r="D1062" s="1" t="s">
        <v>18879</v>
      </c>
      <c r="E1062" s="1"/>
      <c r="F1062" s="1" t="s">
        <v>18880</v>
      </c>
      <c r="G1062" s="1" t="s">
        <v>18881</v>
      </c>
      <c r="H1062" s="1" t="s">
        <v>18882</v>
      </c>
      <c r="I1062" s="1" t="s">
        <v>18883</v>
      </c>
      <c r="J1062" s="1">
        <v>8762320684</v>
      </c>
      <c r="K1062" s="1" t="s">
        <v>148</v>
      </c>
      <c r="L1062" s="1" t="s">
        <v>11284</v>
      </c>
      <c r="M1062" s="1" t="s">
        <v>81</v>
      </c>
      <c r="N1062" s="1" t="s">
        <v>4750</v>
      </c>
      <c r="O1062" s="1"/>
      <c r="P1062" s="1" t="s">
        <v>1278</v>
      </c>
      <c r="Q1062" s="1" t="s">
        <v>18884</v>
      </c>
      <c r="R1062" s="1" t="s">
        <v>18885</v>
      </c>
      <c r="S1062" s="1">
        <v>9741957096</v>
      </c>
      <c r="T1062" s="1" t="s">
        <v>496</v>
      </c>
      <c r="U1062" s="1" t="s">
        <v>18886</v>
      </c>
      <c r="V1062" s="1">
        <v>9902634494</v>
      </c>
      <c r="W1062" s="1" t="s">
        <v>156</v>
      </c>
      <c r="X1062" s="1" t="s">
        <v>18887</v>
      </c>
      <c r="Y1062" s="1" t="s">
        <v>2052</v>
      </c>
      <c r="Z1062" s="1" t="s">
        <v>1084</v>
      </c>
      <c r="AA1062" s="1" t="s">
        <v>18887</v>
      </c>
      <c r="AB1062" s="1" t="s">
        <v>2052</v>
      </c>
      <c r="AC1062" s="1" t="s">
        <v>1084</v>
      </c>
      <c r="AD1062" s="1">
        <v>9.5</v>
      </c>
      <c r="AE1062" s="1" t="s">
        <v>93</v>
      </c>
      <c r="AF1062" s="1" t="s">
        <v>18888</v>
      </c>
      <c r="AG1062" s="1" t="s">
        <v>18889</v>
      </c>
      <c r="AH1062" s="1" t="s">
        <v>101</v>
      </c>
      <c r="AI1062" s="1" t="s">
        <v>198</v>
      </c>
      <c r="AJ1062" s="1">
        <v>81.33</v>
      </c>
      <c r="AK1062" s="1"/>
      <c r="AL1062" s="1" t="s">
        <v>18890</v>
      </c>
      <c r="AM1062" s="1" t="s">
        <v>18891</v>
      </c>
      <c r="AN1062" s="1" t="s">
        <v>412</v>
      </c>
      <c r="AO1062" s="1" t="s">
        <v>1131</v>
      </c>
      <c r="AP1062" s="1">
        <v>94.5</v>
      </c>
      <c r="AQ1062" s="1"/>
      <c r="AR1062" s="1"/>
      <c r="AS1062" s="1"/>
      <c r="AT1062" s="1"/>
      <c r="AU1062" s="1"/>
      <c r="AV1062" s="1"/>
      <c r="AW1062" s="1"/>
      <c r="AX1062" s="1" t="s">
        <v>4782</v>
      </c>
      <c r="AY1062" s="1" t="s">
        <v>18892</v>
      </c>
      <c r="AZ1062" s="1" t="s">
        <v>897</v>
      </c>
      <c r="BA1062" s="1" t="s">
        <v>1714</v>
      </c>
      <c r="BB1062" s="1">
        <v>84.4</v>
      </c>
      <c r="BC1062" s="1">
        <v>9.19</v>
      </c>
      <c r="BD1062" s="1"/>
      <c r="BE1062" s="1"/>
      <c r="BF1062" s="1"/>
      <c r="BG1062" s="1"/>
      <c r="BH1062" s="1"/>
      <c r="BI1062" s="1"/>
      <c r="BJ1062" s="1" t="s">
        <v>18893</v>
      </c>
      <c r="BK1062" s="1"/>
      <c r="BL1062" s="1"/>
      <c r="BM1062" s="1" t="s">
        <v>18894</v>
      </c>
      <c r="BN1062" s="1">
        <v>30</v>
      </c>
      <c r="BO1062" s="1"/>
      <c r="BP1062" s="1" t="str">
        <f>HYPERLINK("https://nconnect.nicmar.ac.in/storage/profile/ProfilePhoto_P25706016_356284.jpg","Download")</f>
        <v>0</v>
      </c>
      <c r="BQ1062" s="3"/>
      <c r="BR1062" s="3"/>
    </row>
    <row r="1063" spans="1:70">
      <c r="A1063" s="1" t="s">
        <v>1113</v>
      </c>
      <c r="B1063" s="1" t="s">
        <v>1269</v>
      </c>
      <c r="C1063" s="1" t="s">
        <v>18895</v>
      </c>
      <c r="D1063" s="1" t="s">
        <v>18896</v>
      </c>
      <c r="E1063" s="1"/>
      <c r="F1063" s="1" t="s">
        <v>18897</v>
      </c>
      <c r="G1063" s="1" t="s">
        <v>18898</v>
      </c>
      <c r="H1063" s="1" t="s">
        <v>18899</v>
      </c>
      <c r="I1063" s="1" t="s">
        <v>18900</v>
      </c>
      <c r="J1063" s="1">
        <v>8137051093</v>
      </c>
      <c r="K1063" s="1" t="s">
        <v>79</v>
      </c>
      <c r="L1063" s="1" t="s">
        <v>8579</v>
      </c>
      <c r="M1063" s="1" t="s">
        <v>81</v>
      </c>
      <c r="N1063" s="1" t="s">
        <v>18901</v>
      </c>
      <c r="O1063" s="1"/>
      <c r="P1063" s="1" t="s">
        <v>1298</v>
      </c>
      <c r="Q1063" s="1" t="s">
        <v>18902</v>
      </c>
      <c r="R1063" s="1" t="s">
        <v>18903</v>
      </c>
      <c r="S1063" s="1">
        <v>9967631093</v>
      </c>
      <c r="T1063" s="1" t="s">
        <v>3007</v>
      </c>
      <c r="U1063" s="1" t="s">
        <v>18904</v>
      </c>
      <c r="V1063" s="1">
        <v>7012228236</v>
      </c>
      <c r="W1063" s="1" t="s">
        <v>122</v>
      </c>
      <c r="X1063" s="1" t="s">
        <v>18905</v>
      </c>
      <c r="Y1063" s="1" t="s">
        <v>3988</v>
      </c>
      <c r="Z1063" s="1" t="s">
        <v>125</v>
      </c>
      <c r="AA1063" s="1" t="s">
        <v>18905</v>
      </c>
      <c r="AB1063" s="1" t="s">
        <v>3988</v>
      </c>
      <c r="AC1063" s="1" t="s">
        <v>125</v>
      </c>
      <c r="AD1063" s="1">
        <v>9.42</v>
      </c>
      <c r="AE1063" s="1" t="s">
        <v>93</v>
      </c>
      <c r="AF1063" s="1" t="s">
        <v>18906</v>
      </c>
      <c r="AG1063" s="1" t="s">
        <v>18907</v>
      </c>
      <c r="AH1063" s="1" t="s">
        <v>101</v>
      </c>
      <c r="AI1063" s="1" t="s">
        <v>310</v>
      </c>
      <c r="AJ1063" s="1">
        <v>94.4</v>
      </c>
      <c r="AK1063" s="1"/>
      <c r="AL1063" s="1" t="s">
        <v>18908</v>
      </c>
      <c r="AM1063" s="1" t="s">
        <v>18909</v>
      </c>
      <c r="AN1063" s="1" t="s">
        <v>173</v>
      </c>
      <c r="AO1063" s="1" t="s">
        <v>506</v>
      </c>
      <c r="AP1063" s="1">
        <v>99.33</v>
      </c>
      <c r="AQ1063" s="1"/>
      <c r="AR1063" s="1"/>
      <c r="AS1063" s="1"/>
      <c r="AT1063" s="1"/>
      <c r="AU1063" s="1"/>
      <c r="AV1063" s="1"/>
      <c r="AW1063" s="1"/>
      <c r="AX1063" s="1" t="s">
        <v>132</v>
      </c>
      <c r="AY1063" s="1" t="s">
        <v>18910</v>
      </c>
      <c r="AZ1063" s="1" t="s">
        <v>1051</v>
      </c>
      <c r="BA1063" s="1" t="s">
        <v>1714</v>
      </c>
      <c r="BB1063" s="1">
        <v>83.3</v>
      </c>
      <c r="BC1063" s="1">
        <v>8.33</v>
      </c>
      <c r="BD1063" s="1"/>
      <c r="BE1063" s="1"/>
      <c r="BF1063" s="1"/>
      <c r="BG1063" s="1"/>
      <c r="BH1063" s="1"/>
      <c r="BI1063" s="1"/>
      <c r="BJ1063" s="1" t="s">
        <v>18911</v>
      </c>
      <c r="BK1063" s="1"/>
      <c r="BL1063" s="1"/>
      <c r="BM1063" s="1" t="s">
        <v>18912</v>
      </c>
      <c r="BN1063" s="1">
        <v>10</v>
      </c>
      <c r="BO1063" s="1"/>
      <c r="BP1063" s="1" t="str">
        <f>HYPERLINK("https://nconnect.nicmar.ac.in/storage/profile/ProfilePhoto_P25706017_423976.jpg","Download")</f>
        <v>0</v>
      </c>
      <c r="BQ1063" s="3"/>
      <c r="BR1063" s="3"/>
    </row>
    <row r="1064" spans="1:70">
      <c r="A1064" s="1" t="s">
        <v>1113</v>
      </c>
      <c r="B1064" s="1" t="s">
        <v>1269</v>
      </c>
      <c r="C1064" s="1" t="s">
        <v>18913</v>
      </c>
      <c r="D1064" s="1" t="s">
        <v>1526</v>
      </c>
      <c r="E1064" s="1" t="s">
        <v>5072</v>
      </c>
      <c r="F1064" s="1" t="s">
        <v>4922</v>
      </c>
      <c r="G1064" s="1" t="s">
        <v>18914</v>
      </c>
      <c r="H1064" s="1" t="s">
        <v>18915</v>
      </c>
      <c r="I1064" s="1" t="s">
        <v>18916</v>
      </c>
      <c r="J1064" s="1">
        <v>9284847427</v>
      </c>
      <c r="K1064" s="1" t="s">
        <v>148</v>
      </c>
      <c r="L1064" s="1" t="s">
        <v>18241</v>
      </c>
      <c r="M1064" s="1" t="s">
        <v>81</v>
      </c>
      <c r="N1064" s="1" t="s">
        <v>2008</v>
      </c>
      <c r="O1064" s="1" t="s">
        <v>18917</v>
      </c>
      <c r="P1064" s="1" t="s">
        <v>1278</v>
      </c>
      <c r="Q1064" s="1" t="s">
        <v>18918</v>
      </c>
      <c r="R1064" s="1" t="s">
        <v>18919</v>
      </c>
      <c r="S1064" s="1">
        <v>8208760243</v>
      </c>
      <c r="T1064" s="1" t="s">
        <v>18920</v>
      </c>
      <c r="U1064" s="1" t="s">
        <v>18921</v>
      </c>
      <c r="V1064" s="1">
        <v>8080584637</v>
      </c>
      <c r="W1064" s="1" t="s">
        <v>156</v>
      </c>
      <c r="X1064" s="1" t="s">
        <v>18922</v>
      </c>
      <c r="Y1064" s="1" t="s">
        <v>304</v>
      </c>
      <c r="Z1064" s="1" t="s">
        <v>92</v>
      </c>
      <c r="AA1064" s="1" t="s">
        <v>18922</v>
      </c>
      <c r="AB1064" s="1" t="s">
        <v>304</v>
      </c>
      <c r="AC1064" s="1" t="s">
        <v>92</v>
      </c>
      <c r="AD1064" s="1">
        <v>8.6</v>
      </c>
      <c r="AE1064" s="1" t="s">
        <v>93</v>
      </c>
      <c r="AF1064" s="1" t="s">
        <v>18923</v>
      </c>
      <c r="AG1064" s="1" t="s">
        <v>18924</v>
      </c>
      <c r="AH1064" s="1" t="s">
        <v>165</v>
      </c>
      <c r="AI1064" s="1" t="s">
        <v>281</v>
      </c>
      <c r="AJ1064" s="1">
        <v>74.2</v>
      </c>
      <c r="AK1064" s="1">
        <v>7.81</v>
      </c>
      <c r="AL1064" s="1" t="s">
        <v>18923</v>
      </c>
      <c r="AM1064" s="1" t="s">
        <v>18924</v>
      </c>
      <c r="AN1064" s="1" t="s">
        <v>310</v>
      </c>
      <c r="AO1064" s="1" t="s">
        <v>360</v>
      </c>
      <c r="AP1064" s="1">
        <v>54</v>
      </c>
      <c r="AQ1064" s="1">
        <v>5.6</v>
      </c>
      <c r="AR1064" s="1"/>
      <c r="AS1064" s="1"/>
      <c r="AT1064" s="1"/>
      <c r="AU1064" s="1"/>
      <c r="AV1064" s="1"/>
      <c r="AW1064" s="1"/>
      <c r="AX1064" s="1" t="s">
        <v>361</v>
      </c>
      <c r="AY1064" s="1" t="s">
        <v>18925</v>
      </c>
      <c r="AZ1064" s="1" t="s">
        <v>2016</v>
      </c>
      <c r="BA1064" s="1" t="s">
        <v>1714</v>
      </c>
      <c r="BB1064" s="1">
        <v>61.41</v>
      </c>
      <c r="BC1064" s="1">
        <v>6.94</v>
      </c>
      <c r="BD1064" s="1"/>
      <c r="BE1064" s="1"/>
      <c r="BF1064" s="1"/>
      <c r="BG1064" s="1"/>
      <c r="BH1064" s="1"/>
      <c r="BI1064" s="1"/>
      <c r="BJ1064" s="1" t="s">
        <v>18926</v>
      </c>
      <c r="BK1064" s="1"/>
      <c r="BL1064" s="1"/>
      <c r="BM1064" s="1" t="s">
        <v>18927</v>
      </c>
      <c r="BN1064" s="1">
        <v>21</v>
      </c>
      <c r="BO1064" s="1" t="s">
        <v>18928</v>
      </c>
      <c r="BP1064" s="1" t="str">
        <f>HYPERLINK("https://nconnect.nicmar.ac.in/storage/profile/ProfilePhoto_P25706018_657438.jpg","Download")</f>
        <v>0</v>
      </c>
      <c r="BQ1064" s="3"/>
      <c r="BR1064" s="3"/>
    </row>
    <row r="1065" spans="1:70">
      <c r="A1065" s="1" t="s">
        <v>1113</v>
      </c>
      <c r="B1065" s="1" t="s">
        <v>1269</v>
      </c>
      <c r="C1065" s="1" t="s">
        <v>18929</v>
      </c>
      <c r="D1065" s="1" t="s">
        <v>8703</v>
      </c>
      <c r="E1065" s="1"/>
      <c r="F1065" s="1" t="s">
        <v>111</v>
      </c>
      <c r="G1065" s="1" t="s">
        <v>18930</v>
      </c>
      <c r="H1065" s="1" t="s">
        <v>18931</v>
      </c>
      <c r="I1065" s="1" t="s">
        <v>18932</v>
      </c>
      <c r="J1065" s="1">
        <v>7561060571</v>
      </c>
      <c r="K1065" s="1" t="s">
        <v>79</v>
      </c>
      <c r="L1065" s="1" t="s">
        <v>517</v>
      </c>
      <c r="M1065" s="1" t="s">
        <v>81</v>
      </c>
      <c r="N1065" s="1" t="s">
        <v>18933</v>
      </c>
      <c r="O1065" s="1"/>
      <c r="P1065" s="1" t="s">
        <v>1298</v>
      </c>
      <c r="Q1065" s="1" t="s">
        <v>18934</v>
      </c>
      <c r="R1065" s="1" t="s">
        <v>18935</v>
      </c>
      <c r="S1065" s="1">
        <v>9880100998</v>
      </c>
      <c r="T1065" s="1" t="s">
        <v>18936</v>
      </c>
      <c r="U1065" s="1" t="s">
        <v>18937</v>
      </c>
      <c r="V1065" s="1">
        <v>9656736475</v>
      </c>
      <c r="W1065" s="1" t="s">
        <v>18936</v>
      </c>
      <c r="X1065" s="1" t="s">
        <v>18938</v>
      </c>
      <c r="Y1065" s="1" t="s">
        <v>1260</v>
      </c>
      <c r="Z1065" s="1" t="s">
        <v>125</v>
      </c>
      <c r="AA1065" s="1" t="s">
        <v>18938</v>
      </c>
      <c r="AB1065" s="1" t="s">
        <v>1260</v>
      </c>
      <c r="AC1065" s="1" t="s">
        <v>125</v>
      </c>
      <c r="AD1065" s="1">
        <v>7.88</v>
      </c>
      <c r="AE1065" s="1" t="s">
        <v>93</v>
      </c>
      <c r="AF1065" s="1" t="s">
        <v>18939</v>
      </c>
      <c r="AG1065" s="1" t="s">
        <v>3272</v>
      </c>
      <c r="AH1065" s="1" t="s">
        <v>96</v>
      </c>
      <c r="AI1065" s="1" t="s">
        <v>131</v>
      </c>
      <c r="AJ1065" s="1">
        <v>91.2</v>
      </c>
      <c r="AK1065" s="1">
        <v>9.6</v>
      </c>
      <c r="AL1065" s="1" t="s">
        <v>18940</v>
      </c>
      <c r="AM1065" s="1" t="s">
        <v>18941</v>
      </c>
      <c r="AN1065" s="1" t="s">
        <v>161</v>
      </c>
      <c r="AO1065" s="1" t="s">
        <v>479</v>
      </c>
      <c r="AP1065" s="1">
        <v>75.66</v>
      </c>
      <c r="AQ1065" s="1"/>
      <c r="AR1065" s="1"/>
      <c r="AS1065" s="1"/>
      <c r="AT1065" s="1"/>
      <c r="AU1065" s="1"/>
      <c r="AV1065" s="1"/>
      <c r="AW1065" s="1"/>
      <c r="AX1065" s="1" t="s">
        <v>18942</v>
      </c>
      <c r="AY1065" s="1" t="s">
        <v>18943</v>
      </c>
      <c r="AZ1065" s="1" t="s">
        <v>383</v>
      </c>
      <c r="BA1065" s="1" t="s">
        <v>549</v>
      </c>
      <c r="BB1065" s="1">
        <v>61.45</v>
      </c>
      <c r="BC1065" s="1">
        <v>6.52</v>
      </c>
      <c r="BD1065" s="1"/>
      <c r="BE1065" s="1"/>
      <c r="BF1065" s="1"/>
      <c r="BG1065" s="1"/>
      <c r="BH1065" s="1"/>
      <c r="BI1065" s="1"/>
      <c r="BJ1065" s="1" t="s">
        <v>18944</v>
      </c>
      <c r="BK1065" s="1"/>
      <c r="BL1065" s="1"/>
      <c r="BM1065" s="1" t="s">
        <v>18945</v>
      </c>
      <c r="BN1065" s="1">
        <v>115</v>
      </c>
      <c r="BO1065" s="1"/>
      <c r="BP1065" s="1" t="str">
        <f>HYPERLINK("https://nconnect.nicmar.ac.in/storage/profile/ProfilePhoto_P25706019_479825.jpg","Download")</f>
        <v>0</v>
      </c>
      <c r="BQ1065" s="3"/>
      <c r="BR1065" s="3"/>
    </row>
    <row r="1066" spans="1:70">
      <c r="A1066" s="1" t="s">
        <v>1113</v>
      </c>
      <c r="B1066" s="1" t="s">
        <v>1269</v>
      </c>
      <c r="C1066" s="1" t="s">
        <v>18946</v>
      </c>
      <c r="D1066" s="1" t="s">
        <v>18947</v>
      </c>
      <c r="E1066" s="1" t="s">
        <v>18948</v>
      </c>
      <c r="F1066" s="1" t="s">
        <v>10257</v>
      </c>
      <c r="G1066" s="1" t="s">
        <v>18949</v>
      </c>
      <c r="H1066" s="1" t="s">
        <v>18950</v>
      </c>
      <c r="I1066" s="1" t="s">
        <v>18951</v>
      </c>
      <c r="J1066" s="1">
        <v>9004206301</v>
      </c>
      <c r="K1066" s="1" t="s">
        <v>79</v>
      </c>
      <c r="L1066" s="1" t="s">
        <v>10966</v>
      </c>
      <c r="M1066" s="1" t="s">
        <v>81</v>
      </c>
      <c r="N1066" s="1" t="s">
        <v>1418</v>
      </c>
      <c r="O1066" s="1"/>
      <c r="P1066" s="1" t="s">
        <v>1278</v>
      </c>
      <c r="Q1066" s="1" t="s">
        <v>18952</v>
      </c>
      <c r="R1066" s="1" t="s">
        <v>18953</v>
      </c>
      <c r="S1066" s="1">
        <v>9004206301</v>
      </c>
      <c r="T1066" s="1" t="s">
        <v>18954</v>
      </c>
      <c r="U1066" s="1" t="s">
        <v>18955</v>
      </c>
      <c r="V1066" s="1">
        <v>9004526650</v>
      </c>
      <c r="W1066" s="1" t="s">
        <v>156</v>
      </c>
      <c r="X1066" s="1" t="s">
        <v>18956</v>
      </c>
      <c r="Y1066" s="1" t="s">
        <v>995</v>
      </c>
      <c r="Z1066" s="1" t="s">
        <v>92</v>
      </c>
      <c r="AA1066" s="1" t="s">
        <v>18956</v>
      </c>
      <c r="AB1066" s="1" t="s">
        <v>995</v>
      </c>
      <c r="AC1066" s="1" t="s">
        <v>92</v>
      </c>
      <c r="AD1066" s="1">
        <v>8.64</v>
      </c>
      <c r="AE1066" s="1" t="s">
        <v>93</v>
      </c>
      <c r="AF1066" s="1" t="s">
        <v>17302</v>
      </c>
      <c r="AG1066" s="1" t="s">
        <v>5086</v>
      </c>
      <c r="AH1066" s="1" t="s">
        <v>165</v>
      </c>
      <c r="AI1066" s="1" t="s">
        <v>281</v>
      </c>
      <c r="AJ1066" s="1">
        <v>79.6</v>
      </c>
      <c r="AK1066" s="1"/>
      <c r="AL1066" s="1"/>
      <c r="AM1066" s="1"/>
      <c r="AN1066" s="1"/>
      <c r="AO1066" s="1"/>
      <c r="AP1066" s="1"/>
      <c r="AQ1066" s="1"/>
      <c r="AR1066" s="1" t="s">
        <v>15881</v>
      </c>
      <c r="AS1066" s="1" t="s">
        <v>18957</v>
      </c>
      <c r="AT1066" s="1" t="s">
        <v>636</v>
      </c>
      <c r="AU1066" s="1" t="s">
        <v>436</v>
      </c>
      <c r="AV1066" s="1">
        <v>94.94</v>
      </c>
      <c r="AW1066" s="1"/>
      <c r="AX1066" s="1" t="s">
        <v>1024</v>
      </c>
      <c r="AY1066" s="1" t="s">
        <v>18958</v>
      </c>
      <c r="AZ1066" s="1" t="s">
        <v>436</v>
      </c>
      <c r="BA1066" s="1" t="s">
        <v>413</v>
      </c>
      <c r="BB1066" s="1">
        <v>71.25</v>
      </c>
      <c r="BC1066" s="1">
        <v>8.16</v>
      </c>
      <c r="BD1066" s="1"/>
      <c r="BE1066" s="1"/>
      <c r="BF1066" s="1"/>
      <c r="BG1066" s="1"/>
      <c r="BH1066" s="1"/>
      <c r="BI1066" s="1"/>
      <c r="BJ1066" s="1" t="s">
        <v>18959</v>
      </c>
      <c r="BK1066" s="1" t="s">
        <v>18960</v>
      </c>
      <c r="BL1066" s="1" t="s">
        <v>287</v>
      </c>
      <c r="BM1066" s="1" t="s">
        <v>18961</v>
      </c>
      <c r="BN1066" s="1">
        <v>22</v>
      </c>
      <c r="BO1066" s="1"/>
      <c r="BP1066" s="1" t="str">
        <f>HYPERLINK("https://nconnect.nicmar.ac.in/storage/profile/ProfilePhoto_P25706020_473619.jpg","Download")</f>
        <v>0</v>
      </c>
      <c r="BQ1066" s="3"/>
      <c r="BR1066" s="3"/>
    </row>
    <row r="1067" spans="1:70">
      <c r="A1067" s="1" t="s">
        <v>1113</v>
      </c>
      <c r="B1067" s="1" t="s">
        <v>1269</v>
      </c>
      <c r="C1067" s="1" t="s">
        <v>18962</v>
      </c>
      <c r="D1067" s="1" t="s">
        <v>18963</v>
      </c>
      <c r="E1067" s="1" t="s">
        <v>18964</v>
      </c>
      <c r="F1067" s="1" t="s">
        <v>18965</v>
      </c>
      <c r="G1067" s="1" t="s">
        <v>18966</v>
      </c>
      <c r="H1067" s="1" t="s">
        <v>18967</v>
      </c>
      <c r="I1067" s="1" t="s">
        <v>18968</v>
      </c>
      <c r="J1067" s="1">
        <v>9689699701</v>
      </c>
      <c r="K1067" s="1" t="s">
        <v>79</v>
      </c>
      <c r="L1067" s="1" t="s">
        <v>13553</v>
      </c>
      <c r="M1067" s="1" t="s">
        <v>81</v>
      </c>
      <c r="N1067" s="1" t="s">
        <v>2008</v>
      </c>
      <c r="O1067" s="1"/>
      <c r="P1067" s="1" t="s">
        <v>1323</v>
      </c>
      <c r="Q1067" s="1" t="s">
        <v>18969</v>
      </c>
      <c r="R1067" s="1" t="s">
        <v>18970</v>
      </c>
      <c r="S1067" s="1">
        <v>7219251419</v>
      </c>
      <c r="T1067" s="1" t="s">
        <v>2763</v>
      </c>
      <c r="U1067" s="1" t="s">
        <v>18971</v>
      </c>
      <c r="V1067" s="1">
        <v>7038653171</v>
      </c>
      <c r="W1067" s="1" t="s">
        <v>2763</v>
      </c>
      <c r="X1067" s="1" t="s">
        <v>18972</v>
      </c>
      <c r="Y1067" s="1" t="s">
        <v>191</v>
      </c>
      <c r="Z1067" s="1" t="s">
        <v>92</v>
      </c>
      <c r="AA1067" s="1" t="s">
        <v>18972</v>
      </c>
      <c r="AB1067" s="1" t="s">
        <v>191</v>
      </c>
      <c r="AC1067" s="1" t="s">
        <v>92</v>
      </c>
      <c r="AD1067" s="1">
        <v>8.24</v>
      </c>
      <c r="AE1067" s="1" t="s">
        <v>93</v>
      </c>
      <c r="AF1067" s="1" t="s">
        <v>18973</v>
      </c>
      <c r="AG1067" s="1" t="s">
        <v>14874</v>
      </c>
      <c r="AH1067" s="1" t="s">
        <v>195</v>
      </c>
      <c r="AI1067" s="1" t="s">
        <v>281</v>
      </c>
      <c r="AJ1067" s="1">
        <v>75.8</v>
      </c>
      <c r="AK1067" s="1">
        <v>0</v>
      </c>
      <c r="AL1067" s="1" t="s">
        <v>18973</v>
      </c>
      <c r="AM1067" s="1" t="s">
        <v>14874</v>
      </c>
      <c r="AN1067" s="1" t="s">
        <v>198</v>
      </c>
      <c r="AO1067" s="1" t="s">
        <v>360</v>
      </c>
      <c r="AP1067" s="1">
        <v>53.23</v>
      </c>
      <c r="AQ1067" s="1">
        <v>0</v>
      </c>
      <c r="AR1067" s="1"/>
      <c r="AS1067" s="1"/>
      <c r="AT1067" s="1"/>
      <c r="AU1067" s="1"/>
      <c r="AV1067" s="1"/>
      <c r="AW1067" s="1"/>
      <c r="AX1067" s="1" t="s">
        <v>18974</v>
      </c>
      <c r="AY1067" s="1" t="s">
        <v>18975</v>
      </c>
      <c r="AZ1067" s="1" t="s">
        <v>699</v>
      </c>
      <c r="BA1067" s="1" t="s">
        <v>1714</v>
      </c>
      <c r="BB1067" s="1">
        <v>59.4</v>
      </c>
      <c r="BC1067" s="1">
        <v>6.69</v>
      </c>
      <c r="BD1067" s="1"/>
      <c r="BE1067" s="1" t="s">
        <v>6732</v>
      </c>
      <c r="BF1067" s="1" t="s">
        <v>1584</v>
      </c>
      <c r="BG1067" s="1" t="s">
        <v>7436</v>
      </c>
      <c r="BH1067" s="1">
        <v>0</v>
      </c>
      <c r="BI1067" s="1">
        <v>0</v>
      </c>
      <c r="BJ1067" s="1" t="s">
        <v>18976</v>
      </c>
      <c r="BK1067" s="1" t="s">
        <v>18977</v>
      </c>
      <c r="BL1067" s="1" t="s">
        <v>1895</v>
      </c>
      <c r="BM1067" s="1" t="s">
        <v>18978</v>
      </c>
      <c r="BN1067" s="1">
        <v>28</v>
      </c>
      <c r="BO1067" s="1" t="s">
        <v>18979</v>
      </c>
      <c r="BP1067" s="1" t="str">
        <f>HYPERLINK("https://nconnect.nicmar.ac.in/storage/profile/ProfilePhoto_P25706021_165279.jpg","Download")</f>
        <v>0</v>
      </c>
      <c r="BQ1067" s="3"/>
      <c r="BR1067" s="3"/>
    </row>
    <row r="1068" spans="1:70">
      <c r="A1068" s="1" t="s">
        <v>1113</v>
      </c>
      <c r="B1068" s="1" t="s">
        <v>1269</v>
      </c>
      <c r="C1068" s="1" t="s">
        <v>18980</v>
      </c>
      <c r="D1068" s="1" t="s">
        <v>18981</v>
      </c>
      <c r="E1068" s="1" t="s">
        <v>1455</v>
      </c>
      <c r="F1068" s="1" t="s">
        <v>2893</v>
      </c>
      <c r="G1068" s="1" t="s">
        <v>18982</v>
      </c>
      <c r="H1068" s="1" t="s">
        <v>18983</v>
      </c>
      <c r="I1068" s="1" t="s">
        <v>18984</v>
      </c>
      <c r="J1068" s="1">
        <v>8686005674</v>
      </c>
      <c r="K1068" s="1" t="s">
        <v>148</v>
      </c>
      <c r="L1068" s="1" t="s">
        <v>8515</v>
      </c>
      <c r="M1068" s="1" t="s">
        <v>81</v>
      </c>
      <c r="N1068" s="1" t="s">
        <v>7819</v>
      </c>
      <c r="O1068" s="1"/>
      <c r="P1068" s="1"/>
      <c r="Q1068" s="1" t="s">
        <v>18985</v>
      </c>
      <c r="R1068" s="1" t="s">
        <v>18986</v>
      </c>
      <c r="S1068" s="1">
        <v>7387600794</v>
      </c>
      <c r="T1068" s="1" t="s">
        <v>8498</v>
      </c>
      <c r="U1068" s="1" t="s">
        <v>18987</v>
      </c>
      <c r="V1068" s="1">
        <v>9657197972</v>
      </c>
      <c r="W1068" s="1" t="s">
        <v>1554</v>
      </c>
      <c r="X1068" s="1" t="s">
        <v>18988</v>
      </c>
      <c r="Y1068" s="1" t="s">
        <v>2786</v>
      </c>
      <c r="Z1068" s="1" t="s">
        <v>92</v>
      </c>
      <c r="AA1068" s="1" t="s">
        <v>18988</v>
      </c>
      <c r="AB1068" s="1" t="s">
        <v>2786</v>
      </c>
      <c r="AC1068" s="1" t="s">
        <v>92</v>
      </c>
      <c r="AD1068" s="1">
        <v>8.74</v>
      </c>
      <c r="AE1068" s="1" t="s">
        <v>93</v>
      </c>
      <c r="AF1068" s="1" t="s">
        <v>18579</v>
      </c>
      <c r="AG1068" s="1" t="s">
        <v>18989</v>
      </c>
      <c r="AH1068" s="1" t="s">
        <v>101</v>
      </c>
      <c r="AI1068" s="1" t="s">
        <v>433</v>
      </c>
      <c r="AJ1068" s="1">
        <v>64.2</v>
      </c>
      <c r="AK1068" s="1"/>
      <c r="AL1068" s="1" t="s">
        <v>18990</v>
      </c>
      <c r="AM1068" s="1" t="s">
        <v>18991</v>
      </c>
      <c r="AN1068" s="1" t="s">
        <v>433</v>
      </c>
      <c r="AO1068" s="1" t="s">
        <v>1131</v>
      </c>
      <c r="AP1068" s="1">
        <v>89.17</v>
      </c>
      <c r="AQ1068" s="1"/>
      <c r="AR1068" s="1"/>
      <c r="AS1068" s="1"/>
      <c r="AT1068" s="1"/>
      <c r="AU1068" s="1"/>
      <c r="AV1068" s="1"/>
      <c r="AW1068" s="1"/>
      <c r="AX1068" s="1" t="s">
        <v>18992</v>
      </c>
      <c r="AY1068" s="1" t="s">
        <v>18992</v>
      </c>
      <c r="AZ1068" s="1" t="s">
        <v>284</v>
      </c>
      <c r="BA1068" s="1" t="s">
        <v>1714</v>
      </c>
      <c r="BB1068" s="1">
        <v>71.6</v>
      </c>
      <c r="BC1068" s="1">
        <v>7.66</v>
      </c>
      <c r="BD1068" s="1"/>
      <c r="BE1068" s="1"/>
      <c r="BF1068" s="1"/>
      <c r="BG1068" s="1"/>
      <c r="BH1068" s="1"/>
      <c r="BI1068" s="1"/>
      <c r="BJ1068" s="1" t="s">
        <v>1383</v>
      </c>
      <c r="BK1068" s="1"/>
      <c r="BL1068" s="1"/>
      <c r="BM1068" s="1" t="s">
        <v>18993</v>
      </c>
      <c r="BN1068" s="1">
        <v>21</v>
      </c>
      <c r="BO1068" s="1" t="s">
        <v>18994</v>
      </c>
      <c r="BP1068" s="1" t="str">
        <f>HYPERLINK("https://nconnect.nicmar.ac.in/storage/profile/ProfilePhoto_P25706022_813754.jpg","Download")</f>
        <v>0</v>
      </c>
      <c r="BQ1068" s="3"/>
      <c r="BR1068" s="3"/>
    </row>
    <row r="1069" spans="1:70">
      <c r="A1069" s="1" t="s">
        <v>1113</v>
      </c>
      <c r="B1069" s="1" t="s">
        <v>1269</v>
      </c>
      <c r="C1069" s="1" t="s">
        <v>18995</v>
      </c>
      <c r="D1069" s="1" t="s">
        <v>18996</v>
      </c>
      <c r="E1069" s="1"/>
      <c r="F1069" s="1" t="s">
        <v>18997</v>
      </c>
      <c r="G1069" s="1" t="s">
        <v>18998</v>
      </c>
      <c r="H1069" s="1" t="s">
        <v>18999</v>
      </c>
      <c r="I1069" s="1" t="s">
        <v>19000</v>
      </c>
      <c r="J1069" s="1">
        <v>9096037198</v>
      </c>
      <c r="K1069" s="1" t="s">
        <v>79</v>
      </c>
      <c r="L1069" s="1" t="s">
        <v>12911</v>
      </c>
      <c r="M1069" s="1" t="s">
        <v>81</v>
      </c>
      <c r="N1069" s="1" t="s">
        <v>1846</v>
      </c>
      <c r="O1069" s="1"/>
      <c r="P1069" s="1" t="s">
        <v>1278</v>
      </c>
      <c r="Q1069" s="1" t="s">
        <v>19001</v>
      </c>
      <c r="R1069" s="1" t="s">
        <v>19002</v>
      </c>
      <c r="S1069" s="1">
        <v>9422825932</v>
      </c>
      <c r="T1069" s="1" t="s">
        <v>472</v>
      </c>
      <c r="U1069" s="1" t="s">
        <v>19003</v>
      </c>
      <c r="V1069" s="1">
        <v>9420041559</v>
      </c>
      <c r="W1069" s="1" t="s">
        <v>19004</v>
      </c>
      <c r="X1069" s="1" t="s">
        <v>19005</v>
      </c>
      <c r="Y1069" s="1" t="s">
        <v>91</v>
      </c>
      <c r="Z1069" s="1" t="s">
        <v>92</v>
      </c>
      <c r="AA1069" s="1" t="s">
        <v>19005</v>
      </c>
      <c r="AB1069" s="1" t="s">
        <v>91</v>
      </c>
      <c r="AC1069" s="1" t="s">
        <v>92</v>
      </c>
      <c r="AD1069" s="1">
        <v>7.62</v>
      </c>
      <c r="AE1069" s="1" t="s">
        <v>93</v>
      </c>
      <c r="AF1069" s="1" t="s">
        <v>19006</v>
      </c>
      <c r="AG1069" s="1" t="s">
        <v>19007</v>
      </c>
      <c r="AH1069" s="1" t="s">
        <v>733</v>
      </c>
      <c r="AI1069" s="1" t="s">
        <v>165</v>
      </c>
      <c r="AJ1069" s="1">
        <v>74.8</v>
      </c>
      <c r="AK1069" s="1">
        <v>8.2</v>
      </c>
      <c r="AL1069" s="1" t="s">
        <v>19008</v>
      </c>
      <c r="AM1069" s="1" t="s">
        <v>19007</v>
      </c>
      <c r="AN1069" s="1" t="s">
        <v>169</v>
      </c>
      <c r="AO1069" s="1" t="s">
        <v>198</v>
      </c>
      <c r="AP1069" s="1">
        <v>59.08</v>
      </c>
      <c r="AQ1069" s="1"/>
      <c r="AR1069" s="1"/>
      <c r="AS1069" s="1"/>
      <c r="AT1069" s="1"/>
      <c r="AU1069" s="1"/>
      <c r="AV1069" s="1"/>
      <c r="AW1069" s="1"/>
      <c r="AX1069" s="1" t="s">
        <v>19009</v>
      </c>
      <c r="AY1069" s="1" t="s">
        <v>19010</v>
      </c>
      <c r="AZ1069" s="1" t="s">
        <v>201</v>
      </c>
      <c r="BA1069" s="1" t="s">
        <v>174</v>
      </c>
      <c r="BB1069" s="1">
        <v>75.2</v>
      </c>
      <c r="BC1069" s="1">
        <v>8.02</v>
      </c>
      <c r="BD1069" s="1"/>
      <c r="BE1069" s="1"/>
      <c r="BF1069" s="1"/>
      <c r="BG1069" s="1"/>
      <c r="BH1069" s="1"/>
      <c r="BI1069" s="1"/>
      <c r="BJ1069" s="1" t="s">
        <v>7133</v>
      </c>
      <c r="BK1069" s="1"/>
      <c r="BL1069" s="1"/>
      <c r="BM1069" s="1" t="s">
        <v>19011</v>
      </c>
      <c r="BN1069" s="1">
        <v>23</v>
      </c>
      <c r="BO1069" s="1"/>
      <c r="BP1069" s="1" t="str">
        <f>HYPERLINK("https://nconnect.nicmar.ac.in/storage/profile/ProfilePhoto_P25706023_352879.jpg","Download")</f>
        <v>0</v>
      </c>
      <c r="BQ1069" s="3"/>
      <c r="BR1069" s="3"/>
    </row>
    <row r="1070" spans="1:70">
      <c r="A1070" s="1" t="s">
        <v>1113</v>
      </c>
      <c r="B1070" s="1" t="s">
        <v>1269</v>
      </c>
      <c r="C1070" s="1" t="s">
        <v>19012</v>
      </c>
      <c r="D1070" s="1" t="s">
        <v>707</v>
      </c>
      <c r="E1070" s="1" t="s">
        <v>6466</v>
      </c>
      <c r="F1070" s="1" t="s">
        <v>19013</v>
      </c>
      <c r="G1070" s="1" t="s">
        <v>19014</v>
      </c>
      <c r="H1070" s="1" t="s">
        <v>19015</v>
      </c>
      <c r="I1070" s="1" t="s">
        <v>19016</v>
      </c>
      <c r="J1070" s="1">
        <v>9082212775</v>
      </c>
      <c r="K1070" s="1" t="s">
        <v>79</v>
      </c>
      <c r="L1070" s="1" t="s">
        <v>19017</v>
      </c>
      <c r="M1070" s="1" t="s">
        <v>81</v>
      </c>
      <c r="N1070" s="1" t="s">
        <v>8131</v>
      </c>
      <c r="O1070" s="1" t="s">
        <v>19018</v>
      </c>
      <c r="P1070" s="1" t="s">
        <v>1298</v>
      </c>
      <c r="Q1070" s="1" t="s">
        <v>19019</v>
      </c>
      <c r="R1070" s="1" t="s">
        <v>6466</v>
      </c>
      <c r="S1070" s="1">
        <v>9422179511</v>
      </c>
      <c r="T1070" s="1" t="s">
        <v>120</v>
      </c>
      <c r="U1070" s="1" t="s">
        <v>17941</v>
      </c>
      <c r="V1070" s="1">
        <v>8626057997</v>
      </c>
      <c r="W1070" s="1" t="s">
        <v>120</v>
      </c>
      <c r="X1070" s="1" t="s">
        <v>19020</v>
      </c>
      <c r="Y1070" s="1" t="s">
        <v>405</v>
      </c>
      <c r="Z1070" s="1" t="s">
        <v>92</v>
      </c>
      <c r="AA1070" s="1" t="s">
        <v>19020</v>
      </c>
      <c r="AB1070" s="1" t="s">
        <v>405</v>
      </c>
      <c r="AC1070" s="1" t="s">
        <v>92</v>
      </c>
      <c r="AD1070" s="1">
        <v>7.76</v>
      </c>
      <c r="AE1070" s="1" t="s">
        <v>93</v>
      </c>
      <c r="AF1070" s="1" t="s">
        <v>19021</v>
      </c>
      <c r="AG1070" s="1" t="s">
        <v>19022</v>
      </c>
      <c r="AH1070" s="1" t="s">
        <v>3403</v>
      </c>
      <c r="AI1070" s="1" t="s">
        <v>131</v>
      </c>
      <c r="AJ1070" s="1">
        <v>89.3</v>
      </c>
      <c r="AK1070" s="1">
        <v>9.4</v>
      </c>
      <c r="AL1070" s="1" t="s">
        <v>19023</v>
      </c>
      <c r="AM1070" s="1" t="s">
        <v>19022</v>
      </c>
      <c r="AN1070" s="1" t="s">
        <v>161</v>
      </c>
      <c r="AO1070" s="1" t="s">
        <v>479</v>
      </c>
      <c r="AP1070" s="1">
        <v>66.6</v>
      </c>
      <c r="AQ1070" s="1">
        <v>7.01</v>
      </c>
      <c r="AR1070" s="1"/>
      <c r="AS1070" s="1"/>
      <c r="AT1070" s="1"/>
      <c r="AU1070" s="1"/>
      <c r="AV1070" s="1"/>
      <c r="AW1070" s="1"/>
      <c r="AX1070" s="1" t="s">
        <v>253</v>
      </c>
      <c r="AY1070" s="1" t="s">
        <v>19024</v>
      </c>
      <c r="AZ1070" s="1" t="s">
        <v>225</v>
      </c>
      <c r="BA1070" s="1" t="s">
        <v>549</v>
      </c>
      <c r="BB1070" s="1">
        <v>56.73</v>
      </c>
      <c r="BC1070" s="1">
        <v>6.3</v>
      </c>
      <c r="BD1070" s="1"/>
      <c r="BE1070" s="1"/>
      <c r="BF1070" s="1"/>
      <c r="BG1070" s="1"/>
      <c r="BH1070" s="1"/>
      <c r="BI1070" s="1"/>
      <c r="BJ1070" s="1" t="s">
        <v>19025</v>
      </c>
      <c r="BK1070" s="1"/>
      <c r="BL1070" s="1"/>
      <c r="BM1070" s="1" t="s">
        <v>19026</v>
      </c>
      <c r="BN1070" s="1">
        <v>25</v>
      </c>
      <c r="BO1070" s="1" t="s">
        <v>19027</v>
      </c>
      <c r="BP1070" s="1" t="str">
        <f>HYPERLINK("https://nconnect.nicmar.ac.in/storage/profile/ProfilePhoto_P25706024_261895.jpg","Download")</f>
        <v>0</v>
      </c>
      <c r="BQ1070" s="3"/>
      <c r="BR1070" s="3"/>
    </row>
    <row r="1071" spans="1:70">
      <c r="A1071" s="1" t="s">
        <v>1113</v>
      </c>
      <c r="B1071" s="1" t="s">
        <v>1269</v>
      </c>
      <c r="C1071" s="1" t="s">
        <v>19028</v>
      </c>
      <c r="D1071" s="1" t="s">
        <v>19029</v>
      </c>
      <c r="E1071" s="1" t="s">
        <v>1760</v>
      </c>
      <c r="F1071" s="1" t="s">
        <v>19030</v>
      </c>
      <c r="G1071" s="1" t="s">
        <v>19031</v>
      </c>
      <c r="H1071" s="1" t="s">
        <v>19032</v>
      </c>
      <c r="I1071" s="1" t="s">
        <v>19033</v>
      </c>
      <c r="J1071" s="1">
        <v>9404268121</v>
      </c>
      <c r="K1071" s="1" t="s">
        <v>148</v>
      </c>
      <c r="L1071" s="1" t="s">
        <v>5532</v>
      </c>
      <c r="M1071" s="1" t="s">
        <v>81</v>
      </c>
      <c r="N1071" s="1" t="s">
        <v>19034</v>
      </c>
      <c r="O1071" s="1" t="s">
        <v>19035</v>
      </c>
      <c r="P1071" s="1" t="s">
        <v>1298</v>
      </c>
      <c r="Q1071" s="1" t="s">
        <v>19036</v>
      </c>
      <c r="R1071" s="1" t="s">
        <v>1760</v>
      </c>
      <c r="S1071" s="1">
        <v>9422458595</v>
      </c>
      <c r="T1071" s="1" t="s">
        <v>154</v>
      </c>
      <c r="U1071" s="1" t="s">
        <v>5816</v>
      </c>
      <c r="V1071" s="1">
        <v>9767954080</v>
      </c>
      <c r="W1071" s="1" t="s">
        <v>156</v>
      </c>
      <c r="X1071" s="1" t="s">
        <v>19037</v>
      </c>
      <c r="Y1071" s="1" t="s">
        <v>191</v>
      </c>
      <c r="Z1071" s="1" t="s">
        <v>92</v>
      </c>
      <c r="AA1071" s="1" t="s">
        <v>19038</v>
      </c>
      <c r="AB1071" s="1" t="s">
        <v>191</v>
      </c>
      <c r="AC1071" s="1" t="s">
        <v>92</v>
      </c>
      <c r="AD1071" s="1">
        <v>8.44</v>
      </c>
      <c r="AE1071" s="1" t="s">
        <v>93</v>
      </c>
      <c r="AF1071" s="1" t="s">
        <v>19039</v>
      </c>
      <c r="AG1071" s="1" t="s">
        <v>19040</v>
      </c>
      <c r="AH1071" s="1" t="s">
        <v>162</v>
      </c>
      <c r="AI1071" s="1" t="s">
        <v>165</v>
      </c>
      <c r="AJ1071" s="1">
        <v>88</v>
      </c>
      <c r="AK1071" s="1">
        <v>9.6</v>
      </c>
      <c r="AL1071" s="1" t="s">
        <v>19041</v>
      </c>
      <c r="AM1071" s="1" t="s">
        <v>19042</v>
      </c>
      <c r="AN1071" s="1" t="s">
        <v>165</v>
      </c>
      <c r="AO1071" s="1" t="s">
        <v>198</v>
      </c>
      <c r="AP1071" s="1">
        <v>68.62</v>
      </c>
      <c r="AQ1071" s="1"/>
      <c r="AR1071" s="1"/>
      <c r="AS1071" s="1"/>
      <c r="AT1071" s="1"/>
      <c r="AU1071" s="1"/>
      <c r="AV1071" s="1"/>
      <c r="AW1071" s="1"/>
      <c r="AX1071" s="1" t="s">
        <v>361</v>
      </c>
      <c r="AY1071" s="1" t="s">
        <v>19043</v>
      </c>
      <c r="AZ1071" s="1" t="s">
        <v>433</v>
      </c>
      <c r="BA1071" s="1" t="s">
        <v>413</v>
      </c>
      <c r="BB1071" s="1">
        <v>64.79</v>
      </c>
      <c r="BC1071" s="1">
        <v>7.28</v>
      </c>
      <c r="BD1071" s="1"/>
      <c r="BE1071" s="1"/>
      <c r="BF1071" s="1"/>
      <c r="BG1071" s="1"/>
      <c r="BH1071" s="1"/>
      <c r="BI1071" s="1"/>
      <c r="BJ1071" s="1" t="s">
        <v>19044</v>
      </c>
      <c r="BK1071" s="1" t="s">
        <v>19045</v>
      </c>
      <c r="BL1071" s="1" t="s">
        <v>2910</v>
      </c>
      <c r="BM1071" s="1" t="s">
        <v>19046</v>
      </c>
      <c r="BN1071" s="1">
        <v>26</v>
      </c>
      <c r="BO1071" s="1" t="s">
        <v>19047</v>
      </c>
      <c r="BP1071" s="1" t="str">
        <f>HYPERLINK("https://nconnect.nicmar.ac.in/storage/profile/ProfilePhoto_P25706025_139682.jpg","Download")</f>
        <v>0</v>
      </c>
      <c r="BQ1071" s="3"/>
      <c r="BR1071" s="3"/>
    </row>
    <row r="1072" spans="1:70">
      <c r="A1072" s="1" t="s">
        <v>1113</v>
      </c>
      <c r="B1072" s="1" t="s">
        <v>1269</v>
      </c>
      <c r="C1072" s="1" t="s">
        <v>19048</v>
      </c>
      <c r="D1072" s="1" t="s">
        <v>19049</v>
      </c>
      <c r="E1072" s="1"/>
      <c r="F1072" s="1" t="s">
        <v>2655</v>
      </c>
      <c r="G1072" s="1" t="s">
        <v>19050</v>
      </c>
      <c r="H1072" s="1" t="s">
        <v>19051</v>
      </c>
      <c r="I1072" s="1" t="s">
        <v>19052</v>
      </c>
      <c r="J1072" s="1">
        <v>7019455055</v>
      </c>
      <c r="K1072" s="1" t="s">
        <v>79</v>
      </c>
      <c r="L1072" s="1" t="s">
        <v>19053</v>
      </c>
      <c r="M1072" s="1" t="s">
        <v>81</v>
      </c>
      <c r="N1072" s="1" t="s">
        <v>19054</v>
      </c>
      <c r="O1072" s="1"/>
      <c r="P1072" s="1" t="s">
        <v>1278</v>
      </c>
      <c r="Q1072" s="1" t="s">
        <v>19055</v>
      </c>
      <c r="R1072" s="1" t="s">
        <v>19056</v>
      </c>
      <c r="S1072" s="1">
        <v>9845499155</v>
      </c>
      <c r="T1072" s="1" t="s">
        <v>496</v>
      </c>
      <c r="U1072" s="1" t="s">
        <v>19057</v>
      </c>
      <c r="V1072" s="1">
        <v>9980857755</v>
      </c>
      <c r="W1072" s="1" t="s">
        <v>156</v>
      </c>
      <c r="X1072" s="1" t="s">
        <v>19058</v>
      </c>
      <c r="Y1072" s="1" t="s">
        <v>1083</v>
      </c>
      <c r="Z1072" s="1" t="s">
        <v>1084</v>
      </c>
      <c r="AA1072" s="1" t="s">
        <v>19058</v>
      </c>
      <c r="AB1072" s="1" t="s">
        <v>1083</v>
      </c>
      <c r="AC1072" s="1" t="s">
        <v>1084</v>
      </c>
      <c r="AD1072" s="1">
        <v>9.38</v>
      </c>
      <c r="AE1072" s="1" t="s">
        <v>93</v>
      </c>
      <c r="AF1072" s="1" t="s">
        <v>3459</v>
      </c>
      <c r="AG1072" s="1" t="s">
        <v>9678</v>
      </c>
      <c r="AH1072" s="1" t="s">
        <v>166</v>
      </c>
      <c r="AI1072" s="1" t="s">
        <v>308</v>
      </c>
      <c r="AJ1072" s="1">
        <v>83.8</v>
      </c>
      <c r="AK1072" s="1">
        <v>8.38</v>
      </c>
      <c r="AL1072" s="1" t="s">
        <v>19059</v>
      </c>
      <c r="AM1072" s="1" t="s">
        <v>9678</v>
      </c>
      <c r="AN1072" s="1" t="s">
        <v>433</v>
      </c>
      <c r="AO1072" s="1" t="s">
        <v>1131</v>
      </c>
      <c r="AP1072" s="1">
        <v>84.8</v>
      </c>
      <c r="AQ1072" s="1">
        <v>8.48</v>
      </c>
      <c r="AR1072" s="1"/>
      <c r="AS1072" s="1"/>
      <c r="AT1072" s="1"/>
      <c r="AU1072" s="1"/>
      <c r="AV1072" s="1"/>
      <c r="AW1072" s="1"/>
      <c r="AX1072" s="1" t="s">
        <v>7354</v>
      </c>
      <c r="AY1072" s="1" t="s">
        <v>19060</v>
      </c>
      <c r="AZ1072" s="1" t="s">
        <v>897</v>
      </c>
      <c r="BA1072" s="1" t="s">
        <v>1584</v>
      </c>
      <c r="BB1072" s="1">
        <v>58.3</v>
      </c>
      <c r="BC1072" s="1">
        <v>5.83</v>
      </c>
      <c r="BD1072" s="1"/>
      <c r="BE1072" s="1"/>
      <c r="BF1072" s="1"/>
      <c r="BG1072" s="1"/>
      <c r="BH1072" s="1"/>
      <c r="BI1072" s="1"/>
      <c r="BJ1072" s="1" t="s">
        <v>18911</v>
      </c>
      <c r="BK1072" s="1"/>
      <c r="BL1072" s="1"/>
      <c r="BM1072" s="1" t="s">
        <v>19061</v>
      </c>
      <c r="BN1072" s="1">
        <v>4</v>
      </c>
      <c r="BO1072" s="1"/>
      <c r="BP1072" s="1" t="str">
        <f>HYPERLINK("https://nconnect.nicmar.ac.in/storage/profile/ProfilePhoto_P25706026_736918.jpg","Download")</f>
        <v>0</v>
      </c>
      <c r="BQ1072" s="3"/>
      <c r="BR1072" s="3"/>
    </row>
    <row r="1073" spans="1:70">
      <c r="A1073" s="1" t="s">
        <v>1563</v>
      </c>
      <c r="B1073" s="1" t="s">
        <v>1269</v>
      </c>
      <c r="C1073" s="1" t="s">
        <v>19062</v>
      </c>
      <c r="D1073" s="1" t="s">
        <v>19063</v>
      </c>
      <c r="E1073" s="1"/>
      <c r="F1073" s="1" t="s">
        <v>19064</v>
      </c>
      <c r="G1073" s="1" t="s">
        <v>19065</v>
      </c>
      <c r="H1073" s="1" t="s">
        <v>19066</v>
      </c>
      <c r="I1073" s="1" t="s">
        <v>19067</v>
      </c>
      <c r="J1073" s="1">
        <v>9444018662</v>
      </c>
      <c r="K1073" s="1" t="s">
        <v>148</v>
      </c>
      <c r="L1073" s="1" t="s">
        <v>19068</v>
      </c>
      <c r="M1073" s="1" t="s">
        <v>81</v>
      </c>
      <c r="N1073" s="1" t="s">
        <v>19069</v>
      </c>
      <c r="O1073" s="1"/>
      <c r="P1073" s="1" t="s">
        <v>1278</v>
      </c>
      <c r="Q1073" s="1" t="s">
        <v>19070</v>
      </c>
      <c r="R1073" s="1" t="s">
        <v>19071</v>
      </c>
      <c r="S1073" s="1">
        <v>9444018661</v>
      </c>
      <c r="T1073" s="1" t="s">
        <v>15469</v>
      </c>
      <c r="U1073" s="1" t="s">
        <v>19072</v>
      </c>
      <c r="V1073" s="1">
        <v>9444018663</v>
      </c>
      <c r="W1073" s="1" t="s">
        <v>520</v>
      </c>
      <c r="X1073" s="1" t="s">
        <v>19073</v>
      </c>
      <c r="Y1073" s="1" t="s">
        <v>2318</v>
      </c>
      <c r="Z1073" s="1" t="s">
        <v>1377</v>
      </c>
      <c r="AA1073" s="1" t="s">
        <v>19073</v>
      </c>
      <c r="AB1073" s="1" t="s">
        <v>2318</v>
      </c>
      <c r="AC1073" s="1" t="s">
        <v>1377</v>
      </c>
      <c r="AD1073" s="1">
        <v>9.45</v>
      </c>
      <c r="AE1073" s="1" t="s">
        <v>93</v>
      </c>
      <c r="AF1073" s="1" t="s">
        <v>19074</v>
      </c>
      <c r="AG1073" s="1" t="s">
        <v>19075</v>
      </c>
      <c r="AH1073" s="1" t="s">
        <v>101</v>
      </c>
      <c r="AI1073" s="1" t="s">
        <v>308</v>
      </c>
      <c r="AJ1073" s="1">
        <v>90.6</v>
      </c>
      <c r="AK1073" s="1"/>
      <c r="AL1073" s="1" t="s">
        <v>19076</v>
      </c>
      <c r="AM1073" s="1" t="s">
        <v>19075</v>
      </c>
      <c r="AN1073" s="1" t="s">
        <v>1833</v>
      </c>
      <c r="AO1073" s="1" t="s">
        <v>506</v>
      </c>
      <c r="AP1073" s="1">
        <v>96.4</v>
      </c>
      <c r="AQ1073" s="1"/>
      <c r="AR1073" s="1"/>
      <c r="AS1073" s="1"/>
      <c r="AT1073" s="1"/>
      <c r="AU1073" s="1"/>
      <c r="AV1073" s="1"/>
      <c r="AW1073" s="1"/>
      <c r="AX1073" s="1" t="s">
        <v>19077</v>
      </c>
      <c r="AY1073" s="1" t="s">
        <v>19078</v>
      </c>
      <c r="AZ1073" s="1" t="s">
        <v>135</v>
      </c>
      <c r="BA1073" s="1" t="s">
        <v>1714</v>
      </c>
      <c r="BB1073" s="1">
        <v>78.5</v>
      </c>
      <c r="BC1073" s="1">
        <v>7.85</v>
      </c>
      <c r="BD1073" s="1"/>
      <c r="BE1073" s="1"/>
      <c r="BF1073" s="1"/>
      <c r="BG1073" s="1"/>
      <c r="BH1073" s="1"/>
      <c r="BI1073" s="1"/>
      <c r="BJ1073" s="1" t="s">
        <v>19079</v>
      </c>
      <c r="BK1073" s="1"/>
      <c r="BL1073" s="1"/>
      <c r="BM1073" s="1" t="s">
        <v>19080</v>
      </c>
      <c r="BN1073" s="1">
        <v>16</v>
      </c>
      <c r="BO1073" s="1" t="s">
        <v>19081</v>
      </c>
      <c r="BP1073" s="1" t="str">
        <f>HYPERLINK("https://nconnect.nicmar.ac.in/storage/profile/ProfilePhoto_P25701001_763985.jpg","Download")</f>
        <v>0</v>
      </c>
      <c r="BQ1073" s="3"/>
      <c r="BR1073" s="3"/>
    </row>
    <row r="1074" spans="1:70">
      <c r="A1074" s="1" t="s">
        <v>1563</v>
      </c>
      <c r="B1074" s="1" t="s">
        <v>1269</v>
      </c>
      <c r="C1074" s="1" t="s">
        <v>19082</v>
      </c>
      <c r="D1074" s="1" t="s">
        <v>9766</v>
      </c>
      <c r="E1074" s="1" t="s">
        <v>6466</v>
      </c>
      <c r="F1074" s="1" t="s">
        <v>19083</v>
      </c>
      <c r="G1074" s="1" t="s">
        <v>19084</v>
      </c>
      <c r="H1074" s="1" t="s">
        <v>19085</v>
      </c>
      <c r="I1074" s="1" t="s">
        <v>19086</v>
      </c>
      <c r="J1074" s="1">
        <v>8291698788</v>
      </c>
      <c r="K1074" s="1" t="s">
        <v>79</v>
      </c>
      <c r="L1074" s="1" t="s">
        <v>19087</v>
      </c>
      <c r="M1074" s="1" t="s">
        <v>81</v>
      </c>
      <c r="N1074" s="1" t="s">
        <v>1418</v>
      </c>
      <c r="O1074" s="1"/>
      <c r="P1074" s="1" t="s">
        <v>1298</v>
      </c>
      <c r="Q1074" s="1" t="s">
        <v>19088</v>
      </c>
      <c r="R1074" s="1" t="s">
        <v>6466</v>
      </c>
      <c r="S1074" s="1">
        <v>9820543834</v>
      </c>
      <c r="T1074" s="1" t="s">
        <v>19089</v>
      </c>
      <c r="U1074" s="1" t="s">
        <v>19090</v>
      </c>
      <c r="V1074" s="1">
        <v>9920943328</v>
      </c>
      <c r="W1074" s="1" t="s">
        <v>156</v>
      </c>
      <c r="X1074" s="1" t="s">
        <v>19091</v>
      </c>
      <c r="Y1074" s="1" t="s">
        <v>766</v>
      </c>
      <c r="Z1074" s="1" t="s">
        <v>92</v>
      </c>
      <c r="AA1074" s="1" t="s">
        <v>19091</v>
      </c>
      <c r="AB1074" s="1" t="s">
        <v>766</v>
      </c>
      <c r="AC1074" s="1" t="s">
        <v>92</v>
      </c>
      <c r="AD1074" s="1">
        <v>8.96</v>
      </c>
      <c r="AE1074" s="1" t="s">
        <v>93</v>
      </c>
      <c r="AF1074" s="1" t="s">
        <v>19092</v>
      </c>
      <c r="AG1074" s="1" t="s">
        <v>19093</v>
      </c>
      <c r="AH1074" s="1" t="s">
        <v>97</v>
      </c>
      <c r="AI1074" s="1" t="s">
        <v>456</v>
      </c>
      <c r="AJ1074" s="1">
        <v>94.4</v>
      </c>
      <c r="AK1074" s="1"/>
      <c r="AL1074" s="1" t="s">
        <v>19094</v>
      </c>
      <c r="AM1074" s="1" t="s">
        <v>160</v>
      </c>
      <c r="AN1074" s="1" t="s">
        <v>1332</v>
      </c>
      <c r="AO1074" s="1" t="s">
        <v>457</v>
      </c>
      <c r="AP1074" s="1">
        <v>62.46</v>
      </c>
      <c r="AQ1074" s="1"/>
      <c r="AR1074" s="1"/>
      <c r="AS1074" s="1"/>
      <c r="AT1074" s="1"/>
      <c r="AU1074" s="1"/>
      <c r="AV1074" s="1"/>
      <c r="AW1074" s="1"/>
      <c r="AX1074" s="1" t="s">
        <v>253</v>
      </c>
      <c r="AY1074" s="1" t="s">
        <v>19095</v>
      </c>
      <c r="AZ1074" s="1" t="s">
        <v>636</v>
      </c>
      <c r="BA1074" s="1" t="s">
        <v>105</v>
      </c>
      <c r="BB1074" s="1">
        <v>65.79</v>
      </c>
      <c r="BC1074" s="1"/>
      <c r="BD1074" s="1"/>
      <c r="BE1074" s="1"/>
      <c r="BF1074" s="1"/>
      <c r="BG1074" s="1"/>
      <c r="BH1074" s="1"/>
      <c r="BI1074" s="1"/>
      <c r="BJ1074" s="1" t="s">
        <v>19096</v>
      </c>
      <c r="BK1074" s="1" t="s">
        <v>19097</v>
      </c>
      <c r="BL1074" s="1" t="s">
        <v>2303</v>
      </c>
      <c r="BM1074" s="1" t="s">
        <v>19098</v>
      </c>
      <c r="BN1074" s="1">
        <v>47</v>
      </c>
      <c r="BO1074" s="1" t="s">
        <v>19099</v>
      </c>
      <c r="BP1074" s="1" t="str">
        <f>HYPERLINK("https://nconnect.nicmar.ac.in/storage/profile/ProfilePhoto_P25701002_568417.jpg","Download")</f>
        <v>0</v>
      </c>
      <c r="BQ1074" s="3"/>
      <c r="BR1074" s="3"/>
    </row>
    <row r="1075" spans="1:70">
      <c r="A1075" s="1" t="s">
        <v>1563</v>
      </c>
      <c r="B1075" s="1" t="s">
        <v>1269</v>
      </c>
      <c r="C1075" s="1" t="s">
        <v>19100</v>
      </c>
      <c r="D1075" s="1" t="s">
        <v>9036</v>
      </c>
      <c r="E1075" s="1" t="s">
        <v>19101</v>
      </c>
      <c r="F1075" s="1" t="s">
        <v>19102</v>
      </c>
      <c r="G1075" s="1" t="s">
        <v>19103</v>
      </c>
      <c r="H1075" s="1" t="s">
        <v>19104</v>
      </c>
      <c r="I1075" s="1" t="s">
        <v>19105</v>
      </c>
      <c r="J1075" s="1">
        <v>9022348931</v>
      </c>
      <c r="K1075" s="1" t="s">
        <v>79</v>
      </c>
      <c r="L1075" s="1" t="s">
        <v>19106</v>
      </c>
      <c r="M1075" s="1" t="s">
        <v>81</v>
      </c>
      <c r="N1075" s="1" t="s">
        <v>2008</v>
      </c>
      <c r="O1075" s="1" t="s">
        <v>19107</v>
      </c>
      <c r="P1075" s="1" t="s">
        <v>1278</v>
      </c>
      <c r="Q1075" s="1" t="s">
        <v>19108</v>
      </c>
      <c r="R1075" s="1" t="s">
        <v>19109</v>
      </c>
      <c r="S1075" s="1">
        <v>7977074221</v>
      </c>
      <c r="T1075" s="1" t="s">
        <v>496</v>
      </c>
      <c r="U1075" s="1" t="s">
        <v>19110</v>
      </c>
      <c r="V1075" s="1">
        <v>7666060307</v>
      </c>
      <c r="W1075" s="1" t="s">
        <v>273</v>
      </c>
      <c r="X1075" s="1" t="s">
        <v>19111</v>
      </c>
      <c r="Y1075" s="1" t="s">
        <v>191</v>
      </c>
      <c r="Z1075" s="1" t="s">
        <v>92</v>
      </c>
      <c r="AA1075" s="1" t="s">
        <v>19111</v>
      </c>
      <c r="AB1075" s="1" t="s">
        <v>191</v>
      </c>
      <c r="AC1075" s="1" t="s">
        <v>92</v>
      </c>
      <c r="AD1075" s="1">
        <v>8.97</v>
      </c>
      <c r="AE1075" s="1" t="s">
        <v>93</v>
      </c>
      <c r="AF1075" s="1" t="s">
        <v>19112</v>
      </c>
      <c r="AG1075" s="1" t="s">
        <v>19113</v>
      </c>
      <c r="AH1075" s="1" t="s">
        <v>166</v>
      </c>
      <c r="AI1075" s="1" t="s">
        <v>308</v>
      </c>
      <c r="AJ1075" s="1">
        <v>75</v>
      </c>
      <c r="AK1075" s="1">
        <v>0</v>
      </c>
      <c r="AL1075" s="1" t="s">
        <v>19114</v>
      </c>
      <c r="AM1075" s="1" t="s">
        <v>160</v>
      </c>
      <c r="AN1075" s="1" t="s">
        <v>412</v>
      </c>
      <c r="AO1075" s="1" t="s">
        <v>1712</v>
      </c>
      <c r="AP1075" s="1">
        <v>83.83</v>
      </c>
      <c r="AQ1075" s="1">
        <v>0</v>
      </c>
      <c r="AR1075" s="1"/>
      <c r="AS1075" s="1"/>
      <c r="AT1075" s="1"/>
      <c r="AU1075" s="1"/>
      <c r="AV1075" s="1"/>
      <c r="AW1075" s="1"/>
      <c r="AX1075" s="1" t="s">
        <v>361</v>
      </c>
      <c r="AY1075" s="1" t="s">
        <v>19115</v>
      </c>
      <c r="AZ1075" s="1" t="s">
        <v>897</v>
      </c>
      <c r="BA1075" s="1" t="s">
        <v>1584</v>
      </c>
      <c r="BB1075" s="1">
        <v>71</v>
      </c>
      <c r="BC1075" s="1">
        <v>7.85</v>
      </c>
      <c r="BD1075" s="1"/>
      <c r="BE1075" s="1"/>
      <c r="BF1075" s="1"/>
      <c r="BG1075" s="1"/>
      <c r="BH1075" s="1"/>
      <c r="BI1075" s="1"/>
      <c r="BJ1075" s="1" t="s">
        <v>19116</v>
      </c>
      <c r="BK1075" s="1"/>
      <c r="BL1075" s="1"/>
      <c r="BM1075" s="1" t="s">
        <v>19117</v>
      </c>
      <c r="BN1075" s="1">
        <v>7</v>
      </c>
      <c r="BO1075" s="1" t="s">
        <v>19118</v>
      </c>
      <c r="BP1075" s="1" t="str">
        <f>HYPERLINK("https://nconnect.nicmar.ac.in/storage/profile/ProfilePhoto_P25701003_852167.jpg","Download")</f>
        <v>0</v>
      </c>
      <c r="BQ1075" s="3"/>
      <c r="BR1075" s="3"/>
    </row>
    <row r="1076" spans="1:70">
      <c r="A1076" s="1" t="s">
        <v>1563</v>
      </c>
      <c r="B1076" s="1" t="s">
        <v>1269</v>
      </c>
      <c r="C1076" s="1" t="s">
        <v>19119</v>
      </c>
      <c r="D1076" s="1" t="s">
        <v>19120</v>
      </c>
      <c r="E1076" s="1"/>
      <c r="F1076" s="1" t="s">
        <v>19121</v>
      </c>
      <c r="G1076" s="1" t="s">
        <v>19122</v>
      </c>
      <c r="H1076" s="1" t="s">
        <v>19123</v>
      </c>
      <c r="I1076" s="1" t="s">
        <v>19124</v>
      </c>
      <c r="J1076" s="1">
        <v>9035847995</v>
      </c>
      <c r="K1076" s="1" t="s">
        <v>79</v>
      </c>
      <c r="L1076" s="1" t="s">
        <v>19125</v>
      </c>
      <c r="M1076" s="1" t="s">
        <v>81</v>
      </c>
      <c r="N1076" s="1" t="s">
        <v>11597</v>
      </c>
      <c r="O1076" s="1"/>
      <c r="P1076" s="1" t="s">
        <v>1278</v>
      </c>
      <c r="Q1076" s="1" t="s">
        <v>19126</v>
      </c>
      <c r="R1076" s="1" t="s">
        <v>19127</v>
      </c>
      <c r="S1076" s="1">
        <v>9986833143</v>
      </c>
      <c r="T1076" s="1" t="s">
        <v>19128</v>
      </c>
      <c r="U1076" s="1" t="s">
        <v>19129</v>
      </c>
      <c r="V1076" s="1">
        <v>9986093146</v>
      </c>
      <c r="W1076" s="1" t="s">
        <v>89</v>
      </c>
      <c r="X1076" s="1" t="s">
        <v>19130</v>
      </c>
      <c r="Y1076" s="1" t="s">
        <v>1083</v>
      </c>
      <c r="Z1076" s="1" t="s">
        <v>1084</v>
      </c>
      <c r="AA1076" s="1" t="s">
        <v>19130</v>
      </c>
      <c r="AB1076" s="1" t="s">
        <v>1083</v>
      </c>
      <c r="AC1076" s="1" t="s">
        <v>1084</v>
      </c>
      <c r="AD1076" s="1">
        <v>7.95</v>
      </c>
      <c r="AE1076" s="1" t="s">
        <v>93</v>
      </c>
      <c r="AF1076" s="1" t="s">
        <v>19131</v>
      </c>
      <c r="AG1076" s="1" t="s">
        <v>19132</v>
      </c>
      <c r="AH1076" s="1" t="s">
        <v>195</v>
      </c>
      <c r="AI1076" s="1" t="s">
        <v>166</v>
      </c>
      <c r="AJ1076" s="1">
        <v>70.5</v>
      </c>
      <c r="AK1076" s="1"/>
      <c r="AL1076" s="1" t="s">
        <v>5539</v>
      </c>
      <c r="AM1076" s="1" t="s">
        <v>14278</v>
      </c>
      <c r="AN1076" s="1" t="s">
        <v>409</v>
      </c>
      <c r="AO1076" s="1" t="s">
        <v>173</v>
      </c>
      <c r="AP1076" s="1">
        <v>63.33</v>
      </c>
      <c r="AQ1076" s="1"/>
      <c r="AR1076" s="1"/>
      <c r="AS1076" s="1"/>
      <c r="AT1076" s="1"/>
      <c r="AU1076" s="1"/>
      <c r="AV1076" s="1"/>
      <c r="AW1076" s="1"/>
      <c r="AX1076" s="1" t="s">
        <v>1088</v>
      </c>
      <c r="AY1076" s="1" t="s">
        <v>19133</v>
      </c>
      <c r="AZ1076" s="1" t="s">
        <v>170</v>
      </c>
      <c r="BA1076" s="1" t="s">
        <v>202</v>
      </c>
      <c r="BB1076" s="1">
        <v>65.2</v>
      </c>
      <c r="BC1076" s="1">
        <v>7.27</v>
      </c>
      <c r="BD1076" s="1"/>
      <c r="BE1076" s="1"/>
      <c r="BF1076" s="1"/>
      <c r="BG1076" s="1"/>
      <c r="BH1076" s="1"/>
      <c r="BI1076" s="1"/>
      <c r="BJ1076" s="1" t="s">
        <v>19134</v>
      </c>
      <c r="BK1076" s="1"/>
      <c r="BL1076" s="1"/>
      <c r="BM1076" s="1" t="s">
        <v>19135</v>
      </c>
      <c r="BN1076" s="1">
        <v>17</v>
      </c>
      <c r="BO1076" s="1"/>
      <c r="BP1076" s="1" t="str">
        <f>HYPERLINK("https://nconnect.nicmar.ac.in/storage/profile/ProfilePhoto_P25701004_384192.jpg","Download")</f>
        <v>0</v>
      </c>
      <c r="BQ1076" s="3"/>
      <c r="BR1076" s="3"/>
    </row>
    <row r="1077" spans="1:70">
      <c r="A1077" s="1" t="s">
        <v>1563</v>
      </c>
      <c r="B1077" s="1" t="s">
        <v>1269</v>
      </c>
      <c r="C1077" s="1" t="s">
        <v>19136</v>
      </c>
      <c r="D1077" s="1" t="s">
        <v>19137</v>
      </c>
      <c r="E1077" s="1"/>
      <c r="F1077" s="1" t="s">
        <v>19138</v>
      </c>
      <c r="G1077" s="1" t="s">
        <v>19139</v>
      </c>
      <c r="H1077" s="1" t="s">
        <v>19140</v>
      </c>
      <c r="I1077" s="1" t="s">
        <v>19141</v>
      </c>
      <c r="J1077" s="1">
        <v>9840917479</v>
      </c>
      <c r="K1077" s="1" t="s">
        <v>148</v>
      </c>
      <c r="L1077" s="1" t="s">
        <v>19142</v>
      </c>
      <c r="M1077" s="1" t="s">
        <v>81</v>
      </c>
      <c r="N1077" s="1" t="s">
        <v>19143</v>
      </c>
      <c r="O1077" s="1"/>
      <c r="P1077" s="1" t="s">
        <v>1298</v>
      </c>
      <c r="Q1077" s="1" t="s">
        <v>19144</v>
      </c>
      <c r="R1077" s="1" t="s">
        <v>19145</v>
      </c>
      <c r="S1077" s="1">
        <v>9894334005</v>
      </c>
      <c r="T1077" s="1" t="s">
        <v>19146</v>
      </c>
      <c r="U1077" s="1" t="s">
        <v>19147</v>
      </c>
      <c r="V1077" s="1">
        <v>9944434003</v>
      </c>
      <c r="W1077" s="1" t="s">
        <v>651</v>
      </c>
      <c r="X1077" s="1" t="s">
        <v>19148</v>
      </c>
      <c r="Y1077" s="1" t="s">
        <v>19149</v>
      </c>
      <c r="Z1077" s="1" t="s">
        <v>1377</v>
      </c>
      <c r="AA1077" s="1" t="s">
        <v>19148</v>
      </c>
      <c r="AB1077" s="1" t="s">
        <v>19149</v>
      </c>
      <c r="AC1077" s="1" t="s">
        <v>1377</v>
      </c>
      <c r="AD1077" s="1">
        <v>9.53</v>
      </c>
      <c r="AE1077" s="1" t="s">
        <v>93</v>
      </c>
      <c r="AF1077" s="1" t="s">
        <v>19150</v>
      </c>
      <c r="AG1077" s="1" t="s">
        <v>19151</v>
      </c>
      <c r="AH1077" s="1" t="s">
        <v>162</v>
      </c>
      <c r="AI1077" s="1" t="s">
        <v>479</v>
      </c>
      <c r="AJ1077" s="1">
        <v>81</v>
      </c>
      <c r="AK1077" s="1"/>
      <c r="AL1077" s="1" t="s">
        <v>19150</v>
      </c>
      <c r="AM1077" s="1" t="s">
        <v>19152</v>
      </c>
      <c r="AN1077" s="1" t="s">
        <v>101</v>
      </c>
      <c r="AO1077" s="1" t="s">
        <v>308</v>
      </c>
      <c r="AP1077" s="1">
        <v>82.4</v>
      </c>
      <c r="AQ1077" s="1"/>
      <c r="AR1077" s="1"/>
      <c r="AS1077" s="1"/>
      <c r="AT1077" s="1"/>
      <c r="AU1077" s="1"/>
      <c r="AV1077" s="1"/>
      <c r="AW1077" s="1"/>
      <c r="AX1077" s="1" t="s">
        <v>19153</v>
      </c>
      <c r="AY1077" s="1" t="s">
        <v>19154</v>
      </c>
      <c r="AZ1077" s="1" t="s">
        <v>201</v>
      </c>
      <c r="BA1077" s="1" t="s">
        <v>202</v>
      </c>
      <c r="BB1077" s="1">
        <v>89.2</v>
      </c>
      <c r="BC1077" s="1">
        <v>8.92</v>
      </c>
      <c r="BD1077" s="1"/>
      <c r="BE1077" s="1"/>
      <c r="BF1077" s="1"/>
      <c r="BG1077" s="1"/>
      <c r="BH1077" s="1"/>
      <c r="BI1077" s="1"/>
      <c r="BJ1077" s="1" t="s">
        <v>19155</v>
      </c>
      <c r="BK1077" s="1"/>
      <c r="BL1077" s="1"/>
      <c r="BM1077" s="1" t="s">
        <v>19156</v>
      </c>
      <c r="BN1077" s="1">
        <v>25</v>
      </c>
      <c r="BO1077" s="1" t="s">
        <v>19157</v>
      </c>
      <c r="BP1077" s="1" t="str">
        <f>HYPERLINK("https://nconnect.nicmar.ac.in/storage/profile/ProfilePhoto_P25701005_496138.jpg","Download")</f>
        <v>0</v>
      </c>
      <c r="BQ1077" s="3"/>
      <c r="BR1077" s="3"/>
    </row>
    <row r="1078" spans="1:70">
      <c r="A1078" s="1" t="s">
        <v>1563</v>
      </c>
      <c r="B1078" s="1" t="s">
        <v>1269</v>
      </c>
      <c r="C1078" s="1" t="s">
        <v>19158</v>
      </c>
      <c r="D1078" s="1" t="s">
        <v>533</v>
      </c>
      <c r="E1078" s="1" t="s">
        <v>513</v>
      </c>
      <c r="F1078" s="1" t="s">
        <v>18219</v>
      </c>
      <c r="G1078" s="1" t="s">
        <v>19159</v>
      </c>
      <c r="H1078" s="1" t="s">
        <v>19160</v>
      </c>
      <c r="I1078" s="1" t="s">
        <v>19161</v>
      </c>
      <c r="J1078" s="1">
        <v>9834614044</v>
      </c>
      <c r="K1078" s="1" t="s">
        <v>79</v>
      </c>
      <c r="L1078" s="1" t="s">
        <v>19162</v>
      </c>
      <c r="M1078" s="1" t="s">
        <v>81</v>
      </c>
      <c r="N1078" s="1" t="s">
        <v>1418</v>
      </c>
      <c r="O1078" s="1"/>
      <c r="P1078" s="1" t="s">
        <v>1298</v>
      </c>
      <c r="Q1078" s="1" t="s">
        <v>19163</v>
      </c>
      <c r="R1078" s="1" t="s">
        <v>513</v>
      </c>
      <c r="S1078" s="1">
        <v>8308522030</v>
      </c>
      <c r="T1078" s="1" t="s">
        <v>120</v>
      </c>
      <c r="U1078" s="1" t="s">
        <v>217</v>
      </c>
      <c r="V1078" s="1">
        <v>8308522030</v>
      </c>
      <c r="W1078" s="1" t="s">
        <v>156</v>
      </c>
      <c r="X1078" s="1" t="s">
        <v>19164</v>
      </c>
      <c r="Y1078" s="1"/>
      <c r="Z1078" s="1" t="s">
        <v>92</v>
      </c>
      <c r="AA1078" s="1" t="s">
        <v>19164</v>
      </c>
      <c r="AB1078" s="1"/>
      <c r="AC1078" s="1" t="s">
        <v>92</v>
      </c>
      <c r="AD1078" s="1">
        <v>8.11</v>
      </c>
      <c r="AE1078" s="1" t="s">
        <v>93</v>
      </c>
      <c r="AF1078" s="1" t="s">
        <v>19165</v>
      </c>
      <c r="AG1078" s="1" t="s">
        <v>19166</v>
      </c>
      <c r="AH1078" s="1" t="s">
        <v>162</v>
      </c>
      <c r="AI1078" s="1" t="s">
        <v>195</v>
      </c>
      <c r="AJ1078" s="1">
        <v>68.2</v>
      </c>
      <c r="AK1078" s="1"/>
      <c r="AL1078" s="1" t="s">
        <v>19167</v>
      </c>
      <c r="AM1078" s="1" t="s">
        <v>19168</v>
      </c>
      <c r="AN1078" s="1" t="s">
        <v>383</v>
      </c>
      <c r="AO1078" s="1" t="s">
        <v>308</v>
      </c>
      <c r="AP1078" s="1">
        <v>63.08</v>
      </c>
      <c r="AQ1078" s="1"/>
      <c r="AR1078" s="1" t="s">
        <v>434</v>
      </c>
      <c r="AS1078" s="1" t="s">
        <v>19169</v>
      </c>
      <c r="AT1078" s="1" t="s">
        <v>310</v>
      </c>
      <c r="AU1078" s="1" t="s">
        <v>1051</v>
      </c>
      <c r="AV1078" s="1">
        <v>88.95</v>
      </c>
      <c r="AW1078" s="1"/>
      <c r="AX1078" s="1" t="s">
        <v>19170</v>
      </c>
      <c r="AY1078" s="1" t="s">
        <v>19170</v>
      </c>
      <c r="AZ1078" s="1" t="s">
        <v>436</v>
      </c>
      <c r="BA1078" s="1" t="s">
        <v>202</v>
      </c>
      <c r="BB1078" s="1">
        <v>86.7</v>
      </c>
      <c r="BC1078" s="1">
        <v>9.42</v>
      </c>
      <c r="BD1078" s="1"/>
      <c r="BE1078" s="1"/>
      <c r="BF1078" s="1"/>
      <c r="BG1078" s="1"/>
      <c r="BH1078" s="1"/>
      <c r="BI1078" s="1"/>
      <c r="BJ1078" s="1" t="s">
        <v>19171</v>
      </c>
      <c r="BK1078" s="1" t="s">
        <v>19172</v>
      </c>
      <c r="BL1078" s="1" t="s">
        <v>2888</v>
      </c>
      <c r="BM1078" s="1" t="s">
        <v>19173</v>
      </c>
      <c r="BN1078" s="1">
        <v>23</v>
      </c>
      <c r="BO1078" s="1"/>
      <c r="BP1078" s="1" t="str">
        <f>HYPERLINK("https://nconnect.nicmar.ac.in/storage/profile/ProfilePhoto_P25701007_349827.jpg","Download")</f>
        <v>0</v>
      </c>
      <c r="BQ1078" s="3"/>
      <c r="BR1078" s="3"/>
    </row>
    <row r="1079" spans="1:70">
      <c r="A1079" s="1" t="s">
        <v>1563</v>
      </c>
      <c r="B1079" s="1" t="s">
        <v>1269</v>
      </c>
      <c r="C1079" s="1" t="s">
        <v>19174</v>
      </c>
      <c r="D1079" s="1" t="s">
        <v>19175</v>
      </c>
      <c r="E1079" s="1" t="s">
        <v>12202</v>
      </c>
      <c r="F1079" s="1" t="s">
        <v>16979</v>
      </c>
      <c r="G1079" s="1" t="s">
        <v>19176</v>
      </c>
      <c r="H1079" s="1" t="s">
        <v>19177</v>
      </c>
      <c r="I1079" s="1" t="s">
        <v>19178</v>
      </c>
      <c r="J1079" s="1">
        <v>9920066672</v>
      </c>
      <c r="K1079" s="1" t="s">
        <v>79</v>
      </c>
      <c r="L1079" s="1" t="s">
        <v>10041</v>
      </c>
      <c r="M1079" s="1" t="s">
        <v>81</v>
      </c>
      <c r="N1079" s="1" t="s">
        <v>2008</v>
      </c>
      <c r="O1079" s="1"/>
      <c r="P1079" s="1" t="s">
        <v>1323</v>
      </c>
      <c r="Q1079" s="1" t="s">
        <v>19179</v>
      </c>
      <c r="R1079" s="1" t="s">
        <v>19180</v>
      </c>
      <c r="S1079" s="1">
        <v>9867336930</v>
      </c>
      <c r="T1079" s="1" t="s">
        <v>3190</v>
      </c>
      <c r="U1079" s="1" t="s">
        <v>19181</v>
      </c>
      <c r="V1079" s="1">
        <v>9967361509</v>
      </c>
      <c r="W1079" s="1" t="s">
        <v>19182</v>
      </c>
      <c r="X1079" s="1" t="s">
        <v>19183</v>
      </c>
      <c r="Y1079" s="1" t="s">
        <v>1623</v>
      </c>
      <c r="Z1079" s="1" t="s">
        <v>92</v>
      </c>
      <c r="AA1079" s="1" t="s">
        <v>19183</v>
      </c>
      <c r="AB1079" s="1" t="s">
        <v>1623</v>
      </c>
      <c r="AC1079" s="1" t="s">
        <v>92</v>
      </c>
      <c r="AD1079" s="1">
        <v>9.4</v>
      </c>
      <c r="AE1079" s="1" t="s">
        <v>93</v>
      </c>
      <c r="AF1079" s="1" t="s">
        <v>19184</v>
      </c>
      <c r="AG1079" s="1" t="s">
        <v>1152</v>
      </c>
      <c r="AH1079" s="1" t="s">
        <v>503</v>
      </c>
      <c r="AI1079" s="1" t="s">
        <v>527</v>
      </c>
      <c r="AJ1079" s="1">
        <v>93.5</v>
      </c>
      <c r="AK1079" s="1">
        <v>0</v>
      </c>
      <c r="AL1079" s="1" t="s">
        <v>19185</v>
      </c>
      <c r="AM1079" s="1" t="s">
        <v>160</v>
      </c>
      <c r="AN1079" s="1" t="s">
        <v>165</v>
      </c>
      <c r="AO1079" s="1" t="s">
        <v>457</v>
      </c>
      <c r="AP1079" s="1">
        <v>76.46</v>
      </c>
      <c r="AQ1079" s="1">
        <v>0</v>
      </c>
      <c r="AR1079" s="1"/>
      <c r="AS1079" s="1"/>
      <c r="AT1079" s="1"/>
      <c r="AU1079" s="1"/>
      <c r="AV1079" s="1"/>
      <c r="AW1079" s="1"/>
      <c r="AX1079" s="1" t="s">
        <v>253</v>
      </c>
      <c r="AY1079" s="1" t="s">
        <v>19186</v>
      </c>
      <c r="AZ1079" s="1" t="s">
        <v>636</v>
      </c>
      <c r="BA1079" s="1" t="s">
        <v>229</v>
      </c>
      <c r="BB1079" s="1">
        <v>76.23</v>
      </c>
      <c r="BC1079" s="1">
        <v>8.68</v>
      </c>
      <c r="BD1079" s="1"/>
      <c r="BE1079" s="1"/>
      <c r="BF1079" s="1"/>
      <c r="BG1079" s="1"/>
      <c r="BH1079" s="1"/>
      <c r="BI1079" s="1"/>
      <c r="BJ1079" s="1" t="s">
        <v>19187</v>
      </c>
      <c r="BK1079" s="1" t="s">
        <v>19188</v>
      </c>
      <c r="BL1079" s="1" t="s">
        <v>1385</v>
      </c>
      <c r="BM1079" s="1" t="s">
        <v>19189</v>
      </c>
      <c r="BN1079" s="1">
        <v>28</v>
      </c>
      <c r="BO1079" s="1" t="s">
        <v>19190</v>
      </c>
      <c r="BP1079" s="1" t="str">
        <f>HYPERLINK("https://nconnect.nicmar.ac.in/storage/profile/ProfilePhoto_P25701008_873691.jpg","Download")</f>
        <v>0</v>
      </c>
      <c r="BQ1079" s="3"/>
      <c r="BR1079" s="3"/>
    </row>
    <row r="1080" spans="1:70">
      <c r="A1080" s="1" t="s">
        <v>1563</v>
      </c>
      <c r="B1080" s="1" t="s">
        <v>1269</v>
      </c>
      <c r="C1080" s="1" t="s">
        <v>19191</v>
      </c>
      <c r="D1080" s="1" t="s">
        <v>11628</v>
      </c>
      <c r="E1080" s="1" t="s">
        <v>19192</v>
      </c>
      <c r="F1080" s="1" t="s">
        <v>19193</v>
      </c>
      <c r="G1080" s="1" t="s">
        <v>19194</v>
      </c>
      <c r="H1080" s="1" t="s">
        <v>19195</v>
      </c>
      <c r="I1080" s="1" t="s">
        <v>19196</v>
      </c>
      <c r="J1080" s="1">
        <v>9158000887</v>
      </c>
      <c r="K1080" s="1" t="s">
        <v>79</v>
      </c>
      <c r="L1080" s="1" t="s">
        <v>19197</v>
      </c>
      <c r="M1080" s="1" t="s">
        <v>81</v>
      </c>
      <c r="N1080" s="1" t="s">
        <v>1418</v>
      </c>
      <c r="O1080" s="1"/>
      <c r="P1080" s="1" t="s">
        <v>1323</v>
      </c>
      <c r="Q1080" s="1" t="s">
        <v>19198</v>
      </c>
      <c r="R1080" s="1" t="s">
        <v>19199</v>
      </c>
      <c r="S1080" s="1">
        <v>9823050152</v>
      </c>
      <c r="T1080" s="1" t="s">
        <v>842</v>
      </c>
      <c r="U1080" s="1" t="s">
        <v>19200</v>
      </c>
      <c r="V1080" s="1">
        <v>9673961431</v>
      </c>
      <c r="W1080" s="1" t="s">
        <v>19201</v>
      </c>
      <c r="X1080" s="1" t="s">
        <v>19202</v>
      </c>
      <c r="Y1080" s="1" t="s">
        <v>91</v>
      </c>
      <c r="Z1080" s="1" t="s">
        <v>92</v>
      </c>
      <c r="AA1080" s="1" t="s">
        <v>19202</v>
      </c>
      <c r="AB1080" s="1" t="s">
        <v>91</v>
      </c>
      <c r="AC1080" s="1" t="s">
        <v>92</v>
      </c>
      <c r="AD1080" s="1">
        <v>8.67</v>
      </c>
      <c r="AE1080" s="1" t="s">
        <v>93</v>
      </c>
      <c r="AF1080" s="1" t="s">
        <v>19203</v>
      </c>
      <c r="AG1080" s="1" t="s">
        <v>19204</v>
      </c>
      <c r="AH1080" s="1" t="s">
        <v>503</v>
      </c>
      <c r="AI1080" s="1" t="s">
        <v>456</v>
      </c>
      <c r="AJ1080" s="1">
        <v>95</v>
      </c>
      <c r="AK1080" s="1">
        <v>10</v>
      </c>
      <c r="AL1080" s="1" t="s">
        <v>19203</v>
      </c>
      <c r="AM1080" s="1" t="s">
        <v>19204</v>
      </c>
      <c r="AN1080" s="1" t="s">
        <v>162</v>
      </c>
      <c r="AO1080" s="1" t="s">
        <v>166</v>
      </c>
      <c r="AP1080" s="1">
        <v>81.2</v>
      </c>
      <c r="AQ1080" s="1"/>
      <c r="AR1080" s="1"/>
      <c r="AS1080" s="1"/>
      <c r="AT1080" s="1"/>
      <c r="AU1080" s="1"/>
      <c r="AV1080" s="1"/>
      <c r="AW1080" s="1"/>
      <c r="AX1080" s="1" t="s">
        <v>361</v>
      </c>
      <c r="AY1080" s="1" t="s">
        <v>19205</v>
      </c>
      <c r="AZ1080" s="1" t="s">
        <v>169</v>
      </c>
      <c r="BA1080" s="1" t="s">
        <v>174</v>
      </c>
      <c r="BB1080" s="1">
        <v>69.5</v>
      </c>
      <c r="BC1080" s="1">
        <v>8.94</v>
      </c>
      <c r="BD1080" s="1"/>
      <c r="BE1080" s="1"/>
      <c r="BF1080" s="1"/>
      <c r="BG1080" s="1"/>
      <c r="BH1080" s="1"/>
      <c r="BI1080" s="1"/>
      <c r="BJ1080" s="1" t="s">
        <v>19206</v>
      </c>
      <c r="BK1080" s="1" t="s">
        <v>19207</v>
      </c>
      <c r="BL1080" s="1" t="s">
        <v>2019</v>
      </c>
      <c r="BM1080" s="1" t="s">
        <v>19208</v>
      </c>
      <c r="BN1080" s="1">
        <v>25</v>
      </c>
      <c r="BO1080" s="1"/>
      <c r="BP1080" s="1" t="str">
        <f>HYPERLINK("https://nconnect.nicmar.ac.in/storage/profile/ProfilePhoto_P25701009_968471.jpg","Download")</f>
        <v>0</v>
      </c>
      <c r="BQ1080" s="3"/>
      <c r="BR1080" s="3"/>
    </row>
    <row r="1081" spans="1:70">
      <c r="A1081" s="1" t="s">
        <v>1563</v>
      </c>
      <c r="B1081" s="1" t="s">
        <v>1269</v>
      </c>
      <c r="C1081" s="1" t="s">
        <v>19209</v>
      </c>
      <c r="D1081" s="1" t="s">
        <v>13437</v>
      </c>
      <c r="E1081" s="1"/>
      <c r="F1081" s="1" t="s">
        <v>9666</v>
      </c>
      <c r="G1081" s="1" t="s">
        <v>19210</v>
      </c>
      <c r="H1081" s="1" t="s">
        <v>19211</v>
      </c>
      <c r="I1081" s="1" t="s">
        <v>19212</v>
      </c>
      <c r="J1081" s="1">
        <v>8619291499</v>
      </c>
      <c r="K1081" s="1" t="s">
        <v>79</v>
      </c>
      <c r="L1081" s="1" t="s">
        <v>9153</v>
      </c>
      <c r="M1081" s="1" t="s">
        <v>81</v>
      </c>
      <c r="N1081" s="1" t="s">
        <v>19213</v>
      </c>
      <c r="O1081" s="1"/>
      <c r="P1081" s="1" t="s">
        <v>1323</v>
      </c>
      <c r="Q1081" s="1" t="s">
        <v>19214</v>
      </c>
      <c r="R1081" s="1" t="s">
        <v>19215</v>
      </c>
      <c r="S1081" s="1">
        <v>9414165470</v>
      </c>
      <c r="T1081" s="1" t="s">
        <v>19216</v>
      </c>
      <c r="U1081" s="1" t="s">
        <v>19217</v>
      </c>
      <c r="V1081" s="1">
        <v>6378256693</v>
      </c>
      <c r="W1081" s="1" t="s">
        <v>156</v>
      </c>
      <c r="X1081" s="1" t="s">
        <v>19218</v>
      </c>
      <c r="Y1081" s="1" t="s">
        <v>19219</v>
      </c>
      <c r="Z1081" s="1" t="s">
        <v>867</v>
      </c>
      <c r="AA1081" s="1" t="s">
        <v>19218</v>
      </c>
      <c r="AB1081" s="1" t="s">
        <v>19219</v>
      </c>
      <c r="AC1081" s="1" t="s">
        <v>867</v>
      </c>
      <c r="AD1081" s="1">
        <v>8.57</v>
      </c>
      <c r="AE1081" s="1" t="s">
        <v>93</v>
      </c>
      <c r="AF1081" s="1" t="s">
        <v>19220</v>
      </c>
      <c r="AG1081" s="1" t="s">
        <v>19221</v>
      </c>
      <c r="AH1081" s="1" t="s">
        <v>1197</v>
      </c>
      <c r="AI1081" s="1" t="s">
        <v>131</v>
      </c>
      <c r="AJ1081" s="1">
        <v>76</v>
      </c>
      <c r="AK1081" s="1">
        <v>8</v>
      </c>
      <c r="AL1081" s="1" t="s">
        <v>19222</v>
      </c>
      <c r="AM1081" s="1" t="s">
        <v>19221</v>
      </c>
      <c r="AN1081" s="1" t="s">
        <v>527</v>
      </c>
      <c r="AO1081" s="1" t="s">
        <v>479</v>
      </c>
      <c r="AP1081" s="1">
        <v>69</v>
      </c>
      <c r="AQ1081" s="1">
        <v>0</v>
      </c>
      <c r="AR1081" s="1"/>
      <c r="AS1081" s="1"/>
      <c r="AT1081" s="1"/>
      <c r="AU1081" s="1"/>
      <c r="AV1081" s="1"/>
      <c r="AW1081" s="1"/>
      <c r="AX1081" s="1" t="s">
        <v>19223</v>
      </c>
      <c r="AY1081" s="1" t="s">
        <v>19224</v>
      </c>
      <c r="AZ1081" s="1" t="s">
        <v>636</v>
      </c>
      <c r="BA1081" s="1" t="s">
        <v>682</v>
      </c>
      <c r="BB1081" s="1">
        <v>75.2</v>
      </c>
      <c r="BC1081" s="1">
        <v>0</v>
      </c>
      <c r="BD1081" s="1"/>
      <c r="BE1081" s="1"/>
      <c r="BF1081" s="1"/>
      <c r="BG1081" s="1"/>
      <c r="BH1081" s="1"/>
      <c r="BI1081" s="1"/>
      <c r="BJ1081" s="1" t="s">
        <v>19225</v>
      </c>
      <c r="BK1081" s="1" t="s">
        <v>19226</v>
      </c>
      <c r="BL1081" s="1" t="s">
        <v>1385</v>
      </c>
      <c r="BM1081" s="1" t="s">
        <v>19227</v>
      </c>
      <c r="BN1081" s="1">
        <v>33</v>
      </c>
      <c r="BO1081" s="1" t="s">
        <v>19228</v>
      </c>
      <c r="BP1081" s="1" t="str">
        <f>HYPERLINK("https://nconnect.nicmar.ac.in/storage/profile/ProfilePhoto_P25701010_479156.jpg","Download")</f>
        <v>0</v>
      </c>
      <c r="BQ1081" s="3"/>
      <c r="BR1081" s="3"/>
    </row>
    <row r="1082" spans="1:70">
      <c r="A1082" s="1" t="s">
        <v>1563</v>
      </c>
      <c r="B1082" s="1" t="s">
        <v>1269</v>
      </c>
      <c r="C1082" s="1" t="s">
        <v>19229</v>
      </c>
      <c r="D1082" s="1" t="s">
        <v>19230</v>
      </c>
      <c r="E1082" s="1" t="s">
        <v>1566</v>
      </c>
      <c r="F1082" s="1" t="s">
        <v>7321</v>
      </c>
      <c r="G1082" s="1" t="s">
        <v>19231</v>
      </c>
      <c r="H1082" s="1" t="s">
        <v>19232</v>
      </c>
      <c r="I1082" s="1" t="s">
        <v>19233</v>
      </c>
      <c r="J1082" s="1">
        <v>9730539631</v>
      </c>
      <c r="K1082" s="1" t="s">
        <v>79</v>
      </c>
      <c r="L1082" s="1" t="s">
        <v>19234</v>
      </c>
      <c r="M1082" s="1" t="s">
        <v>81</v>
      </c>
      <c r="N1082" s="1" t="s">
        <v>19235</v>
      </c>
      <c r="O1082" s="1"/>
      <c r="P1082" s="1" t="s">
        <v>1323</v>
      </c>
      <c r="Q1082" s="1" t="s">
        <v>19236</v>
      </c>
      <c r="R1082" s="1" t="s">
        <v>19237</v>
      </c>
      <c r="S1082" s="1">
        <v>9423419085</v>
      </c>
      <c r="T1082" s="1" t="s">
        <v>496</v>
      </c>
      <c r="U1082" s="1" t="s">
        <v>19238</v>
      </c>
      <c r="V1082" s="1">
        <v>9420284897</v>
      </c>
      <c r="W1082" s="1" t="s">
        <v>273</v>
      </c>
      <c r="X1082" s="1" t="s">
        <v>19239</v>
      </c>
      <c r="Y1082" s="1" t="s">
        <v>1424</v>
      </c>
      <c r="Z1082" s="1" t="s">
        <v>92</v>
      </c>
      <c r="AA1082" s="1" t="s">
        <v>19239</v>
      </c>
      <c r="AB1082" s="1" t="s">
        <v>1424</v>
      </c>
      <c r="AC1082" s="1" t="s">
        <v>92</v>
      </c>
      <c r="AD1082" s="1">
        <v>8.67</v>
      </c>
      <c r="AE1082" s="1" t="s">
        <v>93</v>
      </c>
      <c r="AF1082" s="1" t="s">
        <v>19240</v>
      </c>
      <c r="AG1082" s="1" t="s">
        <v>11798</v>
      </c>
      <c r="AH1082" s="1" t="s">
        <v>161</v>
      </c>
      <c r="AI1082" s="1" t="s">
        <v>279</v>
      </c>
      <c r="AJ1082" s="1">
        <v>74.8</v>
      </c>
      <c r="AK1082" s="1"/>
      <c r="AL1082" s="1"/>
      <c r="AM1082" s="1"/>
      <c r="AN1082" s="1"/>
      <c r="AO1082" s="1"/>
      <c r="AP1082" s="1"/>
      <c r="AQ1082" s="1"/>
      <c r="AR1082" s="1" t="s">
        <v>5386</v>
      </c>
      <c r="AS1082" s="1" t="s">
        <v>19241</v>
      </c>
      <c r="AT1082" s="1" t="s">
        <v>134</v>
      </c>
      <c r="AU1082" s="1" t="s">
        <v>310</v>
      </c>
      <c r="AV1082" s="1">
        <v>78.4</v>
      </c>
      <c r="AW1082" s="1"/>
      <c r="AX1082" s="1" t="s">
        <v>361</v>
      </c>
      <c r="AY1082" s="1" t="s">
        <v>19242</v>
      </c>
      <c r="AZ1082" s="1" t="s">
        <v>201</v>
      </c>
      <c r="BA1082" s="1" t="s">
        <v>105</v>
      </c>
      <c r="BB1082" s="1">
        <v>83.69</v>
      </c>
      <c r="BC1082" s="1">
        <v>8.81</v>
      </c>
      <c r="BD1082" s="1"/>
      <c r="BE1082" s="1"/>
      <c r="BF1082" s="1"/>
      <c r="BG1082" s="1"/>
      <c r="BH1082" s="1"/>
      <c r="BI1082" s="1"/>
      <c r="BJ1082" s="1" t="s">
        <v>1383</v>
      </c>
      <c r="BK1082" s="1"/>
      <c r="BL1082" s="1"/>
      <c r="BM1082" s="1" t="s">
        <v>19243</v>
      </c>
      <c r="BN1082" s="1">
        <v>162</v>
      </c>
      <c r="BO1082" s="1" t="s">
        <v>19244</v>
      </c>
      <c r="BP1082" s="1" t="str">
        <f>HYPERLINK("https://nconnect.nicmar.ac.in/storage/profile/ProfilePhoto_P25701011_932476.jpg","Download")</f>
        <v>0</v>
      </c>
      <c r="BQ1082" s="3"/>
      <c r="BR1082" s="3"/>
    </row>
    <row r="1083" spans="1:70">
      <c r="A1083" s="1" t="s">
        <v>1563</v>
      </c>
      <c r="B1083" s="1" t="s">
        <v>1269</v>
      </c>
      <c r="C1083" s="1" t="s">
        <v>19245</v>
      </c>
      <c r="D1083" s="1" t="s">
        <v>19246</v>
      </c>
      <c r="E1083" s="1" t="s">
        <v>4015</v>
      </c>
      <c r="F1083" s="1" t="s">
        <v>2024</v>
      </c>
      <c r="G1083" s="1" t="s">
        <v>19247</v>
      </c>
      <c r="H1083" s="1" t="s">
        <v>19248</v>
      </c>
      <c r="I1083" s="1" t="s">
        <v>19249</v>
      </c>
      <c r="J1083" s="1">
        <v>8600656184</v>
      </c>
      <c r="K1083" s="1" t="s">
        <v>148</v>
      </c>
      <c r="L1083" s="1" t="s">
        <v>19250</v>
      </c>
      <c r="M1083" s="1" t="s">
        <v>81</v>
      </c>
      <c r="N1083" s="1" t="s">
        <v>19251</v>
      </c>
      <c r="O1083" s="1" t="s">
        <v>19252</v>
      </c>
      <c r="P1083" s="1" t="s">
        <v>1298</v>
      </c>
      <c r="Q1083" s="1" t="s">
        <v>19253</v>
      </c>
      <c r="R1083" s="1" t="s">
        <v>19254</v>
      </c>
      <c r="S1083" s="1">
        <v>8275272059</v>
      </c>
      <c r="T1083" s="1" t="s">
        <v>2763</v>
      </c>
      <c r="U1083" s="1" t="s">
        <v>19255</v>
      </c>
      <c r="V1083" s="1">
        <v>8275272057</v>
      </c>
      <c r="W1083" s="1" t="s">
        <v>89</v>
      </c>
      <c r="X1083" s="1" t="s">
        <v>19256</v>
      </c>
      <c r="Y1083" s="1" t="s">
        <v>191</v>
      </c>
      <c r="Z1083" s="1" t="s">
        <v>92</v>
      </c>
      <c r="AA1083" s="1" t="s">
        <v>19257</v>
      </c>
      <c r="AB1083" s="1" t="s">
        <v>2786</v>
      </c>
      <c r="AC1083" s="1" t="s">
        <v>92</v>
      </c>
      <c r="AD1083" s="1">
        <v>8.32</v>
      </c>
      <c r="AE1083" s="1" t="s">
        <v>93</v>
      </c>
      <c r="AF1083" s="1" t="s">
        <v>19258</v>
      </c>
      <c r="AG1083" s="1" t="s">
        <v>160</v>
      </c>
      <c r="AH1083" s="1" t="s">
        <v>655</v>
      </c>
      <c r="AI1083" s="1" t="s">
        <v>97</v>
      </c>
      <c r="AJ1083" s="1">
        <v>83</v>
      </c>
      <c r="AK1083" s="1"/>
      <c r="AL1083" s="1" t="s">
        <v>19259</v>
      </c>
      <c r="AM1083" s="1" t="s">
        <v>160</v>
      </c>
      <c r="AN1083" s="1" t="s">
        <v>337</v>
      </c>
      <c r="AO1083" s="1" t="s">
        <v>195</v>
      </c>
      <c r="AP1083" s="1">
        <v>67.54</v>
      </c>
      <c r="AQ1083" s="1"/>
      <c r="AR1083" s="1"/>
      <c r="AS1083" s="1"/>
      <c r="AT1083" s="1"/>
      <c r="AU1083" s="1"/>
      <c r="AV1083" s="1"/>
      <c r="AW1083" s="1"/>
      <c r="AX1083" s="1" t="s">
        <v>13470</v>
      </c>
      <c r="AY1083" s="1" t="s">
        <v>19260</v>
      </c>
      <c r="AZ1083" s="1" t="s">
        <v>383</v>
      </c>
      <c r="BA1083" s="1" t="s">
        <v>481</v>
      </c>
      <c r="BB1083" s="1">
        <v>75.69</v>
      </c>
      <c r="BC1083" s="1"/>
      <c r="BD1083" s="1"/>
      <c r="BE1083" s="1"/>
      <c r="BF1083" s="1"/>
      <c r="BG1083" s="1"/>
      <c r="BH1083" s="1"/>
      <c r="BI1083" s="1"/>
      <c r="BJ1083" s="1" t="s">
        <v>19261</v>
      </c>
      <c r="BK1083" s="1" t="s">
        <v>19262</v>
      </c>
      <c r="BL1083" s="1" t="s">
        <v>2652</v>
      </c>
      <c r="BM1083" s="1" t="s">
        <v>19263</v>
      </c>
      <c r="BN1083" s="1">
        <v>36</v>
      </c>
      <c r="BO1083" s="1" t="s">
        <v>19264</v>
      </c>
      <c r="BP1083" s="1" t="str">
        <f>HYPERLINK("https://nconnect.nicmar.ac.in/storage/profile/ProfilePhoto_P25701013_148267.jpg","Download")</f>
        <v>0</v>
      </c>
      <c r="BQ1083" s="3"/>
      <c r="BR1083" s="3"/>
    </row>
    <row r="1084" spans="1:70">
      <c r="A1084" s="1" t="s">
        <v>1563</v>
      </c>
      <c r="B1084" s="1" t="s">
        <v>1269</v>
      </c>
      <c r="C1084" s="1" t="s">
        <v>19265</v>
      </c>
      <c r="D1084" s="1" t="s">
        <v>19266</v>
      </c>
      <c r="E1084" s="1"/>
      <c r="F1084" s="1" t="s">
        <v>19267</v>
      </c>
      <c r="G1084" s="1" t="s">
        <v>19268</v>
      </c>
      <c r="H1084" s="1" t="s">
        <v>19269</v>
      </c>
      <c r="I1084" s="1" t="s">
        <v>19270</v>
      </c>
      <c r="J1084" s="1">
        <v>9970758307</v>
      </c>
      <c r="K1084" s="1" t="s">
        <v>79</v>
      </c>
      <c r="L1084" s="1" t="s">
        <v>19271</v>
      </c>
      <c r="M1084" s="1" t="s">
        <v>81</v>
      </c>
      <c r="N1084" s="1" t="s">
        <v>19272</v>
      </c>
      <c r="O1084" s="1"/>
      <c r="P1084" s="1" t="s">
        <v>1278</v>
      </c>
      <c r="Q1084" s="1" t="s">
        <v>19273</v>
      </c>
      <c r="R1084" s="1" t="s">
        <v>19274</v>
      </c>
      <c r="S1084" s="1">
        <v>9850849109</v>
      </c>
      <c r="T1084" s="1" t="s">
        <v>763</v>
      </c>
      <c r="U1084" s="1" t="s">
        <v>19275</v>
      </c>
      <c r="V1084" s="1">
        <v>9921145408</v>
      </c>
      <c r="W1084" s="1" t="s">
        <v>89</v>
      </c>
      <c r="X1084" s="1" t="s">
        <v>19276</v>
      </c>
      <c r="Y1084" s="1" t="s">
        <v>5767</v>
      </c>
      <c r="Z1084" s="1" t="s">
        <v>92</v>
      </c>
      <c r="AA1084" s="1" t="s">
        <v>19277</v>
      </c>
      <c r="AB1084" s="1" t="s">
        <v>11270</v>
      </c>
      <c r="AC1084" s="1" t="s">
        <v>609</v>
      </c>
      <c r="AD1084" s="1">
        <v>8.32</v>
      </c>
      <c r="AE1084" s="1" t="s">
        <v>93</v>
      </c>
      <c r="AF1084" s="1" t="s">
        <v>19278</v>
      </c>
      <c r="AG1084" s="1" t="s">
        <v>19279</v>
      </c>
      <c r="AH1084" s="1" t="s">
        <v>678</v>
      </c>
      <c r="AI1084" s="1" t="s">
        <v>166</v>
      </c>
      <c r="AJ1084" s="1">
        <v>60.4</v>
      </c>
      <c r="AK1084" s="1"/>
      <c r="AL1084" s="1" t="s">
        <v>19280</v>
      </c>
      <c r="AM1084" s="1" t="s">
        <v>19279</v>
      </c>
      <c r="AN1084" s="1" t="s">
        <v>198</v>
      </c>
      <c r="AO1084" s="1" t="s">
        <v>173</v>
      </c>
      <c r="AP1084" s="1">
        <v>69.6</v>
      </c>
      <c r="AQ1084" s="1"/>
      <c r="AR1084" s="1"/>
      <c r="AS1084" s="1"/>
      <c r="AT1084" s="1"/>
      <c r="AU1084" s="1"/>
      <c r="AV1084" s="1"/>
      <c r="AW1084" s="1"/>
      <c r="AX1084" s="1" t="s">
        <v>19281</v>
      </c>
      <c r="AY1084" s="1" t="s">
        <v>19282</v>
      </c>
      <c r="AZ1084" s="1" t="s">
        <v>681</v>
      </c>
      <c r="BA1084" s="1" t="s">
        <v>10140</v>
      </c>
      <c r="BB1084" s="1">
        <v>80.37</v>
      </c>
      <c r="BC1084" s="1">
        <v>8.46</v>
      </c>
      <c r="BD1084" s="1"/>
      <c r="BE1084" s="1"/>
      <c r="BF1084" s="1"/>
      <c r="BG1084" s="1"/>
      <c r="BH1084" s="1"/>
      <c r="BI1084" s="1"/>
      <c r="BJ1084" s="1" t="s">
        <v>19283</v>
      </c>
      <c r="BK1084" s="1" t="s">
        <v>19284</v>
      </c>
      <c r="BL1084" s="1" t="s">
        <v>2019</v>
      </c>
      <c r="BM1084" s="1" t="s">
        <v>19285</v>
      </c>
      <c r="BN1084" s="1">
        <v>21</v>
      </c>
      <c r="BO1084" s="1"/>
      <c r="BP1084" s="1" t="str">
        <f>HYPERLINK("https://nconnect.nicmar.ac.in/storage/profile/ProfilePhoto_P25701014_782496.jpg","Download")</f>
        <v>0</v>
      </c>
      <c r="BQ1084" s="3"/>
      <c r="BR1084" s="3"/>
    </row>
    <row r="1085" spans="1:70">
      <c r="A1085" s="1" t="s">
        <v>1563</v>
      </c>
      <c r="B1085" s="1" t="s">
        <v>1269</v>
      </c>
      <c r="C1085" s="1" t="s">
        <v>19286</v>
      </c>
      <c r="D1085" s="1" t="s">
        <v>19287</v>
      </c>
      <c r="E1085" s="1" t="s">
        <v>1566</v>
      </c>
      <c r="F1085" s="1" t="s">
        <v>2024</v>
      </c>
      <c r="G1085" s="1" t="s">
        <v>19288</v>
      </c>
      <c r="H1085" s="1" t="s">
        <v>19289</v>
      </c>
      <c r="I1085" s="1" t="s">
        <v>19290</v>
      </c>
      <c r="J1085" s="1">
        <v>9372196514</v>
      </c>
      <c r="K1085" s="1" t="s">
        <v>79</v>
      </c>
      <c r="L1085" s="1" t="s">
        <v>19291</v>
      </c>
      <c r="M1085" s="1" t="s">
        <v>81</v>
      </c>
      <c r="N1085" s="1" t="s">
        <v>1765</v>
      </c>
      <c r="O1085" s="1"/>
      <c r="P1085" s="1" t="s">
        <v>1323</v>
      </c>
      <c r="Q1085" s="1" t="s">
        <v>19292</v>
      </c>
      <c r="R1085" s="1" t="s">
        <v>19293</v>
      </c>
      <c r="S1085" s="1">
        <v>9403723082</v>
      </c>
      <c r="T1085" s="1" t="s">
        <v>122</v>
      </c>
      <c r="U1085" s="1" t="s">
        <v>19294</v>
      </c>
      <c r="V1085" s="1">
        <v>7276703959</v>
      </c>
      <c r="W1085" s="1" t="s">
        <v>156</v>
      </c>
      <c r="X1085" s="1" t="s">
        <v>19295</v>
      </c>
      <c r="Y1085" s="1" t="s">
        <v>766</v>
      </c>
      <c r="Z1085" s="1" t="s">
        <v>92</v>
      </c>
      <c r="AA1085" s="1" t="s">
        <v>19295</v>
      </c>
      <c r="AB1085" s="1" t="s">
        <v>766</v>
      </c>
      <c r="AC1085" s="1" t="s">
        <v>92</v>
      </c>
      <c r="AD1085" s="1">
        <v>8.54</v>
      </c>
      <c r="AE1085" s="1" t="s">
        <v>93</v>
      </c>
      <c r="AF1085" s="1" t="s">
        <v>19296</v>
      </c>
      <c r="AG1085" s="1" t="s">
        <v>3154</v>
      </c>
      <c r="AH1085" s="1" t="s">
        <v>195</v>
      </c>
      <c r="AI1085" s="1" t="s">
        <v>281</v>
      </c>
      <c r="AJ1085" s="1">
        <v>87.2</v>
      </c>
      <c r="AK1085" s="1"/>
      <c r="AL1085" s="1" t="s">
        <v>19297</v>
      </c>
      <c r="AM1085" s="1" t="s">
        <v>3154</v>
      </c>
      <c r="AN1085" s="1" t="s">
        <v>198</v>
      </c>
      <c r="AO1085" s="1" t="s">
        <v>360</v>
      </c>
      <c r="AP1085" s="1">
        <v>68.46</v>
      </c>
      <c r="AQ1085" s="1"/>
      <c r="AR1085" s="1"/>
      <c r="AS1085" s="1"/>
      <c r="AT1085" s="1"/>
      <c r="AU1085" s="1"/>
      <c r="AV1085" s="1"/>
      <c r="AW1085" s="1"/>
      <c r="AX1085" s="1" t="s">
        <v>253</v>
      </c>
      <c r="AY1085" s="1" t="s">
        <v>19298</v>
      </c>
      <c r="AZ1085" s="1" t="s">
        <v>363</v>
      </c>
      <c r="BA1085" s="1" t="s">
        <v>1408</v>
      </c>
      <c r="BB1085" s="1">
        <v>65.72</v>
      </c>
      <c r="BC1085" s="1">
        <v>7.26</v>
      </c>
      <c r="BD1085" s="1"/>
      <c r="BE1085" s="1"/>
      <c r="BF1085" s="1"/>
      <c r="BG1085" s="1"/>
      <c r="BH1085" s="1"/>
      <c r="BI1085" s="1"/>
      <c r="BJ1085" s="1" t="s">
        <v>19299</v>
      </c>
      <c r="BK1085" s="1"/>
      <c r="BL1085" s="1"/>
      <c r="BM1085" s="1" t="s">
        <v>19300</v>
      </c>
      <c r="BN1085" s="1">
        <v>26</v>
      </c>
      <c r="BO1085" s="1" t="s">
        <v>19301</v>
      </c>
      <c r="BP1085" s="1" t="str">
        <f>HYPERLINK("https://nconnect.nicmar.ac.in/storage/profile/ProfilePhoto_P25701015_578136.jpg","Download")</f>
        <v>0</v>
      </c>
      <c r="BQ1085" s="3"/>
      <c r="BR1085" s="3"/>
    </row>
    <row r="1086" spans="1:70">
      <c r="A1086" s="1" t="s">
        <v>1563</v>
      </c>
      <c r="B1086" s="1" t="s">
        <v>1269</v>
      </c>
      <c r="C1086" s="1" t="s">
        <v>19302</v>
      </c>
      <c r="D1086" s="1" t="s">
        <v>19303</v>
      </c>
      <c r="E1086" s="1"/>
      <c r="F1086" s="1" t="s">
        <v>835</v>
      </c>
      <c r="G1086" s="1" t="s">
        <v>19304</v>
      </c>
      <c r="H1086" s="1" t="s">
        <v>19305</v>
      </c>
      <c r="I1086" s="1" t="s">
        <v>19306</v>
      </c>
      <c r="J1086" s="1">
        <v>7990461595</v>
      </c>
      <c r="K1086" s="1" t="s">
        <v>148</v>
      </c>
      <c r="L1086" s="1" t="s">
        <v>1370</v>
      </c>
      <c r="M1086" s="1" t="s">
        <v>81</v>
      </c>
      <c r="N1086" s="1" t="s">
        <v>5040</v>
      </c>
      <c r="O1086" s="1"/>
      <c r="P1086" s="1" t="s">
        <v>1298</v>
      </c>
      <c r="Q1086" s="1" t="s">
        <v>19307</v>
      </c>
      <c r="R1086" s="1" t="s">
        <v>19308</v>
      </c>
      <c r="S1086" s="1">
        <v>9510058064</v>
      </c>
      <c r="T1086" s="1" t="s">
        <v>842</v>
      </c>
      <c r="U1086" s="1" t="s">
        <v>19309</v>
      </c>
      <c r="V1086" s="1">
        <v>9409145844</v>
      </c>
      <c r="W1086" s="1" t="s">
        <v>273</v>
      </c>
      <c r="X1086" s="1" t="s">
        <v>19310</v>
      </c>
      <c r="Y1086" s="1" t="s">
        <v>3680</v>
      </c>
      <c r="Z1086" s="1" t="s">
        <v>1468</v>
      </c>
      <c r="AA1086" s="1" t="s">
        <v>19310</v>
      </c>
      <c r="AB1086" s="1" t="s">
        <v>3680</v>
      </c>
      <c r="AC1086" s="1" t="s">
        <v>1468</v>
      </c>
      <c r="AD1086" s="1">
        <v>8.63</v>
      </c>
      <c r="AE1086" s="1" t="s">
        <v>93</v>
      </c>
      <c r="AF1086" s="1" t="s">
        <v>19311</v>
      </c>
      <c r="AG1086" s="1" t="s">
        <v>307</v>
      </c>
      <c r="AH1086" s="1" t="s">
        <v>165</v>
      </c>
      <c r="AI1086" s="1" t="s">
        <v>166</v>
      </c>
      <c r="AJ1086" s="1">
        <v>78.8</v>
      </c>
      <c r="AK1086" s="1"/>
      <c r="AL1086" s="1" t="s">
        <v>19312</v>
      </c>
      <c r="AM1086" s="1" t="s">
        <v>307</v>
      </c>
      <c r="AN1086" s="1" t="s">
        <v>310</v>
      </c>
      <c r="AO1086" s="1" t="s">
        <v>173</v>
      </c>
      <c r="AP1086" s="1">
        <v>86.2</v>
      </c>
      <c r="AQ1086" s="1"/>
      <c r="AR1086" s="1"/>
      <c r="AS1086" s="1"/>
      <c r="AT1086" s="1"/>
      <c r="AU1086" s="1"/>
      <c r="AV1086" s="1"/>
      <c r="AW1086" s="1"/>
      <c r="AX1086" s="1" t="s">
        <v>7665</v>
      </c>
      <c r="AY1086" s="1" t="s">
        <v>19313</v>
      </c>
      <c r="AZ1086" s="1" t="s">
        <v>173</v>
      </c>
      <c r="BA1086" s="1" t="s">
        <v>1361</v>
      </c>
      <c r="BB1086" s="1">
        <v>73.05</v>
      </c>
      <c r="BC1086" s="1">
        <v>7.69</v>
      </c>
      <c r="BD1086" s="1"/>
      <c r="BE1086" s="1"/>
      <c r="BF1086" s="1"/>
      <c r="BG1086" s="1"/>
      <c r="BH1086" s="1"/>
      <c r="BI1086" s="1"/>
      <c r="BJ1086" s="1" t="s">
        <v>19314</v>
      </c>
      <c r="BK1086" s="1"/>
      <c r="BL1086" s="1"/>
      <c r="BM1086" s="1" t="s">
        <v>19315</v>
      </c>
      <c r="BN1086" s="1">
        <v>34</v>
      </c>
      <c r="BO1086" s="1" t="s">
        <v>19244</v>
      </c>
      <c r="BP1086" s="1" t="str">
        <f>HYPERLINK("https://nconnect.nicmar.ac.in/storage/profile/ProfilePhoto_P25701016_248953.jpg","Download")</f>
        <v>0</v>
      </c>
      <c r="BQ1086" s="3"/>
      <c r="BR1086" s="3"/>
    </row>
    <row r="1087" spans="1:70">
      <c r="A1087" s="1" t="s">
        <v>1563</v>
      </c>
      <c r="B1087" s="1" t="s">
        <v>1269</v>
      </c>
      <c r="C1087" s="1" t="s">
        <v>19316</v>
      </c>
      <c r="D1087" s="1" t="s">
        <v>11841</v>
      </c>
      <c r="E1087" s="1"/>
      <c r="F1087" s="1" t="s">
        <v>1226</v>
      </c>
      <c r="G1087" s="1" t="s">
        <v>19317</v>
      </c>
      <c r="H1087" s="1" t="s">
        <v>19318</v>
      </c>
      <c r="I1087" s="1" t="s">
        <v>19319</v>
      </c>
      <c r="J1087" s="1">
        <v>9823350123</v>
      </c>
      <c r="K1087" s="1" t="s">
        <v>148</v>
      </c>
      <c r="L1087" s="1" t="s">
        <v>19320</v>
      </c>
      <c r="M1087" s="1" t="s">
        <v>81</v>
      </c>
      <c r="N1087" s="1" t="s">
        <v>1950</v>
      </c>
      <c r="O1087" s="1"/>
      <c r="P1087" s="1" t="s">
        <v>1298</v>
      </c>
      <c r="Q1087" s="1" t="s">
        <v>19321</v>
      </c>
      <c r="R1087" s="1" t="s">
        <v>19322</v>
      </c>
      <c r="S1087" s="1">
        <v>9823590123</v>
      </c>
      <c r="T1087" s="1" t="s">
        <v>842</v>
      </c>
      <c r="U1087" s="1" t="s">
        <v>19323</v>
      </c>
      <c r="V1087" s="1">
        <v>9823510123</v>
      </c>
      <c r="W1087" s="1" t="s">
        <v>156</v>
      </c>
      <c r="X1087" s="1" t="s">
        <v>19324</v>
      </c>
      <c r="Y1087" s="1" t="s">
        <v>191</v>
      </c>
      <c r="Z1087" s="1" t="s">
        <v>92</v>
      </c>
      <c r="AA1087" s="1" t="s">
        <v>19325</v>
      </c>
      <c r="AB1087" s="1" t="s">
        <v>191</v>
      </c>
      <c r="AC1087" s="1" t="s">
        <v>92</v>
      </c>
      <c r="AD1087" s="1">
        <v>8.33</v>
      </c>
      <c r="AE1087" s="1" t="s">
        <v>93</v>
      </c>
      <c r="AF1087" s="1" t="s">
        <v>19326</v>
      </c>
      <c r="AG1087" s="1" t="s">
        <v>13783</v>
      </c>
      <c r="AH1087" s="1" t="s">
        <v>337</v>
      </c>
      <c r="AI1087" s="1" t="s">
        <v>279</v>
      </c>
      <c r="AJ1087" s="1">
        <v>76.16</v>
      </c>
      <c r="AK1087" s="1">
        <v>0</v>
      </c>
      <c r="AL1087" s="1" t="s">
        <v>19327</v>
      </c>
      <c r="AM1087" s="1" t="s">
        <v>13783</v>
      </c>
      <c r="AN1087" s="1" t="s">
        <v>383</v>
      </c>
      <c r="AO1087" s="1" t="s">
        <v>1307</v>
      </c>
      <c r="AP1087" s="1">
        <v>62.8</v>
      </c>
      <c r="AQ1087" s="1">
        <v>0</v>
      </c>
      <c r="AR1087" s="1"/>
      <c r="AS1087" s="1"/>
      <c r="AT1087" s="1"/>
      <c r="AU1087" s="1"/>
      <c r="AV1087" s="1"/>
      <c r="AW1087" s="1"/>
      <c r="AX1087" s="1" t="s">
        <v>4997</v>
      </c>
      <c r="AY1087" s="1" t="s">
        <v>19328</v>
      </c>
      <c r="AZ1087" s="1" t="s">
        <v>169</v>
      </c>
      <c r="BA1087" s="1" t="s">
        <v>3081</v>
      </c>
      <c r="BB1087" s="1">
        <v>80.6</v>
      </c>
      <c r="BC1087" s="1">
        <v>8.81</v>
      </c>
      <c r="BD1087" s="1"/>
      <c r="BE1087" s="1"/>
      <c r="BF1087" s="1"/>
      <c r="BG1087" s="1"/>
      <c r="BH1087" s="1"/>
      <c r="BI1087" s="1"/>
      <c r="BJ1087" s="1" t="s">
        <v>19329</v>
      </c>
      <c r="BK1087" s="1" t="s">
        <v>19330</v>
      </c>
      <c r="BL1087" s="1" t="s">
        <v>3259</v>
      </c>
      <c r="BM1087" s="1"/>
      <c r="BN1087" s="1"/>
      <c r="BO1087" s="1"/>
      <c r="BP1087" s="1" t="str">
        <f>HYPERLINK("https://nconnect.nicmar.ac.in/storage/profile/ProfilePhoto_P25701017_283697.jpg","Download")</f>
        <v>0</v>
      </c>
      <c r="BQ1087" s="3"/>
      <c r="BR1087" s="3"/>
    </row>
    <row r="1088" spans="1:70">
      <c r="A1088" s="1" t="s">
        <v>1563</v>
      </c>
      <c r="B1088" s="1" t="s">
        <v>1269</v>
      </c>
      <c r="C1088" s="1" t="s">
        <v>19331</v>
      </c>
      <c r="D1088" s="1" t="s">
        <v>4143</v>
      </c>
      <c r="E1088" s="1" t="s">
        <v>444</v>
      </c>
      <c r="F1088" s="1" t="s">
        <v>11827</v>
      </c>
      <c r="G1088" s="1" t="s">
        <v>19332</v>
      </c>
      <c r="H1088" s="1" t="s">
        <v>19333</v>
      </c>
      <c r="I1088" s="1" t="s">
        <v>19334</v>
      </c>
      <c r="J1088" s="1">
        <v>9405626394</v>
      </c>
      <c r="K1088" s="1" t="s">
        <v>79</v>
      </c>
      <c r="L1088" s="1" t="s">
        <v>5833</v>
      </c>
      <c r="M1088" s="1" t="s">
        <v>81</v>
      </c>
      <c r="N1088" s="1" t="s">
        <v>2008</v>
      </c>
      <c r="O1088" s="1"/>
      <c r="P1088" s="1" t="s">
        <v>1323</v>
      </c>
      <c r="Q1088" s="1" t="s">
        <v>19335</v>
      </c>
      <c r="R1088" s="1" t="s">
        <v>444</v>
      </c>
      <c r="S1088" s="1">
        <v>9420348065</v>
      </c>
      <c r="T1088" s="1" t="s">
        <v>932</v>
      </c>
      <c r="U1088" s="1" t="s">
        <v>3807</v>
      </c>
      <c r="V1088" s="1">
        <v>7020828633</v>
      </c>
      <c r="W1088" s="1" t="s">
        <v>156</v>
      </c>
      <c r="X1088" s="1" t="s">
        <v>19336</v>
      </c>
      <c r="Y1088" s="1" t="s">
        <v>191</v>
      </c>
      <c r="Z1088" s="1" t="s">
        <v>92</v>
      </c>
      <c r="AA1088" s="1" t="s">
        <v>19337</v>
      </c>
      <c r="AB1088" s="1" t="s">
        <v>304</v>
      </c>
      <c r="AC1088" s="1" t="s">
        <v>92</v>
      </c>
      <c r="AD1088" s="1" t="s">
        <v>93</v>
      </c>
      <c r="AE1088" s="1" t="s">
        <v>93</v>
      </c>
      <c r="AF1088" s="1" t="s">
        <v>19338</v>
      </c>
      <c r="AG1088" s="1" t="s">
        <v>19339</v>
      </c>
      <c r="AH1088" s="1" t="s">
        <v>195</v>
      </c>
      <c r="AI1088" s="1" t="s">
        <v>281</v>
      </c>
      <c r="AJ1088" s="1">
        <v>74.6</v>
      </c>
      <c r="AK1088" s="1"/>
      <c r="AL1088" s="1" t="s">
        <v>19340</v>
      </c>
      <c r="AM1088" s="1" t="s">
        <v>19341</v>
      </c>
      <c r="AN1088" s="1" t="s">
        <v>198</v>
      </c>
      <c r="AO1088" s="1" t="s">
        <v>360</v>
      </c>
      <c r="AP1088" s="1">
        <v>60.62</v>
      </c>
      <c r="AQ1088" s="1"/>
      <c r="AR1088" s="1"/>
      <c r="AS1088" s="1"/>
      <c r="AT1088" s="1"/>
      <c r="AU1088" s="1"/>
      <c r="AV1088" s="1"/>
      <c r="AW1088" s="1"/>
      <c r="AX1088" s="1" t="s">
        <v>361</v>
      </c>
      <c r="AY1088" s="1" t="s">
        <v>19342</v>
      </c>
      <c r="AZ1088" s="1" t="s">
        <v>363</v>
      </c>
      <c r="BA1088" s="1" t="s">
        <v>413</v>
      </c>
      <c r="BB1088" s="1">
        <v>60.96</v>
      </c>
      <c r="BC1088" s="1">
        <v>6.85</v>
      </c>
      <c r="BD1088" s="1"/>
      <c r="BE1088" s="1"/>
      <c r="BF1088" s="1"/>
      <c r="BG1088" s="1"/>
      <c r="BH1088" s="1"/>
      <c r="BI1088" s="1"/>
      <c r="BJ1088" s="1" t="s">
        <v>19343</v>
      </c>
      <c r="BK1088" s="1"/>
      <c r="BL1088" s="1"/>
      <c r="BM1088" s="1" t="s">
        <v>19344</v>
      </c>
      <c r="BN1088" s="1">
        <v>43</v>
      </c>
      <c r="BO1088" s="1" t="s">
        <v>19244</v>
      </c>
      <c r="BP1088" s="1" t="str">
        <f>HYPERLINK("https://nconnect.nicmar.ac.in/storage/profile/ProfilePhoto_P25701018_163478.jpg","Download")</f>
        <v>0</v>
      </c>
      <c r="BQ1088" s="3"/>
      <c r="BR1088" s="3"/>
    </row>
    <row r="1089" spans="1:70">
      <c r="A1089" s="1" t="s">
        <v>1563</v>
      </c>
      <c r="B1089" s="1" t="s">
        <v>1269</v>
      </c>
      <c r="C1089" s="1" t="s">
        <v>19345</v>
      </c>
      <c r="D1089" s="1" t="s">
        <v>19346</v>
      </c>
      <c r="E1089" s="1" t="s">
        <v>7215</v>
      </c>
      <c r="F1089" s="1" t="s">
        <v>19347</v>
      </c>
      <c r="G1089" s="1" t="s">
        <v>19348</v>
      </c>
      <c r="H1089" s="1" t="s">
        <v>19349</v>
      </c>
      <c r="I1089" s="1" t="s">
        <v>19350</v>
      </c>
      <c r="J1089" s="1">
        <v>8655128267</v>
      </c>
      <c r="K1089" s="1" t="s">
        <v>148</v>
      </c>
      <c r="L1089" s="1" t="s">
        <v>8494</v>
      </c>
      <c r="M1089" s="1" t="s">
        <v>81</v>
      </c>
      <c r="N1089" s="1" t="s">
        <v>3229</v>
      </c>
      <c r="O1089" s="1" t="s">
        <v>19351</v>
      </c>
      <c r="P1089" s="1" t="s">
        <v>1298</v>
      </c>
      <c r="Q1089" s="1" t="s">
        <v>19352</v>
      </c>
      <c r="R1089" s="1" t="s">
        <v>19353</v>
      </c>
      <c r="S1089" s="1">
        <v>9322891755</v>
      </c>
      <c r="T1089" s="1" t="s">
        <v>842</v>
      </c>
      <c r="U1089" s="1" t="s">
        <v>19354</v>
      </c>
      <c r="V1089" s="1">
        <v>9224413737</v>
      </c>
      <c r="W1089" s="1" t="s">
        <v>19355</v>
      </c>
      <c r="X1089" s="1" t="s">
        <v>19356</v>
      </c>
      <c r="Y1089" s="1" t="s">
        <v>766</v>
      </c>
      <c r="Z1089" s="1" t="s">
        <v>92</v>
      </c>
      <c r="AA1089" s="1" t="s">
        <v>19356</v>
      </c>
      <c r="AB1089" s="1" t="s">
        <v>766</v>
      </c>
      <c r="AC1089" s="1" t="s">
        <v>92</v>
      </c>
      <c r="AD1089" s="1">
        <v>8.38</v>
      </c>
      <c r="AE1089" s="1" t="s">
        <v>93</v>
      </c>
      <c r="AF1089" s="1" t="s">
        <v>19357</v>
      </c>
      <c r="AG1089" s="1" t="s">
        <v>19358</v>
      </c>
      <c r="AH1089" s="1" t="s">
        <v>456</v>
      </c>
      <c r="AI1089" s="1" t="s">
        <v>195</v>
      </c>
      <c r="AJ1089" s="1">
        <v>82.8</v>
      </c>
      <c r="AK1089" s="1">
        <v>0</v>
      </c>
      <c r="AL1089" s="1" t="s">
        <v>19359</v>
      </c>
      <c r="AM1089" s="1" t="s">
        <v>19358</v>
      </c>
      <c r="AN1089" s="1" t="s">
        <v>457</v>
      </c>
      <c r="AO1089" s="1" t="s">
        <v>198</v>
      </c>
      <c r="AP1089" s="1">
        <v>63.54</v>
      </c>
      <c r="AQ1089" s="1">
        <v>0</v>
      </c>
      <c r="AR1089" s="1"/>
      <c r="AS1089" s="1"/>
      <c r="AT1089" s="1"/>
      <c r="AU1089" s="1"/>
      <c r="AV1089" s="1"/>
      <c r="AW1089" s="1"/>
      <c r="AX1089" s="1" t="s">
        <v>19360</v>
      </c>
      <c r="AY1089" s="1" t="s">
        <v>19361</v>
      </c>
      <c r="AZ1089" s="1" t="s">
        <v>201</v>
      </c>
      <c r="BA1089" s="1" t="s">
        <v>702</v>
      </c>
      <c r="BB1089" s="1">
        <v>69.64</v>
      </c>
      <c r="BC1089" s="1">
        <v>7.79</v>
      </c>
      <c r="BD1089" s="1"/>
      <c r="BE1089" s="1"/>
      <c r="BF1089" s="1"/>
      <c r="BG1089" s="1"/>
      <c r="BH1089" s="1"/>
      <c r="BI1089" s="1"/>
      <c r="BJ1089" s="1" t="s">
        <v>19362</v>
      </c>
      <c r="BK1089" s="1" t="s">
        <v>19363</v>
      </c>
      <c r="BL1089" s="1" t="s">
        <v>1919</v>
      </c>
      <c r="BM1089" s="1" t="s">
        <v>19364</v>
      </c>
      <c r="BN1089" s="1">
        <v>20</v>
      </c>
      <c r="BO1089" s="1" t="s">
        <v>19365</v>
      </c>
      <c r="BP1089" s="1" t="str">
        <f>HYPERLINK("https://nconnect.nicmar.ac.in/storage/profile/ProfilePhoto_P25701020_926453.jpg","Download")</f>
        <v>0</v>
      </c>
      <c r="BQ1089" s="3"/>
      <c r="BR1089" s="3"/>
    </row>
    <row r="1090" spans="1:70">
      <c r="A1090" s="1" t="s">
        <v>1563</v>
      </c>
      <c r="B1090" s="1" t="s">
        <v>1269</v>
      </c>
      <c r="C1090" s="1" t="s">
        <v>19366</v>
      </c>
      <c r="D1090" s="1" t="s">
        <v>3151</v>
      </c>
      <c r="E1090" s="1" t="s">
        <v>1566</v>
      </c>
      <c r="F1090" s="1" t="s">
        <v>19367</v>
      </c>
      <c r="G1090" s="1" t="s">
        <v>19368</v>
      </c>
      <c r="H1090" s="1" t="s">
        <v>19369</v>
      </c>
      <c r="I1090" s="1" t="s">
        <v>19370</v>
      </c>
      <c r="J1090" s="1">
        <v>8600497716</v>
      </c>
      <c r="K1090" s="1" t="s">
        <v>148</v>
      </c>
      <c r="L1090" s="1" t="s">
        <v>19371</v>
      </c>
      <c r="M1090" s="1" t="s">
        <v>81</v>
      </c>
      <c r="N1090" s="1" t="s">
        <v>1986</v>
      </c>
      <c r="O1090" s="1"/>
      <c r="P1090" s="1" t="s">
        <v>1298</v>
      </c>
      <c r="Q1090" s="1" t="s">
        <v>19372</v>
      </c>
      <c r="R1090" s="1" t="s">
        <v>1566</v>
      </c>
      <c r="S1090" s="1">
        <v>9422556914</v>
      </c>
      <c r="T1090" s="1" t="s">
        <v>87</v>
      </c>
      <c r="U1090" s="1" t="s">
        <v>19373</v>
      </c>
      <c r="V1090" s="1">
        <v>9730244161</v>
      </c>
      <c r="W1090" s="1" t="s">
        <v>122</v>
      </c>
      <c r="X1090" s="1" t="s">
        <v>19374</v>
      </c>
      <c r="Y1090" s="1" t="s">
        <v>405</v>
      </c>
      <c r="Z1090" s="1" t="s">
        <v>92</v>
      </c>
      <c r="AA1090" s="1" t="s">
        <v>19374</v>
      </c>
      <c r="AB1090" s="1" t="s">
        <v>405</v>
      </c>
      <c r="AC1090" s="1" t="s">
        <v>92</v>
      </c>
      <c r="AD1090" s="1">
        <v>7.69</v>
      </c>
      <c r="AE1090" s="1" t="s">
        <v>93</v>
      </c>
      <c r="AF1090" s="1" t="s">
        <v>19375</v>
      </c>
      <c r="AG1090" s="1" t="s">
        <v>307</v>
      </c>
      <c r="AH1090" s="1" t="s">
        <v>165</v>
      </c>
      <c r="AI1090" s="1" t="s">
        <v>166</v>
      </c>
      <c r="AJ1090" s="1">
        <v>70</v>
      </c>
      <c r="AK1090" s="1">
        <v>0</v>
      </c>
      <c r="AL1090" s="1" t="s">
        <v>19376</v>
      </c>
      <c r="AM1090" s="1" t="s">
        <v>160</v>
      </c>
      <c r="AN1090" s="1" t="s">
        <v>433</v>
      </c>
      <c r="AO1090" s="1" t="s">
        <v>412</v>
      </c>
      <c r="AP1090" s="1">
        <v>65.38</v>
      </c>
      <c r="AQ1090" s="1">
        <v>0</v>
      </c>
      <c r="AR1090" s="1"/>
      <c r="AS1090" s="1"/>
      <c r="AT1090" s="1"/>
      <c r="AU1090" s="1"/>
      <c r="AV1090" s="1"/>
      <c r="AW1090" s="1"/>
      <c r="AX1090" s="1" t="s">
        <v>1852</v>
      </c>
      <c r="AY1090" s="1" t="s">
        <v>19377</v>
      </c>
      <c r="AZ1090" s="1" t="s">
        <v>173</v>
      </c>
      <c r="BA1090" s="1" t="s">
        <v>1714</v>
      </c>
      <c r="BB1090" s="1">
        <v>60.7</v>
      </c>
      <c r="BC1090" s="1">
        <v>6.82</v>
      </c>
      <c r="BD1090" s="1"/>
      <c r="BE1090" s="1"/>
      <c r="BF1090" s="1"/>
      <c r="BG1090" s="1"/>
      <c r="BH1090" s="1"/>
      <c r="BI1090" s="1"/>
      <c r="BJ1090" s="1" t="s">
        <v>19378</v>
      </c>
      <c r="BK1090" s="1"/>
      <c r="BL1090" s="1"/>
      <c r="BM1090" s="1" t="s">
        <v>19379</v>
      </c>
      <c r="BN1090" s="1">
        <v>27</v>
      </c>
      <c r="BO1090" s="1" t="s">
        <v>19380</v>
      </c>
      <c r="BP1090" s="1" t="str">
        <f>HYPERLINK("https://nconnect.nicmar.ac.in/storage/profile/ProfilePhoto_P25701021_792318.jpg","Download")</f>
        <v>0</v>
      </c>
      <c r="BQ1090" s="3"/>
      <c r="BR1090" s="3"/>
    </row>
    <row r="1091" spans="1:70">
      <c r="A1091" s="1" t="s">
        <v>1563</v>
      </c>
      <c r="B1091" s="1" t="s">
        <v>1269</v>
      </c>
      <c r="C1091" s="1" t="s">
        <v>19381</v>
      </c>
      <c r="D1091" s="1" t="s">
        <v>19382</v>
      </c>
      <c r="E1091" s="1" t="s">
        <v>5393</v>
      </c>
      <c r="F1091" s="1" t="s">
        <v>19383</v>
      </c>
      <c r="G1091" s="1" t="s">
        <v>19384</v>
      </c>
      <c r="H1091" s="1" t="s">
        <v>19385</v>
      </c>
      <c r="I1091" s="1" t="s">
        <v>19386</v>
      </c>
      <c r="J1091" s="1">
        <v>9156825990</v>
      </c>
      <c r="K1091" s="1" t="s">
        <v>148</v>
      </c>
      <c r="L1091" s="1" t="s">
        <v>9853</v>
      </c>
      <c r="M1091" s="1" t="s">
        <v>81</v>
      </c>
      <c r="N1091" s="1" t="s">
        <v>1418</v>
      </c>
      <c r="O1091" s="1" t="s">
        <v>19387</v>
      </c>
      <c r="P1091" s="1" t="s">
        <v>1278</v>
      </c>
      <c r="Q1091" s="1" t="s">
        <v>19388</v>
      </c>
      <c r="R1091" s="1" t="s">
        <v>5393</v>
      </c>
      <c r="S1091" s="1">
        <v>7720060261</v>
      </c>
      <c r="T1091" s="1" t="s">
        <v>377</v>
      </c>
      <c r="U1091" s="1" t="s">
        <v>14122</v>
      </c>
      <c r="V1091" s="1">
        <v>7720060264</v>
      </c>
      <c r="W1091" s="1" t="s">
        <v>156</v>
      </c>
      <c r="X1091" s="1" t="s">
        <v>19389</v>
      </c>
      <c r="Y1091" s="1" t="s">
        <v>191</v>
      </c>
      <c r="Z1091" s="1" t="s">
        <v>92</v>
      </c>
      <c r="AA1091" s="1" t="s">
        <v>19390</v>
      </c>
      <c r="AB1091" s="1" t="s">
        <v>405</v>
      </c>
      <c r="AC1091" s="1" t="s">
        <v>92</v>
      </c>
      <c r="AD1091" s="1">
        <v>9.06</v>
      </c>
      <c r="AE1091" s="1" t="s">
        <v>93</v>
      </c>
      <c r="AF1091" s="1" t="s">
        <v>19391</v>
      </c>
      <c r="AG1091" s="1" t="s">
        <v>307</v>
      </c>
      <c r="AH1091" s="1" t="s">
        <v>162</v>
      </c>
      <c r="AI1091" s="1" t="s">
        <v>165</v>
      </c>
      <c r="AJ1091" s="1">
        <v>91.2</v>
      </c>
      <c r="AK1091" s="1">
        <v>9.6</v>
      </c>
      <c r="AL1091" s="1" t="s">
        <v>19392</v>
      </c>
      <c r="AM1091" s="1" t="s">
        <v>19393</v>
      </c>
      <c r="AN1091" s="1" t="s">
        <v>101</v>
      </c>
      <c r="AO1091" s="1" t="s">
        <v>433</v>
      </c>
      <c r="AP1091" s="1">
        <v>76.62</v>
      </c>
      <c r="AQ1091" s="1"/>
      <c r="AR1091" s="1"/>
      <c r="AS1091" s="1"/>
      <c r="AT1091" s="1"/>
      <c r="AU1091" s="1"/>
      <c r="AV1091" s="1"/>
      <c r="AW1091" s="1"/>
      <c r="AX1091" s="1" t="s">
        <v>361</v>
      </c>
      <c r="AY1091" s="1" t="s">
        <v>19394</v>
      </c>
      <c r="AZ1091" s="1" t="s">
        <v>201</v>
      </c>
      <c r="BA1091" s="1" t="s">
        <v>413</v>
      </c>
      <c r="BB1091" s="1">
        <v>65.5</v>
      </c>
      <c r="BC1091" s="1">
        <v>7.3</v>
      </c>
      <c r="BD1091" s="1"/>
      <c r="BE1091" s="1"/>
      <c r="BF1091" s="1"/>
      <c r="BG1091" s="1"/>
      <c r="BH1091" s="1"/>
      <c r="BI1091" s="1"/>
      <c r="BJ1091" s="1" t="s">
        <v>19395</v>
      </c>
      <c r="BK1091" s="1"/>
      <c r="BL1091" s="1"/>
      <c r="BM1091" s="1" t="s">
        <v>19396</v>
      </c>
      <c r="BN1091" s="1">
        <v>33</v>
      </c>
      <c r="BO1091" s="1" t="s">
        <v>19397</v>
      </c>
      <c r="BP1091" s="1" t="str">
        <f>HYPERLINK("https://nconnect.nicmar.ac.in/storage/profile/ProfilePhoto_P25701022_635789.jpg","Download")</f>
        <v>0</v>
      </c>
      <c r="BQ1091" s="3"/>
      <c r="BR1091" s="3"/>
    </row>
    <row r="1092" spans="1:70">
      <c r="A1092" s="1" t="s">
        <v>1563</v>
      </c>
      <c r="B1092" s="1" t="s">
        <v>1269</v>
      </c>
      <c r="C1092" s="1" t="s">
        <v>19398</v>
      </c>
      <c r="D1092" s="1" t="s">
        <v>7864</v>
      </c>
      <c r="E1092" s="1" t="s">
        <v>19399</v>
      </c>
      <c r="F1092" s="1" t="s">
        <v>19400</v>
      </c>
      <c r="G1092" s="1" t="s">
        <v>19401</v>
      </c>
      <c r="H1092" s="1" t="s">
        <v>19402</v>
      </c>
      <c r="I1092" s="1" t="s">
        <v>19403</v>
      </c>
      <c r="J1092" s="1">
        <v>7760817685</v>
      </c>
      <c r="K1092" s="1" t="s">
        <v>148</v>
      </c>
      <c r="L1092" s="1" t="s">
        <v>19404</v>
      </c>
      <c r="M1092" s="1" t="s">
        <v>81</v>
      </c>
      <c r="N1092" s="1" t="s">
        <v>13603</v>
      </c>
      <c r="O1092" s="1"/>
      <c r="P1092" s="1" t="s">
        <v>1323</v>
      </c>
      <c r="Q1092" s="1" t="s">
        <v>19405</v>
      </c>
      <c r="R1092" s="1" t="s">
        <v>19406</v>
      </c>
      <c r="S1092" s="1">
        <v>9900114476</v>
      </c>
      <c r="T1092" s="1" t="s">
        <v>496</v>
      </c>
      <c r="U1092" s="1" t="s">
        <v>19407</v>
      </c>
      <c r="V1092" s="1">
        <v>9986244476</v>
      </c>
      <c r="W1092" s="1" t="s">
        <v>716</v>
      </c>
      <c r="X1092" s="1" t="s">
        <v>19408</v>
      </c>
      <c r="Y1092" s="1" t="s">
        <v>1083</v>
      </c>
      <c r="Z1092" s="1" t="s">
        <v>1084</v>
      </c>
      <c r="AA1092" s="1" t="s">
        <v>19408</v>
      </c>
      <c r="AB1092" s="1" t="s">
        <v>1083</v>
      </c>
      <c r="AC1092" s="1" t="s">
        <v>1084</v>
      </c>
      <c r="AD1092" s="1">
        <v>9.63</v>
      </c>
      <c r="AE1092" s="1" t="s">
        <v>93</v>
      </c>
      <c r="AF1092" s="1" t="s">
        <v>19409</v>
      </c>
      <c r="AG1092" s="1" t="s">
        <v>939</v>
      </c>
      <c r="AH1092" s="1" t="s">
        <v>161</v>
      </c>
      <c r="AI1092" s="1" t="s">
        <v>527</v>
      </c>
      <c r="AJ1092" s="1">
        <v>95</v>
      </c>
      <c r="AK1092" s="1">
        <v>10</v>
      </c>
      <c r="AL1092" s="1" t="s">
        <v>19409</v>
      </c>
      <c r="AM1092" s="1" t="s">
        <v>939</v>
      </c>
      <c r="AN1092" s="1" t="s">
        <v>165</v>
      </c>
      <c r="AO1092" s="1" t="s">
        <v>166</v>
      </c>
      <c r="AP1092" s="1">
        <v>95.4</v>
      </c>
      <c r="AQ1092" s="1">
        <v>0</v>
      </c>
      <c r="AR1092" s="1"/>
      <c r="AS1092" s="1"/>
      <c r="AT1092" s="1"/>
      <c r="AU1092" s="1"/>
      <c r="AV1092" s="1"/>
      <c r="AW1092" s="1"/>
      <c r="AX1092" s="1" t="s">
        <v>1519</v>
      </c>
      <c r="AY1092" s="1" t="s">
        <v>19410</v>
      </c>
      <c r="AZ1092" s="1" t="s">
        <v>169</v>
      </c>
      <c r="BA1092" s="1" t="s">
        <v>229</v>
      </c>
      <c r="BB1092" s="1">
        <v>82.8</v>
      </c>
      <c r="BC1092" s="1">
        <v>9.03</v>
      </c>
      <c r="BD1092" s="1"/>
      <c r="BE1092" s="1"/>
      <c r="BF1092" s="1"/>
      <c r="BG1092" s="1"/>
      <c r="BH1092" s="1"/>
      <c r="BI1092" s="1"/>
      <c r="BJ1092" s="1" t="s">
        <v>19411</v>
      </c>
      <c r="BK1092" s="1" t="s">
        <v>19412</v>
      </c>
      <c r="BL1092" s="1" t="s">
        <v>1543</v>
      </c>
      <c r="BM1092" s="1" t="s">
        <v>19413</v>
      </c>
      <c r="BN1092" s="1">
        <v>25</v>
      </c>
      <c r="BO1092" s="1"/>
      <c r="BP1092" s="1" t="str">
        <f>HYPERLINK("https://nconnect.nicmar.ac.in/storage/profile/ProfilePhoto_P25701024_187362.jpg","Download")</f>
        <v>0</v>
      </c>
      <c r="BQ1092" s="3"/>
      <c r="BR1092" s="3"/>
    </row>
    <row r="1093" spans="1:70">
      <c r="A1093" s="1" t="s">
        <v>1563</v>
      </c>
      <c r="B1093" s="1" t="s">
        <v>1269</v>
      </c>
      <c r="C1093" s="1" t="s">
        <v>19414</v>
      </c>
      <c r="D1093" s="1" t="s">
        <v>3901</v>
      </c>
      <c r="E1093" s="1" t="s">
        <v>19415</v>
      </c>
      <c r="F1093" s="1" t="s">
        <v>14316</v>
      </c>
      <c r="G1093" s="1" t="s">
        <v>19416</v>
      </c>
      <c r="H1093" s="1" t="s">
        <v>19417</v>
      </c>
      <c r="I1093" s="1" t="s">
        <v>19418</v>
      </c>
      <c r="J1093" s="1">
        <v>8208157977</v>
      </c>
      <c r="K1093" s="1" t="s">
        <v>79</v>
      </c>
      <c r="L1093" s="1" t="s">
        <v>7802</v>
      </c>
      <c r="M1093" s="1" t="s">
        <v>81</v>
      </c>
      <c r="N1093" s="1" t="s">
        <v>2008</v>
      </c>
      <c r="O1093" s="1"/>
      <c r="P1093" s="1" t="s">
        <v>1278</v>
      </c>
      <c r="Q1093" s="1" t="s">
        <v>19419</v>
      </c>
      <c r="R1093" s="1" t="s">
        <v>19420</v>
      </c>
      <c r="S1093" s="1">
        <v>9921560422</v>
      </c>
      <c r="T1093" s="1" t="s">
        <v>154</v>
      </c>
      <c r="U1093" s="1" t="s">
        <v>19421</v>
      </c>
      <c r="V1093" s="1">
        <v>9403884122</v>
      </c>
      <c r="W1093" s="1" t="s">
        <v>273</v>
      </c>
      <c r="X1093" s="1" t="s">
        <v>19422</v>
      </c>
      <c r="Y1093" s="1" t="s">
        <v>191</v>
      </c>
      <c r="Z1093" s="1" t="s">
        <v>92</v>
      </c>
      <c r="AA1093" s="1" t="s">
        <v>19423</v>
      </c>
      <c r="AB1093" s="1" t="s">
        <v>219</v>
      </c>
      <c r="AC1093" s="1" t="s">
        <v>92</v>
      </c>
      <c r="AD1093" s="1" t="s">
        <v>93</v>
      </c>
      <c r="AE1093" s="1" t="s">
        <v>93</v>
      </c>
      <c r="AF1093" s="1" t="s">
        <v>19424</v>
      </c>
      <c r="AG1093" s="1" t="s">
        <v>3154</v>
      </c>
      <c r="AH1093" s="1" t="s">
        <v>1670</v>
      </c>
      <c r="AI1093" s="1" t="s">
        <v>165</v>
      </c>
      <c r="AJ1093" s="1">
        <v>78.8</v>
      </c>
      <c r="AK1093" s="1"/>
      <c r="AL1093" s="1" t="s">
        <v>13292</v>
      </c>
      <c r="AM1093" s="1" t="s">
        <v>3154</v>
      </c>
      <c r="AN1093" s="1" t="s">
        <v>169</v>
      </c>
      <c r="AO1093" s="1" t="s">
        <v>198</v>
      </c>
      <c r="AP1093" s="1">
        <v>63.23</v>
      </c>
      <c r="AQ1093" s="1"/>
      <c r="AR1093" s="1"/>
      <c r="AS1093" s="1"/>
      <c r="AT1093" s="1"/>
      <c r="AU1093" s="1"/>
      <c r="AV1093" s="1"/>
      <c r="AW1093" s="1"/>
      <c r="AX1093" s="1" t="s">
        <v>335</v>
      </c>
      <c r="AY1093" s="1" t="s">
        <v>19425</v>
      </c>
      <c r="AZ1093" s="1" t="s">
        <v>201</v>
      </c>
      <c r="BA1093" s="1" t="s">
        <v>229</v>
      </c>
      <c r="BB1093" s="1">
        <v>58.51</v>
      </c>
      <c r="BC1093" s="1">
        <v>6.31</v>
      </c>
      <c r="BD1093" s="1"/>
      <c r="BE1093" s="1"/>
      <c r="BF1093" s="1"/>
      <c r="BG1093" s="1"/>
      <c r="BH1093" s="1"/>
      <c r="BI1093" s="1"/>
      <c r="BJ1093" s="1" t="s">
        <v>4102</v>
      </c>
      <c r="BK1093" s="1"/>
      <c r="BL1093" s="1"/>
      <c r="BM1093" s="1" t="s">
        <v>19426</v>
      </c>
      <c r="BN1093" s="1">
        <v>7</v>
      </c>
      <c r="BO1093" s="1"/>
      <c r="BP1093" s="1" t="str">
        <f>HYPERLINK("https://nconnect.nicmar.ac.in/storage/profile/ProfilePhoto_P25701025_745183.jpg","Download")</f>
        <v>0</v>
      </c>
      <c r="BQ1093" s="3"/>
      <c r="BR1093" s="3"/>
    </row>
    <row r="1094" spans="1:70">
      <c r="A1094" s="1" t="s">
        <v>1563</v>
      </c>
      <c r="B1094" s="1" t="s">
        <v>1269</v>
      </c>
      <c r="C1094" s="1" t="s">
        <v>19427</v>
      </c>
      <c r="D1094" s="1" t="s">
        <v>19428</v>
      </c>
      <c r="E1094" s="1"/>
      <c r="F1094" s="1" t="s">
        <v>19429</v>
      </c>
      <c r="G1094" s="1" t="s">
        <v>19430</v>
      </c>
      <c r="H1094" s="1" t="s">
        <v>19431</v>
      </c>
      <c r="I1094" s="1" t="s">
        <v>19432</v>
      </c>
      <c r="J1094" s="1">
        <v>9108981990</v>
      </c>
      <c r="K1094" s="1" t="s">
        <v>79</v>
      </c>
      <c r="L1094" s="1" t="s">
        <v>19433</v>
      </c>
      <c r="M1094" s="1" t="s">
        <v>81</v>
      </c>
      <c r="N1094" s="1" t="s">
        <v>14271</v>
      </c>
      <c r="O1094" s="1"/>
      <c r="P1094" s="1" t="s">
        <v>1323</v>
      </c>
      <c r="Q1094" s="1" t="s">
        <v>19434</v>
      </c>
      <c r="R1094" s="1" t="s">
        <v>19435</v>
      </c>
      <c r="S1094" s="1">
        <v>9844499891</v>
      </c>
      <c r="T1094" s="1" t="s">
        <v>19436</v>
      </c>
      <c r="U1094" s="1" t="s">
        <v>19437</v>
      </c>
      <c r="V1094" s="1">
        <v>9880088849</v>
      </c>
      <c r="W1094" s="1" t="s">
        <v>2094</v>
      </c>
      <c r="X1094" s="1" t="s">
        <v>19438</v>
      </c>
      <c r="Y1094" s="1" t="s">
        <v>13937</v>
      </c>
      <c r="Z1094" s="1" t="s">
        <v>1084</v>
      </c>
      <c r="AA1094" s="1" t="s">
        <v>19438</v>
      </c>
      <c r="AB1094" s="1" t="s">
        <v>13937</v>
      </c>
      <c r="AC1094" s="1" t="s">
        <v>1084</v>
      </c>
      <c r="AD1094" s="1">
        <v>7.87</v>
      </c>
      <c r="AE1094" s="1" t="s">
        <v>93</v>
      </c>
      <c r="AF1094" s="1" t="s">
        <v>19439</v>
      </c>
      <c r="AG1094" s="1" t="s">
        <v>307</v>
      </c>
      <c r="AH1094" s="1" t="s">
        <v>162</v>
      </c>
      <c r="AI1094" s="1" t="s">
        <v>165</v>
      </c>
      <c r="AJ1094" s="1">
        <v>89.3</v>
      </c>
      <c r="AK1094" s="1">
        <v>9.4</v>
      </c>
      <c r="AL1094" s="1" t="s">
        <v>19440</v>
      </c>
      <c r="AM1094" s="1" t="s">
        <v>14278</v>
      </c>
      <c r="AN1094" s="1" t="s">
        <v>281</v>
      </c>
      <c r="AO1094" s="1" t="s">
        <v>409</v>
      </c>
      <c r="AP1094" s="1">
        <v>81.33</v>
      </c>
      <c r="AQ1094" s="1">
        <v>8.6</v>
      </c>
      <c r="AR1094" s="1"/>
      <c r="AS1094" s="1"/>
      <c r="AT1094" s="1"/>
      <c r="AU1094" s="1"/>
      <c r="AV1094" s="1"/>
      <c r="AW1094" s="1"/>
      <c r="AX1094" s="1" t="s">
        <v>8258</v>
      </c>
      <c r="AY1094" s="1" t="s">
        <v>19441</v>
      </c>
      <c r="AZ1094" s="1" t="s">
        <v>201</v>
      </c>
      <c r="BA1094" s="1" t="s">
        <v>174</v>
      </c>
      <c r="BB1094" s="1">
        <v>81.3</v>
      </c>
      <c r="BC1094" s="1">
        <v>8.13</v>
      </c>
      <c r="BD1094" s="1"/>
      <c r="BE1094" s="1"/>
      <c r="BF1094" s="1"/>
      <c r="BG1094" s="1"/>
      <c r="BH1094" s="1"/>
      <c r="BI1094" s="1"/>
      <c r="BJ1094" s="1" t="s">
        <v>1383</v>
      </c>
      <c r="BK1094" s="1" t="s">
        <v>19442</v>
      </c>
      <c r="BL1094" s="1" t="s">
        <v>1028</v>
      </c>
      <c r="BM1094" s="1" t="s">
        <v>19443</v>
      </c>
      <c r="BN1094" s="1">
        <v>12</v>
      </c>
      <c r="BO1094" s="1"/>
      <c r="BP1094" s="1" t="str">
        <f>HYPERLINK("https://nconnect.nicmar.ac.in/storage/profile/ProfilePhoto_P25701026_834126.jpg","Download")</f>
        <v>0</v>
      </c>
      <c r="BQ1094" s="3"/>
      <c r="BR1094" s="3"/>
    </row>
    <row r="1095" spans="1:70">
      <c r="A1095" s="1" t="s">
        <v>1563</v>
      </c>
      <c r="B1095" s="1" t="s">
        <v>1269</v>
      </c>
      <c r="C1095" s="1" t="s">
        <v>19444</v>
      </c>
      <c r="D1095" s="1" t="s">
        <v>17249</v>
      </c>
      <c r="E1095" s="1"/>
      <c r="F1095" s="1" t="s">
        <v>3031</v>
      </c>
      <c r="G1095" s="1" t="s">
        <v>19445</v>
      </c>
      <c r="H1095" s="1" t="s">
        <v>19446</v>
      </c>
      <c r="I1095" s="1" t="s">
        <v>19447</v>
      </c>
      <c r="J1095" s="1">
        <v>9883267800</v>
      </c>
      <c r="K1095" s="1" t="s">
        <v>148</v>
      </c>
      <c r="L1095" s="1" t="s">
        <v>13481</v>
      </c>
      <c r="M1095" s="1" t="s">
        <v>81</v>
      </c>
      <c r="N1095" s="1" t="s">
        <v>19448</v>
      </c>
      <c r="O1095" s="1" t="s">
        <v>19449</v>
      </c>
      <c r="P1095" s="1" t="s">
        <v>1278</v>
      </c>
      <c r="Q1095" s="1" t="s">
        <v>19450</v>
      </c>
      <c r="R1095" s="1" t="s">
        <v>19451</v>
      </c>
      <c r="S1095" s="1">
        <v>9339454513</v>
      </c>
      <c r="T1095" s="1" t="s">
        <v>496</v>
      </c>
      <c r="U1095" s="1" t="s">
        <v>19452</v>
      </c>
      <c r="V1095" s="1">
        <v>7003814005</v>
      </c>
      <c r="W1095" s="1" t="s">
        <v>89</v>
      </c>
      <c r="X1095" s="1" t="s">
        <v>19453</v>
      </c>
      <c r="Y1095" s="1" t="s">
        <v>4078</v>
      </c>
      <c r="Z1095" s="1" t="s">
        <v>783</v>
      </c>
      <c r="AA1095" s="1" t="s">
        <v>19453</v>
      </c>
      <c r="AB1095" s="1" t="s">
        <v>4078</v>
      </c>
      <c r="AC1095" s="1" t="s">
        <v>783</v>
      </c>
      <c r="AD1095" s="1">
        <v>8.97</v>
      </c>
      <c r="AE1095" s="1" t="s">
        <v>93</v>
      </c>
      <c r="AF1095" s="1" t="s">
        <v>19454</v>
      </c>
      <c r="AG1095" s="1" t="s">
        <v>307</v>
      </c>
      <c r="AH1095" s="1" t="s">
        <v>678</v>
      </c>
      <c r="AI1095" s="1" t="s">
        <v>281</v>
      </c>
      <c r="AJ1095" s="1">
        <v>85.4</v>
      </c>
      <c r="AK1095" s="1">
        <v>0</v>
      </c>
      <c r="AL1095" s="1" t="s">
        <v>19454</v>
      </c>
      <c r="AM1095" s="1" t="s">
        <v>307</v>
      </c>
      <c r="AN1095" s="1" t="s">
        <v>1065</v>
      </c>
      <c r="AO1095" s="1" t="s">
        <v>941</v>
      </c>
      <c r="AP1095" s="1">
        <v>82</v>
      </c>
      <c r="AQ1095" s="1">
        <v>0</v>
      </c>
      <c r="AR1095" s="1"/>
      <c r="AS1095" s="1"/>
      <c r="AT1095" s="1"/>
      <c r="AU1095" s="1"/>
      <c r="AV1095" s="1"/>
      <c r="AW1095" s="1"/>
      <c r="AX1095" s="1" t="s">
        <v>19455</v>
      </c>
      <c r="AY1095" s="1" t="s">
        <v>19456</v>
      </c>
      <c r="AZ1095" s="1" t="s">
        <v>920</v>
      </c>
      <c r="BA1095" s="1" t="s">
        <v>1714</v>
      </c>
      <c r="BB1095" s="1">
        <v>73.9</v>
      </c>
      <c r="BC1095" s="1">
        <v>7.89</v>
      </c>
      <c r="BD1095" s="1"/>
      <c r="BE1095" s="1"/>
      <c r="BF1095" s="1"/>
      <c r="BG1095" s="1"/>
      <c r="BH1095" s="1"/>
      <c r="BI1095" s="1"/>
      <c r="BJ1095" s="1" t="s">
        <v>19457</v>
      </c>
      <c r="BK1095" s="1"/>
      <c r="BL1095" s="1"/>
      <c r="BM1095" s="1" t="s">
        <v>19458</v>
      </c>
      <c r="BN1095" s="1">
        <v>30</v>
      </c>
      <c r="BO1095" s="1" t="s">
        <v>19459</v>
      </c>
      <c r="BP1095" s="1" t="str">
        <f>HYPERLINK("https://nconnect.nicmar.ac.in/storage/profile/ProfilePhoto_P25701027_634982.jpg","Download")</f>
        <v>0</v>
      </c>
      <c r="BQ1095" s="3"/>
      <c r="BR1095" s="3"/>
    </row>
    <row r="1096" spans="1:70">
      <c r="A1096" s="1" t="s">
        <v>1563</v>
      </c>
      <c r="B1096" s="1" t="s">
        <v>1269</v>
      </c>
      <c r="C1096" s="1" t="s">
        <v>19460</v>
      </c>
      <c r="D1096" s="1" t="s">
        <v>19461</v>
      </c>
      <c r="E1096" s="1" t="s">
        <v>2428</v>
      </c>
      <c r="F1096" s="1" t="s">
        <v>13840</v>
      </c>
      <c r="G1096" s="1" t="s">
        <v>19462</v>
      </c>
      <c r="H1096" s="1" t="s">
        <v>19463</v>
      </c>
      <c r="I1096" s="1" t="s">
        <v>19464</v>
      </c>
      <c r="J1096" s="1">
        <v>9137393599</v>
      </c>
      <c r="K1096" s="1" t="s">
        <v>148</v>
      </c>
      <c r="L1096" s="1" t="s">
        <v>19465</v>
      </c>
      <c r="M1096" s="1" t="s">
        <v>81</v>
      </c>
      <c r="N1096" s="1" t="s">
        <v>2008</v>
      </c>
      <c r="O1096" s="1"/>
      <c r="P1096" s="1" t="s">
        <v>1278</v>
      </c>
      <c r="Q1096" s="1" t="s">
        <v>19466</v>
      </c>
      <c r="R1096" s="1" t="s">
        <v>2428</v>
      </c>
      <c r="S1096" s="1">
        <v>9004414079</v>
      </c>
      <c r="T1096" s="1" t="s">
        <v>19467</v>
      </c>
      <c r="U1096" s="1" t="s">
        <v>10761</v>
      </c>
      <c r="V1096" s="1">
        <v>9653468457</v>
      </c>
      <c r="W1096" s="1" t="s">
        <v>89</v>
      </c>
      <c r="X1096" s="1" t="s">
        <v>19468</v>
      </c>
      <c r="Y1096" s="1" t="s">
        <v>1623</v>
      </c>
      <c r="Z1096" s="1" t="s">
        <v>92</v>
      </c>
      <c r="AA1096" s="1" t="s">
        <v>19468</v>
      </c>
      <c r="AB1096" s="1" t="s">
        <v>1623</v>
      </c>
      <c r="AC1096" s="1" t="s">
        <v>92</v>
      </c>
      <c r="AD1096" s="1">
        <v>9.1</v>
      </c>
      <c r="AE1096" s="1" t="s">
        <v>93</v>
      </c>
      <c r="AF1096" s="1" t="s">
        <v>11006</v>
      </c>
      <c r="AG1096" s="1" t="s">
        <v>476</v>
      </c>
      <c r="AH1096" s="1" t="s">
        <v>96</v>
      </c>
      <c r="AI1096" s="1" t="s">
        <v>97</v>
      </c>
      <c r="AJ1096" s="1">
        <v>87.2</v>
      </c>
      <c r="AK1096" s="1"/>
      <c r="AL1096" s="1" t="s">
        <v>19469</v>
      </c>
      <c r="AM1096" s="1" t="s">
        <v>476</v>
      </c>
      <c r="AN1096" s="1" t="s">
        <v>100</v>
      </c>
      <c r="AO1096" s="1" t="s">
        <v>479</v>
      </c>
      <c r="AP1096" s="1">
        <v>64</v>
      </c>
      <c r="AQ1096" s="1"/>
      <c r="AR1096" s="1"/>
      <c r="AS1096" s="1"/>
      <c r="AT1096" s="1"/>
      <c r="AU1096" s="1"/>
      <c r="AV1096" s="1"/>
      <c r="AW1096" s="1"/>
      <c r="AX1096" s="1" t="s">
        <v>1024</v>
      </c>
      <c r="AY1096" s="1" t="s">
        <v>19470</v>
      </c>
      <c r="AZ1096" s="1" t="s">
        <v>225</v>
      </c>
      <c r="BA1096" s="1" t="s">
        <v>575</v>
      </c>
      <c r="BB1096" s="1">
        <v>71</v>
      </c>
      <c r="BC1096" s="1">
        <v>8.78</v>
      </c>
      <c r="BD1096" s="1"/>
      <c r="BE1096" s="1"/>
      <c r="BF1096" s="1"/>
      <c r="BG1096" s="1"/>
      <c r="BH1096" s="1"/>
      <c r="BI1096" s="1"/>
      <c r="BJ1096" s="1" t="s">
        <v>19471</v>
      </c>
      <c r="BK1096" s="1" t="s">
        <v>19472</v>
      </c>
      <c r="BL1096" s="1" t="s">
        <v>3103</v>
      </c>
      <c r="BM1096" s="1" t="s">
        <v>19473</v>
      </c>
      <c r="BN1096" s="1">
        <v>26</v>
      </c>
      <c r="BO1096" s="1"/>
      <c r="BP1096" s="1" t="str">
        <f>HYPERLINK("https://nconnect.nicmar.ac.in/storage/profile/ProfilePhoto_P25701028_358741.jpg","Download")</f>
        <v>0</v>
      </c>
      <c r="BQ1096" s="3"/>
      <c r="BR1096" s="3"/>
    </row>
    <row r="1097" spans="1:70">
      <c r="A1097" s="1" t="s">
        <v>1563</v>
      </c>
      <c r="B1097" s="1" t="s">
        <v>1269</v>
      </c>
      <c r="C1097" s="1" t="s">
        <v>19474</v>
      </c>
      <c r="D1097" s="1" t="s">
        <v>19475</v>
      </c>
      <c r="E1097" s="1" t="s">
        <v>19476</v>
      </c>
      <c r="F1097" s="1" t="s">
        <v>19477</v>
      </c>
      <c r="G1097" s="1" t="s">
        <v>19478</v>
      </c>
      <c r="H1097" s="1" t="s">
        <v>19479</v>
      </c>
      <c r="I1097" s="1" t="s">
        <v>19480</v>
      </c>
      <c r="J1097" s="1">
        <v>9967603479</v>
      </c>
      <c r="K1097" s="1" t="s">
        <v>79</v>
      </c>
      <c r="L1097" s="1" t="s">
        <v>19481</v>
      </c>
      <c r="M1097" s="1" t="s">
        <v>81</v>
      </c>
      <c r="N1097" s="1" t="s">
        <v>1765</v>
      </c>
      <c r="O1097" s="1" t="s">
        <v>19482</v>
      </c>
      <c r="P1097" s="1" t="s">
        <v>1766</v>
      </c>
      <c r="Q1097" s="1" t="s">
        <v>19483</v>
      </c>
      <c r="R1097" s="1" t="s">
        <v>19484</v>
      </c>
      <c r="S1097" s="1">
        <v>9967603479</v>
      </c>
      <c r="T1097" s="1" t="s">
        <v>13848</v>
      </c>
      <c r="U1097" s="1" t="s">
        <v>19485</v>
      </c>
      <c r="V1097" s="1">
        <v>9920591071</v>
      </c>
      <c r="W1097" s="1" t="s">
        <v>122</v>
      </c>
      <c r="X1097" s="1" t="s">
        <v>19486</v>
      </c>
      <c r="Y1097" s="1" t="s">
        <v>1623</v>
      </c>
      <c r="Z1097" s="1" t="s">
        <v>92</v>
      </c>
      <c r="AA1097" s="1" t="s">
        <v>19486</v>
      </c>
      <c r="AB1097" s="1" t="s">
        <v>1623</v>
      </c>
      <c r="AC1097" s="1" t="s">
        <v>92</v>
      </c>
      <c r="AD1097" s="1">
        <v>7.34</v>
      </c>
      <c r="AE1097" s="1" t="s">
        <v>93</v>
      </c>
      <c r="AF1097" s="1" t="s">
        <v>19487</v>
      </c>
      <c r="AG1097" s="1" t="s">
        <v>19488</v>
      </c>
      <c r="AH1097" s="1" t="s">
        <v>527</v>
      </c>
      <c r="AI1097" s="1" t="s">
        <v>479</v>
      </c>
      <c r="AJ1097" s="1">
        <v>79</v>
      </c>
      <c r="AK1097" s="1"/>
      <c r="AL1097" s="1" t="s">
        <v>19489</v>
      </c>
      <c r="AM1097" s="1" t="s">
        <v>19488</v>
      </c>
      <c r="AN1097" s="1" t="s">
        <v>636</v>
      </c>
      <c r="AO1097" s="1" t="s">
        <v>308</v>
      </c>
      <c r="AP1097" s="1">
        <v>61.69</v>
      </c>
      <c r="AQ1097" s="1"/>
      <c r="AR1097" s="1"/>
      <c r="AS1097" s="1"/>
      <c r="AT1097" s="1"/>
      <c r="AU1097" s="1"/>
      <c r="AV1097" s="1"/>
      <c r="AW1097" s="1"/>
      <c r="AX1097" s="1" t="s">
        <v>253</v>
      </c>
      <c r="AY1097" s="1" t="s">
        <v>19490</v>
      </c>
      <c r="AZ1097" s="1" t="s">
        <v>201</v>
      </c>
      <c r="BA1097" s="1" t="s">
        <v>682</v>
      </c>
      <c r="BB1097" s="1">
        <v>73.32</v>
      </c>
      <c r="BC1097" s="1">
        <v>8.21</v>
      </c>
      <c r="BD1097" s="1"/>
      <c r="BE1097" s="1"/>
      <c r="BF1097" s="1"/>
      <c r="BG1097" s="1"/>
      <c r="BH1097" s="1"/>
      <c r="BI1097" s="1"/>
      <c r="BJ1097" s="1" t="s">
        <v>19491</v>
      </c>
      <c r="BK1097" s="1" t="s">
        <v>19492</v>
      </c>
      <c r="BL1097" s="1" t="s">
        <v>1919</v>
      </c>
      <c r="BM1097" s="1" t="s">
        <v>19493</v>
      </c>
      <c r="BN1097" s="1">
        <v>8</v>
      </c>
      <c r="BO1097" s="1" t="s">
        <v>19494</v>
      </c>
      <c r="BP1097" s="1" t="str">
        <f>HYPERLINK("https://nconnect.nicmar.ac.in/storage/profile/ProfilePhoto_P25701029_843927.jpg","Download")</f>
        <v>0</v>
      </c>
      <c r="BQ1097" s="3"/>
      <c r="BR1097" s="3"/>
    </row>
    <row r="1098" spans="1:70">
      <c r="A1098" s="1" t="s">
        <v>1563</v>
      </c>
      <c r="B1098" s="1" t="s">
        <v>1269</v>
      </c>
      <c r="C1098" s="1" t="s">
        <v>19495</v>
      </c>
      <c r="D1098" s="1" t="s">
        <v>19496</v>
      </c>
      <c r="E1098" s="1" t="s">
        <v>19497</v>
      </c>
      <c r="F1098" s="1" t="s">
        <v>19498</v>
      </c>
      <c r="G1098" s="1" t="s">
        <v>19499</v>
      </c>
      <c r="H1098" s="1" t="s">
        <v>19500</v>
      </c>
      <c r="I1098" s="1" t="s">
        <v>19501</v>
      </c>
      <c r="J1098" s="1">
        <v>7756019739</v>
      </c>
      <c r="K1098" s="1" t="s">
        <v>148</v>
      </c>
      <c r="L1098" s="1" t="s">
        <v>6791</v>
      </c>
      <c r="M1098" s="1" t="s">
        <v>81</v>
      </c>
      <c r="N1098" s="1" t="s">
        <v>2008</v>
      </c>
      <c r="O1098" s="1"/>
      <c r="P1098" s="1" t="s">
        <v>1278</v>
      </c>
      <c r="Q1098" s="1" t="s">
        <v>19502</v>
      </c>
      <c r="R1098" s="1" t="s">
        <v>19503</v>
      </c>
      <c r="S1098" s="1">
        <v>9850158134</v>
      </c>
      <c r="T1098" s="1" t="s">
        <v>19504</v>
      </c>
      <c r="U1098" s="1" t="s">
        <v>19505</v>
      </c>
      <c r="V1098" s="1">
        <v>9850819305</v>
      </c>
      <c r="W1098" s="1" t="s">
        <v>19506</v>
      </c>
      <c r="X1098" s="1" t="s">
        <v>19507</v>
      </c>
      <c r="Y1098" s="1" t="s">
        <v>191</v>
      </c>
      <c r="Z1098" s="1" t="s">
        <v>92</v>
      </c>
      <c r="AA1098" s="1" t="s">
        <v>19508</v>
      </c>
      <c r="AB1098" s="1" t="s">
        <v>405</v>
      </c>
      <c r="AC1098" s="1" t="s">
        <v>92</v>
      </c>
      <c r="AD1098" s="1">
        <v>8.37</v>
      </c>
      <c r="AE1098" s="1" t="s">
        <v>93</v>
      </c>
      <c r="AF1098" s="1" t="s">
        <v>19509</v>
      </c>
      <c r="AG1098" s="1" t="s">
        <v>307</v>
      </c>
      <c r="AH1098" s="1" t="s">
        <v>165</v>
      </c>
      <c r="AI1098" s="1" t="s">
        <v>101</v>
      </c>
      <c r="AJ1098" s="1">
        <v>89.4</v>
      </c>
      <c r="AK1098" s="1"/>
      <c r="AL1098" s="1" t="s">
        <v>19510</v>
      </c>
      <c r="AM1098" s="1" t="s">
        <v>307</v>
      </c>
      <c r="AN1098" s="1" t="s">
        <v>101</v>
      </c>
      <c r="AO1098" s="1" t="s">
        <v>699</v>
      </c>
      <c r="AP1098" s="1">
        <v>75</v>
      </c>
      <c r="AQ1098" s="1"/>
      <c r="AR1098" s="1"/>
      <c r="AS1098" s="1"/>
      <c r="AT1098" s="1"/>
      <c r="AU1098" s="1"/>
      <c r="AV1098" s="1"/>
      <c r="AW1098" s="1"/>
      <c r="AX1098" s="1" t="s">
        <v>18065</v>
      </c>
      <c r="AY1098" s="1" t="s">
        <v>19511</v>
      </c>
      <c r="AZ1098" s="1" t="s">
        <v>699</v>
      </c>
      <c r="BA1098" s="1" t="s">
        <v>1714</v>
      </c>
      <c r="BB1098" s="1">
        <v>72.09</v>
      </c>
      <c r="BC1098" s="1">
        <v>8.1</v>
      </c>
      <c r="BD1098" s="1"/>
      <c r="BE1098" s="1"/>
      <c r="BF1098" s="1"/>
      <c r="BG1098" s="1"/>
      <c r="BH1098" s="1"/>
      <c r="BI1098" s="1"/>
      <c r="BJ1098" s="1" t="s">
        <v>19512</v>
      </c>
      <c r="BK1098" s="1"/>
      <c r="BL1098" s="1"/>
      <c r="BM1098" s="1" t="s">
        <v>19513</v>
      </c>
      <c r="BN1098" s="1">
        <v>34</v>
      </c>
      <c r="BO1098" s="1" t="s">
        <v>19244</v>
      </c>
      <c r="BP1098" s="1" t="str">
        <f>HYPERLINK("https://nconnect.nicmar.ac.in/storage/profile/ProfilePhoto_P25701030_785132.jpg","Download")</f>
        <v>0</v>
      </c>
      <c r="BQ1098" s="3"/>
      <c r="BR1098" s="3"/>
    </row>
    <row r="1099" spans="1:70">
      <c r="A1099" s="1" t="s">
        <v>1563</v>
      </c>
      <c r="B1099" s="1" t="s">
        <v>1269</v>
      </c>
      <c r="C1099" s="1" t="s">
        <v>19514</v>
      </c>
      <c r="D1099" s="1" t="s">
        <v>2286</v>
      </c>
      <c r="E1099" s="1" t="s">
        <v>234</v>
      </c>
      <c r="F1099" s="1" t="s">
        <v>4648</v>
      </c>
      <c r="G1099" s="1" t="s">
        <v>19515</v>
      </c>
      <c r="H1099" s="1" t="s">
        <v>19516</v>
      </c>
      <c r="I1099" s="1" t="s">
        <v>19517</v>
      </c>
      <c r="J1099" s="1">
        <v>7887865509</v>
      </c>
      <c r="K1099" s="1" t="s">
        <v>148</v>
      </c>
      <c r="L1099" s="1" t="s">
        <v>19518</v>
      </c>
      <c r="M1099" s="1" t="s">
        <v>81</v>
      </c>
      <c r="N1099" s="1" t="s">
        <v>1418</v>
      </c>
      <c r="O1099" s="1"/>
      <c r="P1099" s="1" t="s">
        <v>1278</v>
      </c>
      <c r="Q1099" s="1" t="s">
        <v>19519</v>
      </c>
      <c r="R1099" s="1" t="s">
        <v>234</v>
      </c>
      <c r="S1099" s="1">
        <v>9823155662</v>
      </c>
      <c r="T1099" s="1" t="s">
        <v>3190</v>
      </c>
      <c r="U1099" s="1" t="s">
        <v>13788</v>
      </c>
      <c r="V1099" s="1">
        <v>9423106222</v>
      </c>
      <c r="W1099" s="1" t="s">
        <v>520</v>
      </c>
      <c r="X1099" s="1" t="s">
        <v>19520</v>
      </c>
      <c r="Y1099" s="1" t="s">
        <v>191</v>
      </c>
      <c r="Z1099" s="1" t="s">
        <v>92</v>
      </c>
      <c r="AA1099" s="1" t="s">
        <v>19521</v>
      </c>
      <c r="AB1099" s="1" t="s">
        <v>405</v>
      </c>
      <c r="AC1099" s="1" t="s">
        <v>92</v>
      </c>
      <c r="AD1099" s="1">
        <v>9.29</v>
      </c>
      <c r="AE1099" s="1" t="s">
        <v>93</v>
      </c>
      <c r="AF1099" s="1" t="s">
        <v>19522</v>
      </c>
      <c r="AG1099" s="1" t="s">
        <v>939</v>
      </c>
      <c r="AH1099" s="1" t="s">
        <v>456</v>
      </c>
      <c r="AI1099" s="1" t="s">
        <v>165</v>
      </c>
      <c r="AJ1099" s="1">
        <v>95</v>
      </c>
      <c r="AK1099" s="1">
        <v>10</v>
      </c>
      <c r="AL1099" s="1" t="s">
        <v>19523</v>
      </c>
      <c r="AM1099" s="1" t="s">
        <v>3154</v>
      </c>
      <c r="AN1099" s="1" t="s">
        <v>101</v>
      </c>
      <c r="AO1099" s="1" t="s">
        <v>198</v>
      </c>
      <c r="AP1099" s="1">
        <v>76</v>
      </c>
      <c r="AQ1099" s="1">
        <v>0</v>
      </c>
      <c r="AR1099" s="1"/>
      <c r="AS1099" s="1"/>
      <c r="AT1099" s="1"/>
      <c r="AU1099" s="1"/>
      <c r="AV1099" s="1"/>
      <c r="AW1099" s="1"/>
      <c r="AX1099" s="1" t="s">
        <v>253</v>
      </c>
      <c r="AY1099" s="1" t="s">
        <v>19524</v>
      </c>
      <c r="AZ1099" s="1" t="s">
        <v>310</v>
      </c>
      <c r="BA1099" s="1" t="s">
        <v>413</v>
      </c>
      <c r="BB1099" s="1">
        <v>75.64</v>
      </c>
      <c r="BC1099" s="1">
        <v>8.6</v>
      </c>
      <c r="BD1099" s="1"/>
      <c r="BE1099" s="1"/>
      <c r="BF1099" s="1"/>
      <c r="BG1099" s="1"/>
      <c r="BH1099" s="1"/>
      <c r="BI1099" s="1"/>
      <c r="BJ1099" s="1" t="s">
        <v>19525</v>
      </c>
      <c r="BK1099" s="1" t="s">
        <v>19526</v>
      </c>
      <c r="BL1099" s="1" t="s">
        <v>1895</v>
      </c>
      <c r="BM1099" s="1" t="s">
        <v>19527</v>
      </c>
      <c r="BN1099" s="1">
        <v>44</v>
      </c>
      <c r="BO1099" s="1" t="s">
        <v>19528</v>
      </c>
      <c r="BP1099" s="1" t="str">
        <f>HYPERLINK("https://nconnect.nicmar.ac.in/storage/profile/ProfilePhoto_P25701031_957842.jpg","Download")</f>
        <v>0</v>
      </c>
      <c r="BQ1099" s="3"/>
      <c r="BR1099" s="3"/>
    </row>
    <row r="1100" spans="1:70">
      <c r="A1100" s="1" t="s">
        <v>1563</v>
      </c>
      <c r="B1100" s="1" t="s">
        <v>1269</v>
      </c>
      <c r="C1100" s="1" t="s">
        <v>19529</v>
      </c>
      <c r="D1100" s="1" t="s">
        <v>19530</v>
      </c>
      <c r="E1100" s="1" t="s">
        <v>465</v>
      </c>
      <c r="F1100" s="1" t="s">
        <v>19531</v>
      </c>
      <c r="G1100" s="1" t="s">
        <v>19532</v>
      </c>
      <c r="H1100" s="1" t="s">
        <v>19533</v>
      </c>
      <c r="I1100" s="1" t="s">
        <v>19534</v>
      </c>
      <c r="J1100" s="1">
        <v>8308644930</v>
      </c>
      <c r="K1100" s="1" t="s">
        <v>148</v>
      </c>
      <c r="L1100" s="1" t="s">
        <v>16135</v>
      </c>
      <c r="M1100" s="1" t="s">
        <v>81</v>
      </c>
      <c r="N1100" s="1" t="s">
        <v>3229</v>
      </c>
      <c r="O1100" s="1"/>
      <c r="P1100" s="1" t="s">
        <v>1323</v>
      </c>
      <c r="Q1100" s="1" t="s">
        <v>19535</v>
      </c>
      <c r="R1100" s="1" t="s">
        <v>19536</v>
      </c>
      <c r="S1100" s="1">
        <v>9595097780</v>
      </c>
      <c r="T1100" s="1" t="s">
        <v>763</v>
      </c>
      <c r="U1100" s="1" t="s">
        <v>19537</v>
      </c>
      <c r="V1100" s="1">
        <v>9527085919</v>
      </c>
      <c r="W1100" s="1" t="s">
        <v>763</v>
      </c>
      <c r="X1100" s="1" t="s">
        <v>19538</v>
      </c>
      <c r="Y1100" s="1" t="s">
        <v>191</v>
      </c>
      <c r="Z1100" s="1" t="s">
        <v>92</v>
      </c>
      <c r="AA1100" s="1" t="s">
        <v>19538</v>
      </c>
      <c r="AB1100" s="1" t="s">
        <v>191</v>
      </c>
      <c r="AC1100" s="1" t="s">
        <v>92</v>
      </c>
      <c r="AD1100" s="1">
        <v>9.02</v>
      </c>
      <c r="AE1100" s="1" t="s">
        <v>93</v>
      </c>
      <c r="AF1100" s="1" t="s">
        <v>10408</v>
      </c>
      <c r="AG1100" s="1" t="s">
        <v>19113</v>
      </c>
      <c r="AH1100" s="1" t="s">
        <v>503</v>
      </c>
      <c r="AI1100" s="1" t="s">
        <v>527</v>
      </c>
      <c r="AJ1100" s="1">
        <v>93.1</v>
      </c>
      <c r="AK1100" s="1">
        <v>9.8</v>
      </c>
      <c r="AL1100" s="1" t="s">
        <v>19539</v>
      </c>
      <c r="AM1100" s="1" t="s">
        <v>3154</v>
      </c>
      <c r="AN1100" s="1" t="s">
        <v>479</v>
      </c>
      <c r="AO1100" s="1" t="s">
        <v>166</v>
      </c>
      <c r="AP1100" s="1">
        <v>73.85</v>
      </c>
      <c r="AQ1100" s="1"/>
      <c r="AR1100" s="1"/>
      <c r="AS1100" s="1"/>
      <c r="AT1100" s="1"/>
      <c r="AU1100" s="1"/>
      <c r="AV1100" s="1"/>
      <c r="AW1100" s="1"/>
      <c r="AX1100" s="1" t="s">
        <v>361</v>
      </c>
      <c r="AY1100" s="1" t="s">
        <v>19511</v>
      </c>
      <c r="AZ1100" s="1" t="s">
        <v>169</v>
      </c>
      <c r="BA1100" s="1" t="s">
        <v>590</v>
      </c>
      <c r="BB1100" s="1">
        <v>75.96</v>
      </c>
      <c r="BC1100" s="1">
        <v>8.4</v>
      </c>
      <c r="BD1100" s="1"/>
      <c r="BE1100" s="1"/>
      <c r="BF1100" s="1"/>
      <c r="BG1100" s="1"/>
      <c r="BH1100" s="1"/>
      <c r="BI1100" s="1"/>
      <c r="BJ1100" s="1" t="s">
        <v>19540</v>
      </c>
      <c r="BK1100" s="1" t="s">
        <v>19541</v>
      </c>
      <c r="BL1100" s="1" t="s">
        <v>3239</v>
      </c>
      <c r="BM1100" s="1" t="s">
        <v>19542</v>
      </c>
      <c r="BN1100" s="1">
        <v>28</v>
      </c>
      <c r="BO1100" s="1" t="s">
        <v>19543</v>
      </c>
      <c r="BP1100" s="1" t="str">
        <f>HYPERLINK("https://nconnect.nicmar.ac.in/storage/profile/ProfilePhoto_P25701032_539862.jpg","Download")</f>
        <v>0</v>
      </c>
      <c r="BQ1100" s="3"/>
      <c r="BR1100" s="3"/>
    </row>
    <row r="1101" spans="1:70">
      <c r="A1101" s="1" t="s">
        <v>1563</v>
      </c>
      <c r="B1101" s="1" t="s">
        <v>1269</v>
      </c>
      <c r="C1101" s="1" t="s">
        <v>19544</v>
      </c>
      <c r="D1101" s="1" t="s">
        <v>19545</v>
      </c>
      <c r="E1101" s="1" t="s">
        <v>1546</v>
      </c>
      <c r="F1101" s="1" t="s">
        <v>10496</v>
      </c>
      <c r="G1101" s="1" t="s">
        <v>19546</v>
      </c>
      <c r="H1101" s="1" t="s">
        <v>19547</v>
      </c>
      <c r="I1101" s="1" t="s">
        <v>19548</v>
      </c>
      <c r="J1101" s="1">
        <v>8999332569</v>
      </c>
      <c r="K1101" s="1" t="s">
        <v>79</v>
      </c>
      <c r="L1101" s="1" t="s">
        <v>18558</v>
      </c>
      <c r="M1101" s="1" t="s">
        <v>81</v>
      </c>
      <c r="N1101" s="1" t="s">
        <v>860</v>
      </c>
      <c r="O1101" s="1" t="s">
        <v>19549</v>
      </c>
      <c r="P1101" s="1" t="s">
        <v>1323</v>
      </c>
      <c r="Q1101" s="1" t="s">
        <v>19550</v>
      </c>
      <c r="R1101" s="1" t="s">
        <v>1546</v>
      </c>
      <c r="S1101" s="1">
        <v>9422915948</v>
      </c>
      <c r="T1101" s="1" t="s">
        <v>1953</v>
      </c>
      <c r="U1101" s="1" t="s">
        <v>19551</v>
      </c>
      <c r="V1101" s="1">
        <v>8668258137</v>
      </c>
      <c r="W1101" s="1" t="s">
        <v>156</v>
      </c>
      <c r="X1101" s="1" t="s">
        <v>19552</v>
      </c>
      <c r="Y1101" s="1" t="s">
        <v>219</v>
      </c>
      <c r="Z1101" s="1" t="s">
        <v>92</v>
      </c>
      <c r="AA1101" s="1" t="s">
        <v>19552</v>
      </c>
      <c r="AB1101" s="1" t="s">
        <v>219</v>
      </c>
      <c r="AC1101" s="1" t="s">
        <v>92</v>
      </c>
      <c r="AD1101" s="1">
        <v>8.63</v>
      </c>
      <c r="AE1101" s="1" t="s">
        <v>93</v>
      </c>
      <c r="AF1101" s="1" t="s">
        <v>19553</v>
      </c>
      <c r="AG1101" s="1" t="s">
        <v>19554</v>
      </c>
      <c r="AH1101" s="1" t="s">
        <v>281</v>
      </c>
      <c r="AI1101" s="1" t="s">
        <v>409</v>
      </c>
      <c r="AJ1101" s="1">
        <v>73.6</v>
      </c>
      <c r="AK1101" s="1">
        <v>0</v>
      </c>
      <c r="AL1101" s="1" t="s">
        <v>19555</v>
      </c>
      <c r="AM1101" s="1" t="s">
        <v>19554</v>
      </c>
      <c r="AN1101" s="1" t="s">
        <v>1833</v>
      </c>
      <c r="AO1101" s="1" t="s">
        <v>2016</v>
      </c>
      <c r="AP1101" s="1">
        <v>85.83</v>
      </c>
      <c r="AQ1101" s="1">
        <v>0</v>
      </c>
      <c r="AR1101" s="1"/>
      <c r="AS1101" s="1"/>
      <c r="AT1101" s="1"/>
      <c r="AU1101" s="1"/>
      <c r="AV1101" s="1"/>
      <c r="AW1101" s="1"/>
      <c r="AX1101" s="1" t="s">
        <v>335</v>
      </c>
      <c r="AY1101" s="1" t="s">
        <v>19556</v>
      </c>
      <c r="AZ1101" s="1" t="s">
        <v>1131</v>
      </c>
      <c r="BA1101" s="1" t="s">
        <v>1938</v>
      </c>
      <c r="BB1101" s="1">
        <v>60.33</v>
      </c>
      <c r="BC1101" s="1">
        <v>0</v>
      </c>
      <c r="BD1101" s="1"/>
      <c r="BE1101" s="1"/>
      <c r="BF1101" s="1"/>
      <c r="BG1101" s="1"/>
      <c r="BH1101" s="1"/>
      <c r="BI1101" s="1"/>
      <c r="BJ1101" s="1" t="s">
        <v>19557</v>
      </c>
      <c r="BK1101" s="1"/>
      <c r="BL1101" s="1"/>
      <c r="BM1101" s="1" t="s">
        <v>19558</v>
      </c>
      <c r="BN1101" s="1">
        <v>8</v>
      </c>
      <c r="BO1101" s="1" t="s">
        <v>19559</v>
      </c>
      <c r="BP1101" s="1" t="str">
        <f>HYPERLINK("https://nconnect.nicmar.ac.in/storage/profile/ProfilePhoto_P25701033_941258.jpg","Download")</f>
        <v>0</v>
      </c>
      <c r="BQ1101" s="3"/>
      <c r="BR1101" s="3"/>
    </row>
    <row r="1102" spans="1:70">
      <c r="A1102" s="1" t="s">
        <v>1563</v>
      </c>
      <c r="B1102" s="1" t="s">
        <v>1269</v>
      </c>
      <c r="C1102" s="1" t="s">
        <v>19560</v>
      </c>
      <c r="D1102" s="1" t="s">
        <v>111</v>
      </c>
      <c r="E1102" s="1"/>
      <c r="F1102" s="1" t="s">
        <v>19561</v>
      </c>
      <c r="G1102" s="1" t="s">
        <v>19562</v>
      </c>
      <c r="H1102" s="1" t="s">
        <v>19563</v>
      </c>
      <c r="I1102" s="1" t="s">
        <v>19564</v>
      </c>
      <c r="J1102" s="1">
        <v>9123555603</v>
      </c>
      <c r="K1102" s="1" t="s">
        <v>79</v>
      </c>
      <c r="L1102" s="1" t="s">
        <v>19565</v>
      </c>
      <c r="M1102" s="1" t="s">
        <v>81</v>
      </c>
      <c r="N1102" s="1" t="s">
        <v>12595</v>
      </c>
      <c r="O1102" s="1"/>
      <c r="P1102" s="1" t="s">
        <v>1766</v>
      </c>
      <c r="Q1102" s="1" t="s">
        <v>19566</v>
      </c>
      <c r="R1102" s="1" t="s">
        <v>19567</v>
      </c>
      <c r="S1102" s="1">
        <v>7358438796</v>
      </c>
      <c r="T1102" s="1" t="s">
        <v>19568</v>
      </c>
      <c r="U1102" s="1" t="s">
        <v>19569</v>
      </c>
      <c r="V1102" s="1">
        <v>8056810640</v>
      </c>
      <c r="W1102" s="1" t="s">
        <v>651</v>
      </c>
      <c r="X1102" s="1" t="s">
        <v>19570</v>
      </c>
      <c r="Y1102" s="1" t="s">
        <v>2318</v>
      </c>
      <c r="Z1102" s="1" t="s">
        <v>1377</v>
      </c>
      <c r="AA1102" s="1" t="s">
        <v>19570</v>
      </c>
      <c r="AB1102" s="1" t="s">
        <v>2318</v>
      </c>
      <c r="AC1102" s="1" t="s">
        <v>1377</v>
      </c>
      <c r="AD1102" s="1">
        <v>8.26</v>
      </c>
      <c r="AE1102" s="1" t="s">
        <v>93</v>
      </c>
      <c r="AF1102" s="1" t="s">
        <v>501</v>
      </c>
      <c r="AG1102" s="1" t="s">
        <v>19571</v>
      </c>
      <c r="AH1102" s="1" t="s">
        <v>658</v>
      </c>
      <c r="AI1102" s="1" t="s">
        <v>1197</v>
      </c>
      <c r="AJ1102" s="1">
        <v>74.1</v>
      </c>
      <c r="AK1102" s="1">
        <v>7.8</v>
      </c>
      <c r="AL1102" s="1" t="s">
        <v>2419</v>
      </c>
      <c r="AM1102" s="1" t="s">
        <v>613</v>
      </c>
      <c r="AN1102" s="1" t="s">
        <v>96</v>
      </c>
      <c r="AO1102" s="1" t="s">
        <v>279</v>
      </c>
      <c r="AP1102" s="1">
        <v>92.3</v>
      </c>
      <c r="AQ1102" s="1"/>
      <c r="AR1102" s="1"/>
      <c r="AS1102" s="1"/>
      <c r="AT1102" s="1"/>
      <c r="AU1102" s="1"/>
      <c r="AV1102" s="1"/>
      <c r="AW1102" s="1"/>
      <c r="AX1102" s="1" t="s">
        <v>19572</v>
      </c>
      <c r="AY1102" s="1" t="s">
        <v>19573</v>
      </c>
      <c r="AZ1102" s="1" t="s">
        <v>134</v>
      </c>
      <c r="BA1102" s="1" t="s">
        <v>436</v>
      </c>
      <c r="BB1102" s="1">
        <v>74.4</v>
      </c>
      <c r="BC1102" s="1">
        <v>7.44</v>
      </c>
      <c r="BD1102" s="1"/>
      <c r="BE1102" s="1"/>
      <c r="BF1102" s="1"/>
      <c r="BG1102" s="1"/>
      <c r="BH1102" s="1"/>
      <c r="BI1102" s="1"/>
      <c r="BJ1102" s="1" t="s">
        <v>19574</v>
      </c>
      <c r="BK1102" s="1" t="s">
        <v>19575</v>
      </c>
      <c r="BL1102" s="1" t="s">
        <v>16353</v>
      </c>
      <c r="BM1102" s="1" t="s">
        <v>19576</v>
      </c>
      <c r="BN1102" s="1">
        <v>26</v>
      </c>
      <c r="BO1102" s="1"/>
      <c r="BP1102" s="1" t="str">
        <f>HYPERLINK("https://nconnect.nicmar.ac.in/storage/profile/ProfilePhoto_P25701034_463527.jpg","Download")</f>
        <v>0</v>
      </c>
      <c r="BQ1102" s="3"/>
      <c r="BR1102" s="3"/>
    </row>
    <row r="1103" spans="1:70">
      <c r="A1103" s="1" t="s">
        <v>1563</v>
      </c>
      <c r="B1103" s="1" t="s">
        <v>1269</v>
      </c>
      <c r="C1103" s="1" t="s">
        <v>19577</v>
      </c>
      <c r="D1103" s="1" t="s">
        <v>19578</v>
      </c>
      <c r="E1103" s="1" t="s">
        <v>444</v>
      </c>
      <c r="F1103" s="1" t="s">
        <v>3031</v>
      </c>
      <c r="G1103" s="1" t="s">
        <v>19579</v>
      </c>
      <c r="H1103" s="1" t="s">
        <v>19580</v>
      </c>
      <c r="I1103" s="1" t="s">
        <v>19581</v>
      </c>
      <c r="J1103" s="1">
        <v>9619687622</v>
      </c>
      <c r="K1103" s="1" t="s">
        <v>148</v>
      </c>
      <c r="L1103" s="1" t="s">
        <v>19582</v>
      </c>
      <c r="M1103" s="1" t="s">
        <v>81</v>
      </c>
      <c r="N1103" s="1" t="s">
        <v>241</v>
      </c>
      <c r="O1103" s="1"/>
      <c r="P1103" s="1" t="s">
        <v>1323</v>
      </c>
      <c r="Q1103" s="1" t="s">
        <v>19583</v>
      </c>
      <c r="R1103" s="1" t="s">
        <v>444</v>
      </c>
      <c r="S1103" s="1">
        <v>9892424677</v>
      </c>
      <c r="T1103" s="1" t="s">
        <v>910</v>
      </c>
      <c r="U1103" s="1" t="s">
        <v>1139</v>
      </c>
      <c r="V1103" s="1">
        <v>9819902653</v>
      </c>
      <c r="W1103" s="1" t="s">
        <v>89</v>
      </c>
      <c r="X1103" s="1" t="s">
        <v>19584</v>
      </c>
      <c r="Y1103" s="1" t="s">
        <v>1623</v>
      </c>
      <c r="Z1103" s="1" t="s">
        <v>92</v>
      </c>
      <c r="AA1103" s="1" t="s">
        <v>19585</v>
      </c>
      <c r="AB1103" s="1" t="s">
        <v>1623</v>
      </c>
      <c r="AC1103" s="1" t="s">
        <v>92</v>
      </c>
      <c r="AD1103" s="1">
        <v>9.12</v>
      </c>
      <c r="AE1103" s="1" t="s">
        <v>93</v>
      </c>
      <c r="AF1103" s="1" t="s">
        <v>19586</v>
      </c>
      <c r="AG1103" s="1" t="s">
        <v>1152</v>
      </c>
      <c r="AH1103" s="1" t="s">
        <v>279</v>
      </c>
      <c r="AI1103" s="1" t="s">
        <v>479</v>
      </c>
      <c r="AJ1103" s="1">
        <v>91.16</v>
      </c>
      <c r="AK1103" s="1">
        <v>0</v>
      </c>
      <c r="AL1103" s="1" t="s">
        <v>19185</v>
      </c>
      <c r="AM1103" s="1" t="s">
        <v>160</v>
      </c>
      <c r="AN1103" s="1" t="s">
        <v>101</v>
      </c>
      <c r="AO1103" s="1" t="s">
        <v>198</v>
      </c>
      <c r="AP1103" s="1">
        <v>73.69</v>
      </c>
      <c r="AQ1103" s="1">
        <v>0</v>
      </c>
      <c r="AR1103" s="1"/>
      <c r="AS1103" s="1"/>
      <c r="AT1103" s="1"/>
      <c r="AU1103" s="1"/>
      <c r="AV1103" s="1"/>
      <c r="AW1103" s="1"/>
      <c r="AX1103" s="1" t="s">
        <v>253</v>
      </c>
      <c r="AY1103" s="1" t="s">
        <v>19587</v>
      </c>
      <c r="AZ1103" s="1" t="s">
        <v>201</v>
      </c>
      <c r="BA1103" s="1" t="s">
        <v>413</v>
      </c>
      <c r="BB1103" s="1">
        <v>74.53</v>
      </c>
      <c r="BC1103" s="1">
        <v>8.45</v>
      </c>
      <c r="BD1103" s="1"/>
      <c r="BE1103" s="1"/>
      <c r="BF1103" s="1"/>
      <c r="BG1103" s="1"/>
      <c r="BH1103" s="1"/>
      <c r="BI1103" s="1"/>
      <c r="BJ1103" s="1" t="s">
        <v>19588</v>
      </c>
      <c r="BK1103" s="1" t="s">
        <v>19589</v>
      </c>
      <c r="BL1103" s="1" t="s">
        <v>1895</v>
      </c>
      <c r="BM1103" s="1" t="s">
        <v>19590</v>
      </c>
      <c r="BN1103" s="1">
        <v>30</v>
      </c>
      <c r="BO1103" s="1"/>
      <c r="BP1103" s="1" t="str">
        <f>HYPERLINK("https://nconnect.nicmar.ac.in/storage/profile/ProfilePhoto_P25701035_827956.jpg","Download")</f>
        <v>0</v>
      </c>
      <c r="BQ1103" s="3"/>
      <c r="BR1103" s="3"/>
    </row>
    <row r="1104" spans="1:70">
      <c r="A1104" s="1" t="s">
        <v>1563</v>
      </c>
      <c r="B1104" s="1" t="s">
        <v>1269</v>
      </c>
      <c r="C1104" s="1" t="s">
        <v>19591</v>
      </c>
      <c r="D1104" s="1" t="s">
        <v>2699</v>
      </c>
      <c r="E1104" s="1"/>
      <c r="F1104" s="1" t="s">
        <v>19592</v>
      </c>
      <c r="G1104" s="1" t="s">
        <v>19593</v>
      </c>
      <c r="H1104" s="1" t="s">
        <v>19594</v>
      </c>
      <c r="I1104" s="1" t="s">
        <v>19595</v>
      </c>
      <c r="J1104" s="1">
        <v>9392753545</v>
      </c>
      <c r="K1104" s="1" t="s">
        <v>148</v>
      </c>
      <c r="L1104" s="1" t="s">
        <v>19596</v>
      </c>
      <c r="M1104" s="1" t="s">
        <v>81</v>
      </c>
      <c r="N1104" s="1" t="s">
        <v>19597</v>
      </c>
      <c r="O1104" s="1" t="s">
        <v>19598</v>
      </c>
      <c r="P1104" s="1" t="s">
        <v>1323</v>
      </c>
      <c r="Q1104" s="1" t="s">
        <v>19599</v>
      </c>
      <c r="R1104" s="1" t="s">
        <v>19600</v>
      </c>
      <c r="S1104" s="1">
        <v>9885067159</v>
      </c>
      <c r="T1104" s="1" t="s">
        <v>496</v>
      </c>
      <c r="U1104" s="1" t="s">
        <v>19601</v>
      </c>
      <c r="V1104" s="1">
        <v>9347062402</v>
      </c>
      <c r="W1104" s="1" t="s">
        <v>651</v>
      </c>
      <c r="X1104" s="1" t="s">
        <v>19602</v>
      </c>
      <c r="Y1104" s="1" t="s">
        <v>1578</v>
      </c>
      <c r="Z1104" s="1" t="s">
        <v>276</v>
      </c>
      <c r="AA1104" s="1" t="s">
        <v>19602</v>
      </c>
      <c r="AB1104" s="1" t="s">
        <v>1578</v>
      </c>
      <c r="AC1104" s="1" t="s">
        <v>276</v>
      </c>
      <c r="AD1104" s="1">
        <v>8.77</v>
      </c>
      <c r="AE1104" s="1" t="s">
        <v>93</v>
      </c>
      <c r="AF1104" s="1" t="s">
        <v>19603</v>
      </c>
      <c r="AG1104" s="1" t="s">
        <v>307</v>
      </c>
      <c r="AH1104" s="1" t="s">
        <v>383</v>
      </c>
      <c r="AI1104" s="1" t="s">
        <v>166</v>
      </c>
      <c r="AJ1104" s="1">
        <v>87.8</v>
      </c>
      <c r="AK1104" s="1"/>
      <c r="AL1104" s="1" t="s">
        <v>612</v>
      </c>
      <c r="AM1104" s="1" t="s">
        <v>19604</v>
      </c>
      <c r="AN1104" s="1" t="s">
        <v>166</v>
      </c>
      <c r="AO1104" s="1" t="s">
        <v>360</v>
      </c>
      <c r="AP1104" s="1">
        <v>95.7</v>
      </c>
      <c r="AQ1104" s="1">
        <v>9.57</v>
      </c>
      <c r="AR1104" s="1"/>
      <c r="AS1104" s="1"/>
      <c r="AT1104" s="1"/>
      <c r="AU1104" s="1"/>
      <c r="AV1104" s="1"/>
      <c r="AW1104" s="1"/>
      <c r="AX1104" s="1" t="s">
        <v>19605</v>
      </c>
      <c r="AY1104" s="1" t="s">
        <v>19606</v>
      </c>
      <c r="AZ1104" s="1" t="s">
        <v>170</v>
      </c>
      <c r="BA1104" s="1" t="s">
        <v>1361</v>
      </c>
      <c r="BB1104" s="1">
        <v>81.2</v>
      </c>
      <c r="BC1104" s="1">
        <v>8.87</v>
      </c>
      <c r="BD1104" s="1"/>
      <c r="BE1104" s="1"/>
      <c r="BF1104" s="1"/>
      <c r="BG1104" s="1"/>
      <c r="BH1104" s="1"/>
      <c r="BI1104" s="1"/>
      <c r="BJ1104" s="1" t="s">
        <v>19607</v>
      </c>
      <c r="BK1104" s="1"/>
      <c r="BL1104" s="1"/>
      <c r="BM1104" s="1" t="s">
        <v>19608</v>
      </c>
      <c r="BN1104" s="1">
        <v>35</v>
      </c>
      <c r="BO1104" s="1" t="s">
        <v>19609</v>
      </c>
      <c r="BP1104" s="1" t="str">
        <f>HYPERLINK("https://nconnect.nicmar.ac.in/storage/profile/ProfilePhoto_P25701036_451738.jpg","Download")</f>
        <v>0</v>
      </c>
      <c r="BQ1104" s="3"/>
      <c r="BR1104" s="3"/>
    </row>
    <row r="1105" spans="1:70">
      <c r="A1105" s="1" t="s">
        <v>1563</v>
      </c>
      <c r="B1105" s="1" t="s">
        <v>1269</v>
      </c>
      <c r="C1105" s="1" t="s">
        <v>19610</v>
      </c>
      <c r="D1105" s="1" t="s">
        <v>19611</v>
      </c>
      <c r="E1105" s="1"/>
      <c r="F1105" s="1" t="s">
        <v>19612</v>
      </c>
      <c r="G1105" s="1" t="s">
        <v>19613</v>
      </c>
      <c r="H1105" s="1" t="s">
        <v>19614</v>
      </c>
      <c r="I1105" s="1" t="s">
        <v>19615</v>
      </c>
      <c r="J1105" s="1">
        <v>7306280013</v>
      </c>
      <c r="K1105" s="1" t="s">
        <v>148</v>
      </c>
      <c r="L1105" s="1" t="s">
        <v>17953</v>
      </c>
      <c r="M1105" s="1" t="s">
        <v>81</v>
      </c>
      <c r="N1105" s="1" t="s">
        <v>19616</v>
      </c>
      <c r="O1105" s="1"/>
      <c r="P1105" s="1" t="s">
        <v>1323</v>
      </c>
      <c r="Q1105" s="1" t="s">
        <v>19617</v>
      </c>
      <c r="R1105" s="1" t="s">
        <v>19618</v>
      </c>
      <c r="S1105" s="1">
        <v>8281347926</v>
      </c>
      <c r="T1105" s="1" t="s">
        <v>19619</v>
      </c>
      <c r="U1105" s="1" t="s">
        <v>19620</v>
      </c>
      <c r="V1105" s="1">
        <v>9495407926</v>
      </c>
      <c r="W1105" s="1" t="s">
        <v>19621</v>
      </c>
      <c r="X1105" s="1" t="s">
        <v>19622</v>
      </c>
      <c r="Y1105" s="1" t="s">
        <v>3988</v>
      </c>
      <c r="Z1105" s="1" t="s">
        <v>125</v>
      </c>
      <c r="AA1105" s="1" t="s">
        <v>19622</v>
      </c>
      <c r="AB1105" s="1" t="s">
        <v>3988</v>
      </c>
      <c r="AC1105" s="1" t="s">
        <v>125</v>
      </c>
      <c r="AD1105" s="1">
        <v>7.59</v>
      </c>
      <c r="AE1105" s="1" t="s">
        <v>93</v>
      </c>
      <c r="AF1105" s="1" t="s">
        <v>19623</v>
      </c>
      <c r="AG1105" s="1" t="s">
        <v>19624</v>
      </c>
      <c r="AH1105" s="1" t="s">
        <v>162</v>
      </c>
      <c r="AI1105" s="1" t="s">
        <v>479</v>
      </c>
      <c r="AJ1105" s="1">
        <v>71.67</v>
      </c>
      <c r="AK1105" s="1"/>
      <c r="AL1105" s="1" t="s">
        <v>19625</v>
      </c>
      <c r="AM1105" s="1" t="s">
        <v>19626</v>
      </c>
      <c r="AN1105" s="1" t="s">
        <v>383</v>
      </c>
      <c r="AO1105" s="1" t="s">
        <v>308</v>
      </c>
      <c r="AP1105" s="1">
        <v>77.4</v>
      </c>
      <c r="AQ1105" s="1"/>
      <c r="AR1105" s="1"/>
      <c r="AS1105" s="1"/>
      <c r="AT1105" s="1" t="s">
        <v>174</v>
      </c>
      <c r="AU1105" s="1" t="s">
        <v>413</v>
      </c>
      <c r="AV1105" s="1"/>
      <c r="AW1105" s="1"/>
      <c r="AX1105" s="1" t="s">
        <v>132</v>
      </c>
      <c r="AY1105" s="1" t="s">
        <v>19627</v>
      </c>
      <c r="AZ1105" s="1" t="s">
        <v>310</v>
      </c>
      <c r="BA1105" s="1" t="s">
        <v>6010</v>
      </c>
      <c r="BB1105" s="1">
        <v>70.01</v>
      </c>
      <c r="BC1105" s="1"/>
      <c r="BD1105" s="1"/>
      <c r="BE1105" s="1"/>
      <c r="BF1105" s="1"/>
      <c r="BG1105" s="1"/>
      <c r="BH1105" s="1"/>
      <c r="BI1105" s="1"/>
      <c r="BJ1105" s="1" t="s">
        <v>19628</v>
      </c>
      <c r="BK1105" s="1"/>
      <c r="BL1105" s="1"/>
      <c r="BM1105" s="1" t="s">
        <v>19629</v>
      </c>
      <c r="BN1105" s="1">
        <v>33</v>
      </c>
      <c r="BO1105" s="1" t="s">
        <v>19630</v>
      </c>
      <c r="BP1105" s="1" t="str">
        <f>HYPERLINK("https://nconnect.nicmar.ac.in/storage/profile/ProfilePhoto_P25701037_823671.jpg","Download")</f>
        <v>0</v>
      </c>
      <c r="BQ1105" s="3"/>
      <c r="BR1105" s="3"/>
    </row>
    <row r="1106" spans="1:70">
      <c r="A1106" s="1" t="s">
        <v>1563</v>
      </c>
      <c r="B1106" s="1" t="s">
        <v>1269</v>
      </c>
      <c r="C1106" s="1" t="s">
        <v>19631</v>
      </c>
      <c r="D1106" s="1" t="s">
        <v>19632</v>
      </c>
      <c r="E1106" s="1"/>
      <c r="F1106" s="1" t="s">
        <v>3539</v>
      </c>
      <c r="G1106" s="1" t="s">
        <v>19633</v>
      </c>
      <c r="H1106" s="1" t="s">
        <v>19634</v>
      </c>
      <c r="I1106" s="1" t="s">
        <v>19635</v>
      </c>
      <c r="J1106" s="1">
        <v>7838118203</v>
      </c>
      <c r="K1106" s="1" t="s">
        <v>79</v>
      </c>
      <c r="L1106" s="1" t="s">
        <v>19636</v>
      </c>
      <c r="M1106" s="1" t="s">
        <v>81</v>
      </c>
      <c r="N1106" s="1" t="s">
        <v>241</v>
      </c>
      <c r="O1106" s="1"/>
      <c r="P1106" s="1" t="s">
        <v>1323</v>
      </c>
      <c r="Q1106" s="1" t="s">
        <v>19637</v>
      </c>
      <c r="R1106" s="1" t="s">
        <v>19638</v>
      </c>
      <c r="S1106" s="1">
        <v>7490047758</v>
      </c>
      <c r="T1106" s="1" t="s">
        <v>16542</v>
      </c>
      <c r="U1106" s="1" t="s">
        <v>19639</v>
      </c>
      <c r="V1106" s="1">
        <v>9540883202</v>
      </c>
      <c r="W1106" s="1" t="s">
        <v>651</v>
      </c>
      <c r="X1106" s="1" t="s">
        <v>19640</v>
      </c>
      <c r="Y1106" s="1" t="s">
        <v>4546</v>
      </c>
      <c r="Z1106" s="1" t="s">
        <v>1355</v>
      </c>
      <c r="AA1106" s="1" t="s">
        <v>19640</v>
      </c>
      <c r="AB1106" s="1" t="s">
        <v>4546</v>
      </c>
      <c r="AC1106" s="1" t="s">
        <v>1355</v>
      </c>
      <c r="AD1106" s="1">
        <v>8.36</v>
      </c>
      <c r="AE1106" s="1" t="s">
        <v>93</v>
      </c>
      <c r="AF1106" s="1" t="s">
        <v>19641</v>
      </c>
      <c r="AG1106" s="1" t="s">
        <v>19642</v>
      </c>
      <c r="AH1106" s="1" t="s">
        <v>4549</v>
      </c>
      <c r="AI1106" s="1" t="s">
        <v>129</v>
      </c>
      <c r="AJ1106" s="1">
        <v>64.6</v>
      </c>
      <c r="AK1106" s="1">
        <v>6.8</v>
      </c>
      <c r="AL1106" s="1" t="s">
        <v>19643</v>
      </c>
      <c r="AM1106" s="1" t="s">
        <v>19642</v>
      </c>
      <c r="AN1106" s="1" t="s">
        <v>1197</v>
      </c>
      <c r="AO1106" s="1" t="s">
        <v>131</v>
      </c>
      <c r="AP1106" s="1">
        <v>71.4</v>
      </c>
      <c r="AQ1106" s="1"/>
      <c r="AR1106" s="1"/>
      <c r="AS1106" s="1"/>
      <c r="AT1106" s="1"/>
      <c r="AU1106" s="1"/>
      <c r="AV1106" s="1"/>
      <c r="AW1106" s="1"/>
      <c r="AX1106" s="1" t="s">
        <v>19644</v>
      </c>
      <c r="AY1106" s="1" t="s">
        <v>19645</v>
      </c>
      <c r="AZ1106" s="1" t="s">
        <v>134</v>
      </c>
      <c r="BA1106" s="1" t="s">
        <v>433</v>
      </c>
      <c r="BB1106" s="1">
        <v>63.8</v>
      </c>
      <c r="BC1106" s="1">
        <v>6.38</v>
      </c>
      <c r="BD1106" s="1"/>
      <c r="BE1106" s="1"/>
      <c r="BF1106" s="1"/>
      <c r="BG1106" s="1"/>
      <c r="BH1106" s="1"/>
      <c r="BI1106" s="1"/>
      <c r="BJ1106" s="1" t="s">
        <v>1383</v>
      </c>
      <c r="BK1106" s="1" t="s">
        <v>19646</v>
      </c>
      <c r="BL1106" s="1" t="s">
        <v>138</v>
      </c>
      <c r="BM1106" s="1" t="s">
        <v>19647</v>
      </c>
      <c r="BN1106" s="1">
        <v>12</v>
      </c>
      <c r="BO1106" s="1" t="s">
        <v>19648</v>
      </c>
      <c r="BP1106" s="1" t="str">
        <f>HYPERLINK("https://nconnect.nicmar.ac.in/storage/profile/ProfilePhoto_P25701038_647513.jpg","Download")</f>
        <v>0</v>
      </c>
      <c r="BQ1106" s="3"/>
      <c r="BR1106" s="3"/>
    </row>
    <row r="1107" spans="1:70">
      <c r="A1107" s="1" t="s">
        <v>1563</v>
      </c>
      <c r="B1107" s="1" t="s">
        <v>1269</v>
      </c>
      <c r="C1107" s="1" t="s">
        <v>19649</v>
      </c>
      <c r="D1107" s="1" t="s">
        <v>19650</v>
      </c>
      <c r="E1107" s="1"/>
      <c r="F1107" s="1" t="s">
        <v>835</v>
      </c>
      <c r="G1107" s="1" t="s">
        <v>19651</v>
      </c>
      <c r="H1107" s="1" t="s">
        <v>19652</v>
      </c>
      <c r="I1107" s="1" t="s">
        <v>19653</v>
      </c>
      <c r="J1107" s="1">
        <v>9654994536</v>
      </c>
      <c r="K1107" s="1" t="s">
        <v>79</v>
      </c>
      <c r="L1107" s="1" t="s">
        <v>19654</v>
      </c>
      <c r="M1107" s="1" t="s">
        <v>81</v>
      </c>
      <c r="N1107" s="1" t="s">
        <v>19655</v>
      </c>
      <c r="O1107" s="1"/>
      <c r="P1107" s="1" t="s">
        <v>1766</v>
      </c>
      <c r="Q1107" s="1" t="s">
        <v>19656</v>
      </c>
      <c r="R1107" s="1" t="s">
        <v>19657</v>
      </c>
      <c r="S1107" s="1">
        <v>9910356567</v>
      </c>
      <c r="T1107" s="1" t="s">
        <v>496</v>
      </c>
      <c r="U1107" s="1" t="s">
        <v>19658</v>
      </c>
      <c r="V1107" s="1">
        <v>7838378900</v>
      </c>
      <c r="W1107" s="1" t="s">
        <v>651</v>
      </c>
      <c r="X1107" s="1" t="s">
        <v>19659</v>
      </c>
      <c r="Y1107" s="1" t="s">
        <v>19660</v>
      </c>
      <c r="Z1107" s="1" t="s">
        <v>722</v>
      </c>
      <c r="AA1107" s="1" t="s">
        <v>19659</v>
      </c>
      <c r="AB1107" s="1" t="s">
        <v>19660</v>
      </c>
      <c r="AC1107" s="1" t="s">
        <v>722</v>
      </c>
      <c r="AD1107" s="1">
        <v>8.46</v>
      </c>
      <c r="AE1107" s="1" t="s">
        <v>93</v>
      </c>
      <c r="AF1107" s="1" t="s">
        <v>19661</v>
      </c>
      <c r="AG1107" s="1" t="s">
        <v>19662</v>
      </c>
      <c r="AH1107" s="1" t="s">
        <v>4549</v>
      </c>
      <c r="AI1107" s="1" t="s">
        <v>2401</v>
      </c>
      <c r="AJ1107" s="1">
        <v>74.1</v>
      </c>
      <c r="AK1107" s="1">
        <v>7.8</v>
      </c>
      <c r="AL1107" s="1" t="s">
        <v>19663</v>
      </c>
      <c r="AM1107" s="1" t="s">
        <v>19662</v>
      </c>
      <c r="AN1107" s="1" t="s">
        <v>477</v>
      </c>
      <c r="AO1107" s="1" t="s">
        <v>161</v>
      </c>
      <c r="AP1107" s="1">
        <v>64.6</v>
      </c>
      <c r="AQ1107" s="1"/>
      <c r="AR1107" s="1"/>
      <c r="AS1107" s="1"/>
      <c r="AT1107" s="1"/>
      <c r="AU1107" s="1"/>
      <c r="AV1107" s="1"/>
      <c r="AW1107" s="1"/>
      <c r="AX1107" s="1" t="s">
        <v>19664</v>
      </c>
      <c r="AY1107" s="1" t="s">
        <v>19665</v>
      </c>
      <c r="AZ1107" s="1" t="s">
        <v>100</v>
      </c>
      <c r="BA1107" s="1" t="s">
        <v>170</v>
      </c>
      <c r="BB1107" s="1">
        <v>58.33</v>
      </c>
      <c r="BC1107" s="1">
        <v>6.14</v>
      </c>
      <c r="BD1107" s="1" t="s">
        <v>19664</v>
      </c>
      <c r="BE1107" s="1" t="s">
        <v>1647</v>
      </c>
      <c r="BF1107" s="1" t="s">
        <v>170</v>
      </c>
      <c r="BG1107" s="1" t="s">
        <v>481</v>
      </c>
      <c r="BH1107" s="1">
        <v>69.25</v>
      </c>
      <c r="BI1107" s="1">
        <v>7.29</v>
      </c>
      <c r="BJ1107" s="1" t="s">
        <v>19666</v>
      </c>
      <c r="BK1107" s="1" t="s">
        <v>19667</v>
      </c>
      <c r="BL1107" s="1" t="s">
        <v>340</v>
      </c>
      <c r="BM1107" s="1" t="s">
        <v>19668</v>
      </c>
      <c r="BN1107" s="1">
        <v>14</v>
      </c>
      <c r="BO1107" s="1"/>
      <c r="BP1107" s="1" t="str">
        <f>HYPERLINK("https://nconnect.nicmar.ac.in/storage/profile/ProfilePhoto_P25701040_275319.jpg","Download")</f>
        <v>0</v>
      </c>
      <c r="BQ1107" s="3"/>
      <c r="BR1107" s="3"/>
    </row>
    <row r="1108" spans="1:70">
      <c r="A1108" s="1" t="s">
        <v>1563</v>
      </c>
      <c r="B1108" s="1" t="s">
        <v>1269</v>
      </c>
      <c r="C1108" s="1" t="s">
        <v>19669</v>
      </c>
      <c r="D1108" s="1" t="s">
        <v>3030</v>
      </c>
      <c r="E1108" s="1" t="s">
        <v>13925</v>
      </c>
      <c r="F1108" s="1" t="s">
        <v>10719</v>
      </c>
      <c r="G1108" s="1" t="s">
        <v>19670</v>
      </c>
      <c r="H1108" s="1" t="s">
        <v>19671</v>
      </c>
      <c r="I1108" s="1" t="s">
        <v>19672</v>
      </c>
      <c r="J1108" s="1">
        <v>7032613332</v>
      </c>
      <c r="K1108" s="1" t="s">
        <v>79</v>
      </c>
      <c r="L1108" s="1" t="s">
        <v>19673</v>
      </c>
      <c r="M1108" s="1" t="s">
        <v>81</v>
      </c>
      <c r="N1108" s="1" t="s">
        <v>19674</v>
      </c>
      <c r="O1108" s="1"/>
      <c r="P1108" s="1"/>
      <c r="Q1108" s="1" t="s">
        <v>19675</v>
      </c>
      <c r="R1108" s="1" t="s">
        <v>19676</v>
      </c>
      <c r="S1108" s="1">
        <v>9583257443</v>
      </c>
      <c r="T1108" s="1" t="s">
        <v>496</v>
      </c>
      <c r="U1108" s="1" t="s">
        <v>19677</v>
      </c>
      <c r="V1108" s="1">
        <v>9437359115</v>
      </c>
      <c r="W1108" s="1" t="s">
        <v>89</v>
      </c>
      <c r="X1108" s="1" t="s">
        <v>19678</v>
      </c>
      <c r="Y1108" s="1" t="s">
        <v>19679</v>
      </c>
      <c r="Z1108" s="1" t="s">
        <v>1731</v>
      </c>
      <c r="AA1108" s="1" t="s">
        <v>19680</v>
      </c>
      <c r="AB1108" s="1" t="s">
        <v>19679</v>
      </c>
      <c r="AC1108" s="1" t="s">
        <v>1731</v>
      </c>
      <c r="AD1108" s="1">
        <v>8.53</v>
      </c>
      <c r="AE1108" s="1" t="s">
        <v>93</v>
      </c>
      <c r="AF1108" s="1" t="s">
        <v>19681</v>
      </c>
      <c r="AG1108" s="1" t="s">
        <v>1665</v>
      </c>
      <c r="AH1108" s="1" t="s">
        <v>998</v>
      </c>
      <c r="AI1108" s="1" t="s">
        <v>131</v>
      </c>
      <c r="AJ1108" s="1">
        <v>83.6</v>
      </c>
      <c r="AK1108" s="1">
        <v>8.8</v>
      </c>
      <c r="AL1108" s="1" t="s">
        <v>19682</v>
      </c>
      <c r="AM1108" s="1" t="s">
        <v>19683</v>
      </c>
      <c r="AN1108" s="1" t="s">
        <v>161</v>
      </c>
      <c r="AO1108" s="1" t="s">
        <v>678</v>
      </c>
      <c r="AP1108" s="1">
        <v>79.5</v>
      </c>
      <c r="AQ1108" s="1"/>
      <c r="AR1108" s="1"/>
      <c r="AS1108" s="1"/>
      <c r="AT1108" s="1"/>
      <c r="AU1108" s="1"/>
      <c r="AV1108" s="1"/>
      <c r="AW1108" s="1"/>
      <c r="AX1108" s="1" t="s">
        <v>19684</v>
      </c>
      <c r="AY1108" s="1" t="s">
        <v>19685</v>
      </c>
      <c r="AZ1108" s="1" t="s">
        <v>165</v>
      </c>
      <c r="BA1108" s="1" t="s">
        <v>436</v>
      </c>
      <c r="BB1108" s="1">
        <v>65.83</v>
      </c>
      <c r="BC1108" s="1">
        <v>6.93</v>
      </c>
      <c r="BD1108" s="1"/>
      <c r="BE1108" s="1"/>
      <c r="BF1108" s="1"/>
      <c r="BG1108" s="1"/>
      <c r="BH1108" s="1"/>
      <c r="BI1108" s="1"/>
      <c r="BJ1108" s="1" t="s">
        <v>19686</v>
      </c>
      <c r="BK1108" s="1" t="s">
        <v>19687</v>
      </c>
      <c r="BL1108" s="1" t="s">
        <v>1523</v>
      </c>
      <c r="BM1108" s="1"/>
      <c r="BN1108" s="1"/>
      <c r="BO1108" s="1" t="s">
        <v>19688</v>
      </c>
      <c r="BP1108" s="1" t="str">
        <f>HYPERLINK("https://nconnect.nicmar.ac.in/storage/profile/ProfilePhoto_P25701041_738129.jpg","Download")</f>
        <v>0</v>
      </c>
      <c r="BQ1108" s="3"/>
      <c r="BR1108" s="3"/>
    </row>
    <row r="1109" spans="1:70">
      <c r="A1109" s="1" t="s">
        <v>1563</v>
      </c>
      <c r="B1109" s="1" t="s">
        <v>1269</v>
      </c>
      <c r="C1109" s="1" t="s">
        <v>19689</v>
      </c>
      <c r="D1109" s="1" t="s">
        <v>19690</v>
      </c>
      <c r="E1109" s="1" t="s">
        <v>533</v>
      </c>
      <c r="F1109" s="1" t="s">
        <v>10999</v>
      </c>
      <c r="G1109" s="1" t="s">
        <v>19691</v>
      </c>
      <c r="H1109" s="1" t="s">
        <v>19692</v>
      </c>
      <c r="I1109" s="1" t="s">
        <v>19693</v>
      </c>
      <c r="J1109" s="1">
        <v>9653349239</v>
      </c>
      <c r="K1109" s="1" t="s">
        <v>79</v>
      </c>
      <c r="L1109" s="1" t="s">
        <v>19694</v>
      </c>
      <c r="M1109" s="1" t="s">
        <v>81</v>
      </c>
      <c r="N1109" s="1" t="s">
        <v>12371</v>
      </c>
      <c r="O1109" s="1"/>
      <c r="P1109" s="1" t="s">
        <v>1323</v>
      </c>
      <c r="Q1109" s="1" t="s">
        <v>19695</v>
      </c>
      <c r="R1109" s="1" t="s">
        <v>10999</v>
      </c>
      <c r="S1109" s="1">
        <v>8104714825</v>
      </c>
      <c r="T1109" s="1" t="s">
        <v>932</v>
      </c>
      <c r="U1109" s="1" t="s">
        <v>17664</v>
      </c>
      <c r="V1109" s="1">
        <v>9920127760</v>
      </c>
      <c r="W1109" s="1" t="s">
        <v>8972</v>
      </c>
      <c r="X1109" s="1" t="s">
        <v>19696</v>
      </c>
      <c r="Y1109" s="1" t="s">
        <v>995</v>
      </c>
      <c r="Z1109" s="1" t="s">
        <v>92</v>
      </c>
      <c r="AA1109" s="1" t="s">
        <v>19696</v>
      </c>
      <c r="AB1109" s="1" t="s">
        <v>995</v>
      </c>
      <c r="AC1109" s="1" t="s">
        <v>92</v>
      </c>
      <c r="AD1109" s="1">
        <v>9.13</v>
      </c>
      <c r="AE1109" s="1" t="s">
        <v>93</v>
      </c>
      <c r="AF1109" s="1" t="s">
        <v>19697</v>
      </c>
      <c r="AG1109" s="1" t="s">
        <v>160</v>
      </c>
      <c r="AH1109" s="1" t="s">
        <v>3403</v>
      </c>
      <c r="AI1109" s="1" t="s">
        <v>128</v>
      </c>
      <c r="AJ1109" s="1">
        <v>88.73</v>
      </c>
      <c r="AK1109" s="1"/>
      <c r="AL1109" s="1" t="s">
        <v>19698</v>
      </c>
      <c r="AM1109" s="1" t="s">
        <v>160</v>
      </c>
      <c r="AN1109" s="1" t="s">
        <v>128</v>
      </c>
      <c r="AO1109" s="1" t="s">
        <v>1197</v>
      </c>
      <c r="AP1109" s="1">
        <v>71.54</v>
      </c>
      <c r="AQ1109" s="1"/>
      <c r="AR1109" s="1"/>
      <c r="AS1109" s="1"/>
      <c r="AT1109" s="1"/>
      <c r="AU1109" s="1"/>
      <c r="AV1109" s="1"/>
      <c r="AW1109" s="1"/>
      <c r="AX1109" s="1" t="s">
        <v>1024</v>
      </c>
      <c r="AY1109" s="1" t="s">
        <v>19699</v>
      </c>
      <c r="AZ1109" s="1" t="s">
        <v>130</v>
      </c>
      <c r="BA1109" s="1" t="s">
        <v>308</v>
      </c>
      <c r="BB1109" s="1">
        <v>61.48</v>
      </c>
      <c r="BC1109" s="1">
        <v>6.97</v>
      </c>
      <c r="BD1109" s="1"/>
      <c r="BE1109" s="1"/>
      <c r="BF1109" s="1"/>
      <c r="BG1109" s="1"/>
      <c r="BH1109" s="1"/>
      <c r="BI1109" s="1"/>
      <c r="BJ1109" s="1" t="s">
        <v>364</v>
      </c>
      <c r="BK1109" s="1" t="s">
        <v>19700</v>
      </c>
      <c r="BL1109" s="1" t="s">
        <v>19701</v>
      </c>
      <c r="BM1109" s="1" t="s">
        <v>19702</v>
      </c>
      <c r="BN1109" s="1">
        <v>8</v>
      </c>
      <c r="BO1109" s="1"/>
      <c r="BP1109" s="1" t="str">
        <f>HYPERLINK("https://nconnect.nicmar.ac.in/storage/profile/ProfilePhoto_P25701042_567892.jpg","Download")</f>
        <v>0</v>
      </c>
      <c r="BQ1109" s="3"/>
      <c r="BR1109" s="3"/>
    </row>
    <row r="1110" spans="1:70">
      <c r="A1110" s="1" t="s">
        <v>1563</v>
      </c>
      <c r="B1110" s="1" t="s">
        <v>1269</v>
      </c>
      <c r="C1110" s="1" t="s">
        <v>19703</v>
      </c>
      <c r="D1110" s="1" t="s">
        <v>19704</v>
      </c>
      <c r="E1110" s="1" t="s">
        <v>3244</v>
      </c>
      <c r="F1110" s="1" t="s">
        <v>19705</v>
      </c>
      <c r="G1110" s="1" t="s">
        <v>19706</v>
      </c>
      <c r="H1110" s="1" t="s">
        <v>19707</v>
      </c>
      <c r="I1110" s="1" t="s">
        <v>19708</v>
      </c>
      <c r="J1110" s="1">
        <v>9594758807</v>
      </c>
      <c r="K1110" s="1" t="s">
        <v>79</v>
      </c>
      <c r="L1110" s="1" t="s">
        <v>19709</v>
      </c>
      <c r="M1110" s="1" t="s">
        <v>81</v>
      </c>
      <c r="N1110" s="1" t="s">
        <v>9154</v>
      </c>
      <c r="O1110" s="1"/>
      <c r="P1110" s="1" t="s">
        <v>1278</v>
      </c>
      <c r="Q1110" s="1" t="s">
        <v>19710</v>
      </c>
      <c r="R1110" s="1" t="s">
        <v>3244</v>
      </c>
      <c r="S1110" s="1">
        <v>7738123076</v>
      </c>
      <c r="T1110" s="1" t="s">
        <v>120</v>
      </c>
      <c r="U1110" s="1" t="s">
        <v>5150</v>
      </c>
      <c r="V1110" s="1">
        <v>9967723580</v>
      </c>
      <c r="W1110" s="1" t="s">
        <v>273</v>
      </c>
      <c r="X1110" s="1" t="s">
        <v>19711</v>
      </c>
      <c r="Y1110" s="1" t="s">
        <v>995</v>
      </c>
      <c r="Z1110" s="1" t="s">
        <v>92</v>
      </c>
      <c r="AA1110" s="1" t="s">
        <v>19711</v>
      </c>
      <c r="AB1110" s="1" t="s">
        <v>995</v>
      </c>
      <c r="AC1110" s="1" t="s">
        <v>92</v>
      </c>
      <c r="AD1110" s="1">
        <v>9.1</v>
      </c>
      <c r="AE1110" s="1" t="s">
        <v>93</v>
      </c>
      <c r="AF1110" s="1" t="s">
        <v>19712</v>
      </c>
      <c r="AG1110" s="1" t="s">
        <v>476</v>
      </c>
      <c r="AH1110" s="1" t="s">
        <v>96</v>
      </c>
      <c r="AI1110" s="1" t="s">
        <v>97</v>
      </c>
      <c r="AJ1110" s="1">
        <v>83.4</v>
      </c>
      <c r="AK1110" s="1"/>
      <c r="AL1110" s="1" t="s">
        <v>19713</v>
      </c>
      <c r="AM1110" s="1" t="s">
        <v>476</v>
      </c>
      <c r="AN1110" s="1" t="s">
        <v>162</v>
      </c>
      <c r="AO1110" s="1" t="s">
        <v>1332</v>
      </c>
      <c r="AP1110" s="1">
        <v>57.85</v>
      </c>
      <c r="AQ1110" s="1"/>
      <c r="AR1110" s="1" t="s">
        <v>16990</v>
      </c>
      <c r="AS1110" s="1" t="s">
        <v>19714</v>
      </c>
      <c r="AT1110" s="1" t="s">
        <v>165</v>
      </c>
      <c r="AU1110" s="1" t="s">
        <v>308</v>
      </c>
      <c r="AV1110" s="1">
        <v>68.12</v>
      </c>
      <c r="AW1110" s="1"/>
      <c r="AX1110" s="1" t="s">
        <v>1024</v>
      </c>
      <c r="AY1110" s="1" t="s">
        <v>19715</v>
      </c>
      <c r="AZ1110" s="1" t="s">
        <v>201</v>
      </c>
      <c r="BA1110" s="1" t="s">
        <v>1003</v>
      </c>
      <c r="BB1110" s="1">
        <v>73.38</v>
      </c>
      <c r="BC1110" s="1">
        <v>8.48</v>
      </c>
      <c r="BD1110" s="1"/>
      <c r="BE1110" s="1"/>
      <c r="BF1110" s="1"/>
      <c r="BG1110" s="1"/>
      <c r="BH1110" s="1"/>
      <c r="BI1110" s="1"/>
      <c r="BJ1110" s="1" t="s">
        <v>364</v>
      </c>
      <c r="BK1110" s="1" t="s">
        <v>19716</v>
      </c>
      <c r="BL1110" s="1" t="s">
        <v>138</v>
      </c>
      <c r="BM1110" s="1" t="s">
        <v>19717</v>
      </c>
      <c r="BN1110" s="1">
        <v>17</v>
      </c>
      <c r="BO1110" s="1" t="s">
        <v>19718</v>
      </c>
      <c r="BP1110" s="1" t="str">
        <f>HYPERLINK("https://nconnect.nicmar.ac.in/storage/profile/ProfilePhoto_P25701043_584167.jpg","Download")</f>
        <v>0</v>
      </c>
      <c r="BQ1110" s="3"/>
      <c r="BR1110" s="3"/>
    </row>
    <row r="1111" spans="1:70">
      <c r="A1111" s="1" t="s">
        <v>1563</v>
      </c>
      <c r="B1111" s="1" t="s">
        <v>1269</v>
      </c>
      <c r="C1111" s="1" t="s">
        <v>19719</v>
      </c>
      <c r="D1111" s="1" t="s">
        <v>17899</v>
      </c>
      <c r="E1111" s="1"/>
      <c r="F1111" s="1" t="s">
        <v>3031</v>
      </c>
      <c r="G1111" s="1" t="s">
        <v>19720</v>
      </c>
      <c r="H1111" s="1" t="s">
        <v>19721</v>
      </c>
      <c r="I1111" s="1" t="s">
        <v>19722</v>
      </c>
      <c r="J1111" s="1">
        <v>9764791512</v>
      </c>
      <c r="K1111" s="1" t="s">
        <v>79</v>
      </c>
      <c r="L1111" s="1" t="s">
        <v>19723</v>
      </c>
      <c r="M1111" s="1" t="s">
        <v>81</v>
      </c>
      <c r="N1111" s="1" t="s">
        <v>5040</v>
      </c>
      <c r="O1111" s="1"/>
      <c r="P1111" s="1" t="s">
        <v>1766</v>
      </c>
      <c r="Q1111" s="1" t="s">
        <v>19724</v>
      </c>
      <c r="R1111" s="1" t="s">
        <v>19725</v>
      </c>
      <c r="S1111" s="1">
        <v>9922443627</v>
      </c>
      <c r="T1111" s="1" t="s">
        <v>19726</v>
      </c>
      <c r="U1111" s="1" t="s">
        <v>19727</v>
      </c>
      <c r="V1111" s="1">
        <v>9370284656</v>
      </c>
      <c r="W1111" s="1" t="s">
        <v>89</v>
      </c>
      <c r="X1111" s="1" t="s">
        <v>19728</v>
      </c>
      <c r="Y1111" s="1" t="s">
        <v>191</v>
      </c>
      <c r="Z1111" s="1" t="s">
        <v>92</v>
      </c>
      <c r="AA1111" s="1" t="s">
        <v>19728</v>
      </c>
      <c r="AB1111" s="1" t="s">
        <v>191</v>
      </c>
      <c r="AC1111" s="1" t="s">
        <v>92</v>
      </c>
      <c r="AD1111" s="1">
        <v>8.51</v>
      </c>
      <c r="AE1111" s="1" t="s">
        <v>93</v>
      </c>
      <c r="AF1111" s="1" t="s">
        <v>16804</v>
      </c>
      <c r="AG1111" s="1" t="s">
        <v>19729</v>
      </c>
      <c r="AH1111" s="1" t="s">
        <v>999</v>
      </c>
      <c r="AI1111" s="1" t="s">
        <v>131</v>
      </c>
      <c r="AJ1111" s="1">
        <v>83.6</v>
      </c>
      <c r="AK1111" s="1">
        <v>8.8</v>
      </c>
      <c r="AL1111" s="1" t="s">
        <v>16804</v>
      </c>
      <c r="AM1111" s="1" t="s">
        <v>19729</v>
      </c>
      <c r="AN1111" s="1" t="s">
        <v>456</v>
      </c>
      <c r="AO1111" s="1" t="s">
        <v>479</v>
      </c>
      <c r="AP1111" s="1">
        <v>89.4</v>
      </c>
      <c r="AQ1111" s="1"/>
      <c r="AR1111" s="1"/>
      <c r="AS1111" s="1"/>
      <c r="AT1111" s="1"/>
      <c r="AU1111" s="1"/>
      <c r="AV1111" s="1"/>
      <c r="AW1111" s="1"/>
      <c r="AX1111" s="1" t="s">
        <v>15919</v>
      </c>
      <c r="AY1111" s="1" t="s">
        <v>19730</v>
      </c>
      <c r="AZ1111" s="1" t="s">
        <v>169</v>
      </c>
      <c r="BA1111" s="1" t="s">
        <v>481</v>
      </c>
      <c r="BB1111" s="1">
        <v>85.6</v>
      </c>
      <c r="BC1111" s="1">
        <v>8.56</v>
      </c>
      <c r="BD1111" s="1"/>
      <c r="BE1111" s="1"/>
      <c r="BF1111" s="1"/>
      <c r="BG1111" s="1"/>
      <c r="BH1111" s="1"/>
      <c r="BI1111" s="1"/>
      <c r="BJ1111" s="1" t="s">
        <v>19731</v>
      </c>
      <c r="BK1111" s="1" t="s">
        <v>19732</v>
      </c>
      <c r="BL1111" s="1" t="s">
        <v>9730</v>
      </c>
      <c r="BM1111" s="1" t="s">
        <v>19733</v>
      </c>
      <c r="BN1111" s="1">
        <v>21</v>
      </c>
      <c r="BO1111" s="1"/>
      <c r="BP1111" s="1" t="str">
        <f>HYPERLINK("https://nconnect.nicmar.ac.in/storage/profile/ProfilePhoto_P25701044_378594.jpg","Download")</f>
        <v>0</v>
      </c>
      <c r="BQ1111" s="3"/>
      <c r="BR1111" s="3"/>
    </row>
    <row r="1112" spans="1:70">
      <c r="A1112" s="1" t="s">
        <v>1563</v>
      </c>
      <c r="B1112" s="1" t="s">
        <v>1269</v>
      </c>
      <c r="C1112" s="1" t="s">
        <v>19734</v>
      </c>
      <c r="D1112" s="1" t="s">
        <v>19735</v>
      </c>
      <c r="E1112" s="1" t="s">
        <v>19736</v>
      </c>
      <c r="F1112" s="1" t="s">
        <v>11827</v>
      </c>
      <c r="G1112" s="1" t="s">
        <v>19737</v>
      </c>
      <c r="H1112" s="1" t="s">
        <v>19738</v>
      </c>
      <c r="I1112" s="1" t="s">
        <v>19739</v>
      </c>
      <c r="J1112" s="1">
        <v>8237192771</v>
      </c>
      <c r="K1112" s="1" t="s">
        <v>79</v>
      </c>
      <c r="L1112" s="1" t="s">
        <v>19740</v>
      </c>
      <c r="M1112" s="1" t="s">
        <v>81</v>
      </c>
      <c r="N1112" s="1" t="s">
        <v>1986</v>
      </c>
      <c r="O1112" s="1"/>
      <c r="P1112" s="1" t="s">
        <v>1278</v>
      </c>
      <c r="Q1112" s="1" t="s">
        <v>19741</v>
      </c>
      <c r="R1112" s="1" t="s">
        <v>19742</v>
      </c>
      <c r="S1112" s="1">
        <v>9921298484</v>
      </c>
      <c r="T1112" s="1" t="s">
        <v>19743</v>
      </c>
      <c r="U1112" s="1" t="s">
        <v>19744</v>
      </c>
      <c r="V1112" s="1">
        <v>8485865531</v>
      </c>
      <c r="W1112" s="1" t="s">
        <v>273</v>
      </c>
      <c r="X1112" s="1" t="s">
        <v>19745</v>
      </c>
      <c r="Y1112" s="1" t="s">
        <v>191</v>
      </c>
      <c r="Z1112" s="1" t="s">
        <v>92</v>
      </c>
      <c r="AA1112" s="1" t="s">
        <v>19746</v>
      </c>
      <c r="AB1112" s="1" t="s">
        <v>2743</v>
      </c>
      <c r="AC1112" s="1" t="s">
        <v>1084</v>
      </c>
      <c r="AD1112" s="1">
        <v>7.81</v>
      </c>
      <c r="AE1112" s="1" t="s">
        <v>93</v>
      </c>
      <c r="AF1112" s="1" t="s">
        <v>19747</v>
      </c>
      <c r="AG1112" s="1" t="s">
        <v>160</v>
      </c>
      <c r="AH1112" s="1" t="s">
        <v>166</v>
      </c>
      <c r="AI1112" s="1" t="s">
        <v>433</v>
      </c>
      <c r="AJ1112" s="1">
        <v>74.6</v>
      </c>
      <c r="AK1112" s="1"/>
      <c r="AL1112" s="1" t="s">
        <v>19748</v>
      </c>
      <c r="AM1112" s="1" t="s">
        <v>160</v>
      </c>
      <c r="AN1112" s="1" t="s">
        <v>699</v>
      </c>
      <c r="AO1112" s="1" t="s">
        <v>436</v>
      </c>
      <c r="AP1112" s="1">
        <v>88.17</v>
      </c>
      <c r="AQ1112" s="1"/>
      <c r="AR1112" s="1"/>
      <c r="AS1112" s="1"/>
      <c r="AT1112" s="1"/>
      <c r="AU1112" s="1"/>
      <c r="AV1112" s="1"/>
      <c r="AW1112" s="1"/>
      <c r="AX1112" s="1" t="s">
        <v>1088</v>
      </c>
      <c r="AY1112" s="1" t="s">
        <v>19749</v>
      </c>
      <c r="AZ1112" s="1" t="s">
        <v>1407</v>
      </c>
      <c r="BA1112" s="1" t="s">
        <v>1361</v>
      </c>
      <c r="BB1112" s="1">
        <v>77.1</v>
      </c>
      <c r="BC1112" s="1">
        <v>7.71</v>
      </c>
      <c r="BD1112" s="1"/>
      <c r="BE1112" s="1"/>
      <c r="BF1112" s="1"/>
      <c r="BG1112" s="1"/>
      <c r="BH1112" s="1"/>
      <c r="BI1112" s="1"/>
      <c r="BJ1112" s="1" t="s">
        <v>19750</v>
      </c>
      <c r="BK1112" s="1"/>
      <c r="BL1112" s="1"/>
      <c r="BM1112" s="1" t="s">
        <v>19751</v>
      </c>
      <c r="BN1112" s="1">
        <v>27</v>
      </c>
      <c r="BO1112" s="1" t="s">
        <v>19244</v>
      </c>
      <c r="BP1112" s="1" t="str">
        <f>HYPERLINK("https://nconnect.nicmar.ac.in/storage/profile/ProfilePhoto_P25701045_798341.jpg","Download")</f>
        <v>0</v>
      </c>
      <c r="BQ1112" s="3"/>
      <c r="BR1112" s="3"/>
    </row>
    <row r="1113" spans="1:70">
      <c r="A1113" s="1" t="s">
        <v>1563</v>
      </c>
      <c r="B1113" s="1" t="s">
        <v>1269</v>
      </c>
      <c r="C1113" s="1" t="s">
        <v>19752</v>
      </c>
      <c r="D1113" s="1" t="s">
        <v>19753</v>
      </c>
      <c r="E1113" s="1"/>
      <c r="F1113" s="1" t="s">
        <v>13219</v>
      </c>
      <c r="G1113" s="1" t="s">
        <v>19754</v>
      </c>
      <c r="H1113" s="1" t="s">
        <v>19755</v>
      </c>
      <c r="I1113" s="1" t="s">
        <v>19756</v>
      </c>
      <c r="J1113" s="1">
        <v>9446578575</v>
      </c>
      <c r="K1113" s="1" t="s">
        <v>79</v>
      </c>
      <c r="L1113" s="1" t="s">
        <v>17331</v>
      </c>
      <c r="M1113" s="1" t="s">
        <v>81</v>
      </c>
      <c r="N1113" s="1" t="s">
        <v>19757</v>
      </c>
      <c r="O1113" s="1"/>
      <c r="P1113" s="1" t="s">
        <v>1278</v>
      </c>
      <c r="Q1113" s="1" t="s">
        <v>19758</v>
      </c>
      <c r="R1113" s="1" t="s">
        <v>19759</v>
      </c>
      <c r="S1113" s="1">
        <v>9447915003</v>
      </c>
      <c r="T1113" s="1" t="s">
        <v>271</v>
      </c>
      <c r="U1113" s="1" t="s">
        <v>19760</v>
      </c>
      <c r="V1113" s="1">
        <v>9446574075</v>
      </c>
      <c r="W1113" s="1" t="s">
        <v>122</v>
      </c>
      <c r="X1113" s="1" t="s">
        <v>19761</v>
      </c>
      <c r="Y1113" s="1" t="s">
        <v>1491</v>
      </c>
      <c r="Z1113" s="1" t="s">
        <v>125</v>
      </c>
      <c r="AA1113" s="1" t="s">
        <v>19761</v>
      </c>
      <c r="AB1113" s="1" t="s">
        <v>1491</v>
      </c>
      <c r="AC1113" s="1" t="s">
        <v>125</v>
      </c>
      <c r="AD1113" s="1">
        <v>8.98</v>
      </c>
      <c r="AE1113" s="1" t="s">
        <v>93</v>
      </c>
      <c r="AF1113" s="1" t="s">
        <v>19762</v>
      </c>
      <c r="AG1113" s="1" t="s">
        <v>19763</v>
      </c>
      <c r="AH1113" s="1" t="s">
        <v>162</v>
      </c>
      <c r="AI1113" s="1" t="s">
        <v>165</v>
      </c>
      <c r="AJ1113" s="1">
        <v>95</v>
      </c>
      <c r="AK1113" s="1">
        <v>10</v>
      </c>
      <c r="AL1113" s="1" t="s">
        <v>19762</v>
      </c>
      <c r="AM1113" s="1" t="s">
        <v>19763</v>
      </c>
      <c r="AN1113" s="1" t="s">
        <v>101</v>
      </c>
      <c r="AO1113" s="1" t="s">
        <v>308</v>
      </c>
      <c r="AP1113" s="1">
        <v>83.8</v>
      </c>
      <c r="AQ1113" s="1"/>
      <c r="AR1113" s="1"/>
      <c r="AS1113" s="1"/>
      <c r="AT1113" s="1"/>
      <c r="AU1113" s="1"/>
      <c r="AV1113" s="1"/>
      <c r="AW1113" s="1"/>
      <c r="AX1113" s="1" t="s">
        <v>132</v>
      </c>
      <c r="AY1113" s="1" t="s">
        <v>19764</v>
      </c>
      <c r="AZ1113" s="1" t="s">
        <v>433</v>
      </c>
      <c r="BA1113" s="1" t="s">
        <v>229</v>
      </c>
      <c r="BB1113" s="1">
        <v>80</v>
      </c>
      <c r="BC1113" s="1">
        <v>8</v>
      </c>
      <c r="BD1113" s="1"/>
      <c r="BE1113" s="1"/>
      <c r="BF1113" s="1"/>
      <c r="BG1113" s="1"/>
      <c r="BH1113" s="1"/>
      <c r="BI1113" s="1"/>
      <c r="BJ1113" s="1" t="s">
        <v>19765</v>
      </c>
      <c r="BK1113" s="1" t="s">
        <v>19766</v>
      </c>
      <c r="BL1113" s="1" t="s">
        <v>1919</v>
      </c>
      <c r="BM1113" s="1" t="s">
        <v>19767</v>
      </c>
      <c r="BN1113" s="1">
        <v>9</v>
      </c>
      <c r="BO1113" s="1" t="s">
        <v>19768</v>
      </c>
      <c r="BP1113" s="1" t="str">
        <f>HYPERLINK("https://nconnect.nicmar.ac.in/storage/profile/ProfilePhoto_P25701047_179582.jpg","Download")</f>
        <v>0</v>
      </c>
      <c r="BQ1113" s="3"/>
      <c r="BR1113" s="3"/>
    </row>
    <row r="1114" spans="1:70">
      <c r="A1114" s="1" t="s">
        <v>1563</v>
      </c>
      <c r="B1114" s="1" t="s">
        <v>1269</v>
      </c>
      <c r="C1114" s="1" t="s">
        <v>19769</v>
      </c>
      <c r="D1114" s="1" t="s">
        <v>19770</v>
      </c>
      <c r="E1114" s="1"/>
      <c r="F1114" s="1" t="s">
        <v>19771</v>
      </c>
      <c r="G1114" s="1" t="s">
        <v>19772</v>
      </c>
      <c r="H1114" s="1" t="s">
        <v>19773</v>
      </c>
      <c r="I1114" s="1" t="s">
        <v>19774</v>
      </c>
      <c r="J1114" s="1">
        <v>7093809403</v>
      </c>
      <c r="K1114" s="1" t="s">
        <v>148</v>
      </c>
      <c r="L1114" s="1" t="s">
        <v>5833</v>
      </c>
      <c r="M1114" s="1" t="s">
        <v>81</v>
      </c>
      <c r="N1114" s="1" t="s">
        <v>19775</v>
      </c>
      <c r="O1114" s="1"/>
      <c r="P1114" s="1" t="s">
        <v>1278</v>
      </c>
      <c r="Q1114" s="1" t="s">
        <v>19776</v>
      </c>
      <c r="R1114" s="1" t="s">
        <v>19777</v>
      </c>
      <c r="S1114" s="1">
        <v>7659009214</v>
      </c>
      <c r="T1114" s="1" t="s">
        <v>2763</v>
      </c>
      <c r="U1114" s="1" t="s">
        <v>19778</v>
      </c>
      <c r="V1114" s="1">
        <v>7659009214</v>
      </c>
      <c r="W1114" s="1" t="s">
        <v>154</v>
      </c>
      <c r="X1114" s="1" t="s">
        <v>19779</v>
      </c>
      <c r="Y1114" s="1" t="s">
        <v>19780</v>
      </c>
      <c r="Z1114" s="1" t="s">
        <v>276</v>
      </c>
      <c r="AA1114" s="1" t="s">
        <v>19779</v>
      </c>
      <c r="AB1114" s="1" t="s">
        <v>19780</v>
      </c>
      <c r="AC1114" s="1" t="s">
        <v>276</v>
      </c>
      <c r="AD1114" s="1">
        <v>8.5</v>
      </c>
      <c r="AE1114" s="1" t="s">
        <v>93</v>
      </c>
      <c r="AF1114" s="1" t="s">
        <v>19781</v>
      </c>
      <c r="AG1114" s="1" t="s">
        <v>19782</v>
      </c>
      <c r="AH1114" s="1" t="s">
        <v>477</v>
      </c>
      <c r="AI1114" s="1" t="s">
        <v>308</v>
      </c>
      <c r="AJ1114" s="1">
        <v>79</v>
      </c>
      <c r="AK1114" s="1">
        <v>0</v>
      </c>
      <c r="AL1114" s="1" t="s">
        <v>19783</v>
      </c>
      <c r="AM1114" s="1" t="s">
        <v>19784</v>
      </c>
      <c r="AN1114" s="1" t="s">
        <v>308</v>
      </c>
      <c r="AO1114" s="1" t="s">
        <v>506</v>
      </c>
      <c r="AP1114" s="1">
        <v>82</v>
      </c>
      <c r="AQ1114" s="1">
        <v>0</v>
      </c>
      <c r="AR1114" s="1"/>
      <c r="AS1114" s="1"/>
      <c r="AT1114" s="1"/>
      <c r="AU1114" s="1"/>
      <c r="AV1114" s="1"/>
      <c r="AW1114" s="1"/>
      <c r="AX1114" s="1" t="s">
        <v>19785</v>
      </c>
      <c r="AY1114" s="1" t="s">
        <v>19786</v>
      </c>
      <c r="AZ1114" s="1" t="s">
        <v>1051</v>
      </c>
      <c r="BA1114" s="1" t="s">
        <v>1361</v>
      </c>
      <c r="BB1114" s="1">
        <v>75</v>
      </c>
      <c r="BC1114" s="1">
        <v>7.98</v>
      </c>
      <c r="BD1114" s="1"/>
      <c r="BE1114" s="1"/>
      <c r="BF1114" s="1"/>
      <c r="BG1114" s="1"/>
      <c r="BH1114" s="1"/>
      <c r="BI1114" s="1"/>
      <c r="BJ1114" s="1" t="s">
        <v>19787</v>
      </c>
      <c r="BK1114" s="1"/>
      <c r="BL1114" s="1"/>
      <c r="BM1114" s="1" t="s">
        <v>19788</v>
      </c>
      <c r="BN1114" s="1">
        <v>11</v>
      </c>
      <c r="BO1114" s="1" t="s">
        <v>19789</v>
      </c>
      <c r="BP1114" s="1" t="str">
        <f>HYPERLINK("https://nconnect.nicmar.ac.in/storage/profile/ProfilePhoto_P25701048_947136.jpg","Download")</f>
        <v>0</v>
      </c>
      <c r="BQ1114" s="3"/>
      <c r="BR1114" s="3"/>
    </row>
    <row r="1115" spans="1:70">
      <c r="A1115" s="1" t="s">
        <v>1563</v>
      </c>
      <c r="B1115" s="1" t="s">
        <v>1269</v>
      </c>
      <c r="C1115" s="1" t="s">
        <v>19790</v>
      </c>
      <c r="D1115" s="1" t="s">
        <v>16696</v>
      </c>
      <c r="E1115" s="1"/>
      <c r="F1115" s="1" t="s">
        <v>19791</v>
      </c>
      <c r="G1115" s="1" t="s">
        <v>19792</v>
      </c>
      <c r="H1115" s="1" t="s">
        <v>19793</v>
      </c>
      <c r="I1115" s="1" t="s">
        <v>19794</v>
      </c>
      <c r="J1115" s="1">
        <v>8840663508</v>
      </c>
      <c r="K1115" s="1" t="s">
        <v>79</v>
      </c>
      <c r="L1115" s="1" t="s">
        <v>19795</v>
      </c>
      <c r="M1115" s="1" t="s">
        <v>81</v>
      </c>
      <c r="N1115" s="1" t="s">
        <v>5040</v>
      </c>
      <c r="O1115" s="1"/>
      <c r="P1115" s="1" t="s">
        <v>1298</v>
      </c>
      <c r="Q1115" s="1" t="s">
        <v>19796</v>
      </c>
      <c r="R1115" s="1" t="s">
        <v>19797</v>
      </c>
      <c r="S1115" s="1">
        <v>9935361255</v>
      </c>
      <c r="T1115" s="1" t="s">
        <v>910</v>
      </c>
      <c r="U1115" s="1" t="s">
        <v>19798</v>
      </c>
      <c r="V1115" s="1">
        <v>9935301743</v>
      </c>
      <c r="W1115" s="1" t="s">
        <v>156</v>
      </c>
      <c r="X1115" s="1" t="s">
        <v>19799</v>
      </c>
      <c r="Y1115" s="1" t="s">
        <v>6271</v>
      </c>
      <c r="Z1115" s="1" t="s">
        <v>1355</v>
      </c>
      <c r="AA1115" s="1" t="s">
        <v>19799</v>
      </c>
      <c r="AB1115" s="1" t="s">
        <v>6271</v>
      </c>
      <c r="AC1115" s="1" t="s">
        <v>1355</v>
      </c>
      <c r="AD1115" s="1">
        <v>9.25</v>
      </c>
      <c r="AE1115" s="1" t="s">
        <v>93</v>
      </c>
      <c r="AF1115" s="1" t="s">
        <v>19800</v>
      </c>
      <c r="AG1115" s="1" t="s">
        <v>19801</v>
      </c>
      <c r="AH1115" s="1" t="s">
        <v>161</v>
      </c>
      <c r="AI1115" s="1" t="s">
        <v>527</v>
      </c>
      <c r="AJ1115" s="1">
        <v>88.16</v>
      </c>
      <c r="AK1115" s="1"/>
      <c r="AL1115" s="1" t="s">
        <v>19800</v>
      </c>
      <c r="AM1115" s="1" t="s">
        <v>19801</v>
      </c>
      <c r="AN1115" s="1" t="s">
        <v>165</v>
      </c>
      <c r="AO1115" s="1" t="s">
        <v>1307</v>
      </c>
      <c r="AP1115" s="1">
        <v>87.8</v>
      </c>
      <c r="AQ1115" s="1"/>
      <c r="AR1115" s="1"/>
      <c r="AS1115" s="1"/>
      <c r="AT1115" s="1"/>
      <c r="AU1115" s="1"/>
      <c r="AV1115" s="1"/>
      <c r="AW1115" s="1"/>
      <c r="AX1115" s="1" t="s">
        <v>8088</v>
      </c>
      <c r="AY1115" s="1" t="s">
        <v>19802</v>
      </c>
      <c r="AZ1115" s="1" t="s">
        <v>310</v>
      </c>
      <c r="BA1115" s="1" t="s">
        <v>229</v>
      </c>
      <c r="BB1115" s="1">
        <v>78.4</v>
      </c>
      <c r="BC1115" s="1">
        <v>7.84</v>
      </c>
      <c r="BD1115" s="1"/>
      <c r="BE1115" s="1"/>
      <c r="BF1115" s="1"/>
      <c r="BG1115" s="1"/>
      <c r="BH1115" s="1"/>
      <c r="BI1115" s="1"/>
      <c r="BJ1115" s="1" t="s">
        <v>364</v>
      </c>
      <c r="BK1115" s="1"/>
      <c r="BL1115" s="1"/>
      <c r="BM1115" s="1" t="s">
        <v>19803</v>
      </c>
      <c r="BN1115" s="1">
        <v>29</v>
      </c>
      <c r="BO1115" s="1" t="s">
        <v>19804</v>
      </c>
      <c r="BP1115" s="1" t="str">
        <f>HYPERLINK("https://nconnect.nicmar.ac.in/storage/profile/ProfilePhoto_P25701049_942516.jpg","Download")</f>
        <v>0</v>
      </c>
      <c r="BQ1115" s="3"/>
      <c r="BR1115" s="3"/>
    </row>
    <row r="1116" spans="1:70">
      <c r="A1116" s="1" t="s">
        <v>1563</v>
      </c>
      <c r="B1116" s="1" t="s">
        <v>1269</v>
      </c>
      <c r="C1116" s="1" t="s">
        <v>19805</v>
      </c>
      <c r="D1116" s="1" t="s">
        <v>8330</v>
      </c>
      <c r="E1116" s="1" t="s">
        <v>5092</v>
      </c>
      <c r="F1116" s="1" t="s">
        <v>19806</v>
      </c>
      <c r="G1116" s="1" t="s">
        <v>19807</v>
      </c>
      <c r="H1116" s="1" t="s">
        <v>19808</v>
      </c>
      <c r="I1116" s="1" t="s">
        <v>19809</v>
      </c>
      <c r="J1116" s="1">
        <v>8999176687</v>
      </c>
      <c r="K1116" s="1" t="s">
        <v>79</v>
      </c>
      <c r="L1116" s="1" t="s">
        <v>7623</v>
      </c>
      <c r="M1116" s="1" t="s">
        <v>81</v>
      </c>
      <c r="N1116" s="1" t="s">
        <v>1618</v>
      </c>
      <c r="O1116" s="1"/>
      <c r="P1116" s="1" t="s">
        <v>1323</v>
      </c>
      <c r="Q1116" s="1" t="s">
        <v>19810</v>
      </c>
      <c r="R1116" s="1" t="s">
        <v>19811</v>
      </c>
      <c r="S1116" s="1">
        <v>9766703688</v>
      </c>
      <c r="T1116" s="1" t="s">
        <v>120</v>
      </c>
      <c r="U1116" s="1" t="s">
        <v>19812</v>
      </c>
      <c r="V1116" s="1">
        <v>9970427289</v>
      </c>
      <c r="W1116" s="1" t="s">
        <v>156</v>
      </c>
      <c r="X1116" s="1" t="s">
        <v>19813</v>
      </c>
      <c r="Y1116" s="1" t="s">
        <v>191</v>
      </c>
      <c r="Z1116" s="1" t="s">
        <v>92</v>
      </c>
      <c r="AA1116" s="1" t="s">
        <v>19814</v>
      </c>
      <c r="AB1116" s="1" t="s">
        <v>246</v>
      </c>
      <c r="AC1116" s="1" t="s">
        <v>92</v>
      </c>
      <c r="AD1116" s="1">
        <v>8.67</v>
      </c>
      <c r="AE1116" s="1" t="s">
        <v>93</v>
      </c>
      <c r="AF1116" s="1" t="s">
        <v>19815</v>
      </c>
      <c r="AG1116" s="1" t="s">
        <v>3154</v>
      </c>
      <c r="AH1116" s="1" t="s">
        <v>97</v>
      </c>
      <c r="AI1116" s="1" t="s">
        <v>456</v>
      </c>
      <c r="AJ1116" s="1">
        <v>73</v>
      </c>
      <c r="AK1116" s="1"/>
      <c r="AL1116" s="1" t="s">
        <v>19816</v>
      </c>
      <c r="AM1116" s="1" t="s">
        <v>3154</v>
      </c>
      <c r="AN1116" s="1" t="s">
        <v>1332</v>
      </c>
      <c r="AO1116" s="1" t="s">
        <v>457</v>
      </c>
      <c r="AP1116" s="1">
        <v>65.69</v>
      </c>
      <c r="AQ1116" s="1"/>
      <c r="AR1116" s="1"/>
      <c r="AS1116" s="1"/>
      <c r="AT1116" s="1"/>
      <c r="AU1116" s="1"/>
      <c r="AV1116" s="1"/>
      <c r="AW1116" s="1"/>
      <c r="AX1116" s="1" t="s">
        <v>19817</v>
      </c>
      <c r="AY1116" s="1" t="s">
        <v>19818</v>
      </c>
      <c r="AZ1116" s="1" t="s">
        <v>169</v>
      </c>
      <c r="BA1116" s="1" t="s">
        <v>481</v>
      </c>
      <c r="BB1116" s="1">
        <v>77.7</v>
      </c>
      <c r="BC1116" s="1">
        <v>9.11</v>
      </c>
      <c r="BD1116" s="1"/>
      <c r="BE1116" s="1"/>
      <c r="BF1116" s="1"/>
      <c r="BG1116" s="1"/>
      <c r="BH1116" s="1"/>
      <c r="BI1116" s="1"/>
      <c r="BJ1116" s="1" t="s">
        <v>19819</v>
      </c>
      <c r="BK1116" s="1" t="s">
        <v>19820</v>
      </c>
      <c r="BL1116" s="1" t="s">
        <v>5625</v>
      </c>
      <c r="BM1116" s="1" t="s">
        <v>19821</v>
      </c>
      <c r="BN1116" s="1">
        <v>34</v>
      </c>
      <c r="BO1116" s="1" t="s">
        <v>19822</v>
      </c>
      <c r="BP1116" s="1" t="str">
        <f>HYPERLINK("https://nconnect.nicmar.ac.in/storage/profile/ProfilePhoto_P25701050_146523.jpg","Download")</f>
        <v>0</v>
      </c>
      <c r="BQ1116" s="3"/>
      <c r="BR1116" s="3"/>
    </row>
    <row r="1117" spans="1:70">
      <c r="A1117" s="1" t="s">
        <v>1563</v>
      </c>
      <c r="B1117" s="1" t="s">
        <v>1269</v>
      </c>
      <c r="C1117" s="1" t="s">
        <v>19823</v>
      </c>
      <c r="D1117" s="1" t="s">
        <v>7424</v>
      </c>
      <c r="E1117" s="1" t="s">
        <v>144</v>
      </c>
      <c r="F1117" s="1" t="s">
        <v>19824</v>
      </c>
      <c r="G1117" s="1" t="s">
        <v>19825</v>
      </c>
      <c r="H1117" s="1" t="s">
        <v>19826</v>
      </c>
      <c r="I1117" s="1" t="s">
        <v>19827</v>
      </c>
      <c r="J1117" s="1">
        <v>9765917945</v>
      </c>
      <c r="K1117" s="1" t="s">
        <v>79</v>
      </c>
      <c r="L1117" s="1" t="s">
        <v>6161</v>
      </c>
      <c r="M1117" s="1" t="s">
        <v>81</v>
      </c>
      <c r="N1117" s="1" t="s">
        <v>860</v>
      </c>
      <c r="O1117" s="1"/>
      <c r="P1117" s="1" t="s">
        <v>1323</v>
      </c>
      <c r="Q1117" s="1" t="s">
        <v>19828</v>
      </c>
      <c r="R1117" s="1" t="s">
        <v>19829</v>
      </c>
      <c r="S1117" s="1">
        <v>9765554974</v>
      </c>
      <c r="T1117" s="1" t="s">
        <v>763</v>
      </c>
      <c r="U1117" s="1" t="s">
        <v>19830</v>
      </c>
      <c r="V1117" s="1">
        <v>9765480237</v>
      </c>
      <c r="W1117" s="1" t="s">
        <v>19831</v>
      </c>
      <c r="X1117" s="1" t="s">
        <v>19832</v>
      </c>
      <c r="Y1117" s="1" t="s">
        <v>1174</v>
      </c>
      <c r="Z1117" s="1" t="s">
        <v>92</v>
      </c>
      <c r="AA1117" s="1" t="s">
        <v>19832</v>
      </c>
      <c r="AB1117" s="1" t="s">
        <v>1174</v>
      </c>
      <c r="AC1117" s="1" t="s">
        <v>92</v>
      </c>
      <c r="AD1117" s="1">
        <v>9.29</v>
      </c>
      <c r="AE1117" s="1" t="s">
        <v>93</v>
      </c>
      <c r="AF1117" s="1" t="s">
        <v>19833</v>
      </c>
      <c r="AG1117" s="1" t="s">
        <v>19834</v>
      </c>
      <c r="AH1117" s="1" t="s">
        <v>165</v>
      </c>
      <c r="AI1117" s="1" t="s">
        <v>281</v>
      </c>
      <c r="AJ1117" s="1">
        <v>90.6</v>
      </c>
      <c r="AK1117" s="1">
        <v>0</v>
      </c>
      <c r="AL1117" s="1" t="s">
        <v>19835</v>
      </c>
      <c r="AM1117" s="1" t="s">
        <v>19834</v>
      </c>
      <c r="AN1117" s="1" t="s">
        <v>433</v>
      </c>
      <c r="AO1117" s="1" t="s">
        <v>360</v>
      </c>
      <c r="AP1117" s="1">
        <v>82.62</v>
      </c>
      <c r="AQ1117" s="1">
        <v>0</v>
      </c>
      <c r="AR1117" s="1"/>
      <c r="AS1117" s="1"/>
      <c r="AT1117" s="1"/>
      <c r="AU1117" s="1"/>
      <c r="AV1117" s="1"/>
      <c r="AW1117" s="1"/>
      <c r="AX1117" s="1" t="s">
        <v>19836</v>
      </c>
      <c r="AY1117" s="1" t="s">
        <v>19837</v>
      </c>
      <c r="AZ1117" s="1" t="s">
        <v>360</v>
      </c>
      <c r="BA1117" s="1" t="s">
        <v>1584</v>
      </c>
      <c r="BB1117" s="1">
        <v>72.35</v>
      </c>
      <c r="BC1117" s="1">
        <v>8.13</v>
      </c>
      <c r="BD1117" s="1"/>
      <c r="BE1117" s="1"/>
      <c r="BF1117" s="1"/>
      <c r="BG1117" s="1"/>
      <c r="BH1117" s="1"/>
      <c r="BI1117" s="1"/>
      <c r="BJ1117" s="1" t="s">
        <v>19838</v>
      </c>
      <c r="BK1117" s="1"/>
      <c r="BL1117" s="1"/>
      <c r="BM1117" s="1" t="s">
        <v>19839</v>
      </c>
      <c r="BN1117" s="1">
        <v>29</v>
      </c>
      <c r="BO1117" s="1" t="s">
        <v>19840</v>
      </c>
      <c r="BP1117" s="1" t="str">
        <f>HYPERLINK("https://nconnect.nicmar.ac.in/storage/profile/ProfilePhoto_P25701051_864915.jpg","Download")</f>
        <v>0</v>
      </c>
      <c r="BQ1117" s="3"/>
      <c r="BR1117" s="3"/>
    </row>
    <row r="1118" spans="1:70">
      <c r="A1118" s="1" t="s">
        <v>1563</v>
      </c>
      <c r="B1118" s="1" t="s">
        <v>1269</v>
      </c>
      <c r="C1118" s="1" t="s">
        <v>19841</v>
      </c>
      <c r="D1118" s="1" t="s">
        <v>19842</v>
      </c>
      <c r="E1118" s="1" t="s">
        <v>7939</v>
      </c>
      <c r="F1118" s="1" t="s">
        <v>19843</v>
      </c>
      <c r="G1118" s="1" t="s">
        <v>19844</v>
      </c>
      <c r="H1118" s="1" t="s">
        <v>19845</v>
      </c>
      <c r="I1118" s="1" t="s">
        <v>19846</v>
      </c>
      <c r="J1118" s="1">
        <v>9309157441</v>
      </c>
      <c r="K1118" s="1" t="s">
        <v>79</v>
      </c>
      <c r="L1118" s="1" t="s">
        <v>8442</v>
      </c>
      <c r="M1118" s="1" t="s">
        <v>81</v>
      </c>
      <c r="N1118" s="1" t="s">
        <v>19847</v>
      </c>
      <c r="O1118" s="1"/>
      <c r="P1118" s="1" t="s">
        <v>1278</v>
      </c>
      <c r="Q1118" s="1" t="s">
        <v>19848</v>
      </c>
      <c r="R1118" s="1" t="s">
        <v>7939</v>
      </c>
      <c r="S1118" s="1">
        <v>9834387576</v>
      </c>
      <c r="T1118" s="1" t="s">
        <v>842</v>
      </c>
      <c r="U1118" s="1" t="s">
        <v>958</v>
      </c>
      <c r="V1118" s="1">
        <v>8668987708</v>
      </c>
      <c r="W1118" s="1" t="s">
        <v>156</v>
      </c>
      <c r="X1118" s="1" t="s">
        <v>19849</v>
      </c>
      <c r="Y1118" s="1" t="s">
        <v>191</v>
      </c>
      <c r="Z1118" s="1" t="s">
        <v>92</v>
      </c>
      <c r="AA1118" s="1" t="s">
        <v>19850</v>
      </c>
      <c r="AB1118" s="1" t="s">
        <v>5767</v>
      </c>
      <c r="AC1118" s="1" t="s">
        <v>92</v>
      </c>
      <c r="AD1118" s="1">
        <v>9.11</v>
      </c>
      <c r="AE1118" s="1" t="s">
        <v>93</v>
      </c>
      <c r="AF1118" s="1" t="s">
        <v>19278</v>
      </c>
      <c r="AG1118" s="1" t="s">
        <v>19851</v>
      </c>
      <c r="AH1118" s="1" t="s">
        <v>195</v>
      </c>
      <c r="AI1118" s="1" t="s">
        <v>101</v>
      </c>
      <c r="AJ1118" s="1">
        <v>67.6</v>
      </c>
      <c r="AK1118" s="1"/>
      <c r="AL1118" s="1" t="s">
        <v>19852</v>
      </c>
      <c r="AM1118" s="1" t="s">
        <v>12473</v>
      </c>
      <c r="AN1118" s="1" t="s">
        <v>310</v>
      </c>
      <c r="AO1118" s="1" t="s">
        <v>173</v>
      </c>
      <c r="AP1118" s="1">
        <v>67.23</v>
      </c>
      <c r="AQ1118" s="1"/>
      <c r="AR1118" s="1"/>
      <c r="AS1118" s="1"/>
      <c r="AT1118" s="1"/>
      <c r="AU1118" s="1"/>
      <c r="AV1118" s="1"/>
      <c r="AW1118" s="1"/>
      <c r="AX1118" s="1" t="s">
        <v>19853</v>
      </c>
      <c r="AY1118" s="1" t="s">
        <v>19854</v>
      </c>
      <c r="AZ1118" s="1" t="s">
        <v>1051</v>
      </c>
      <c r="BA1118" s="1" t="s">
        <v>1361</v>
      </c>
      <c r="BB1118" s="1">
        <v>86.5</v>
      </c>
      <c r="BC1118" s="1">
        <v>8.65</v>
      </c>
      <c r="BD1118" s="1"/>
      <c r="BE1118" s="1"/>
      <c r="BF1118" s="1"/>
      <c r="BG1118" s="1"/>
      <c r="BH1118" s="1"/>
      <c r="BI1118" s="1"/>
      <c r="BJ1118" s="1" t="s">
        <v>19855</v>
      </c>
      <c r="BK1118" s="1"/>
      <c r="BL1118" s="1"/>
      <c r="BM1118" s="1" t="s">
        <v>19856</v>
      </c>
      <c r="BN1118" s="1">
        <v>13</v>
      </c>
      <c r="BO1118" s="1" t="s">
        <v>19857</v>
      </c>
      <c r="BP1118" s="1" t="str">
        <f>HYPERLINK("https://nconnect.nicmar.ac.in/storage/profile/ProfilePhoto_P25701052_917684.jpg","Download")</f>
        <v>0</v>
      </c>
      <c r="BQ1118" s="3"/>
      <c r="BR1118" s="3"/>
    </row>
    <row r="1119" spans="1:70">
      <c r="A1119" s="1" t="s">
        <v>1563</v>
      </c>
      <c r="B1119" s="1" t="s">
        <v>1269</v>
      </c>
      <c r="C1119" s="1" t="s">
        <v>19858</v>
      </c>
      <c r="D1119" s="1" t="s">
        <v>19859</v>
      </c>
      <c r="E1119" s="1" t="s">
        <v>9781</v>
      </c>
      <c r="F1119" s="1" t="s">
        <v>19860</v>
      </c>
      <c r="G1119" s="1" t="s">
        <v>19861</v>
      </c>
      <c r="H1119" s="1" t="s">
        <v>19862</v>
      </c>
      <c r="I1119" s="1" t="s">
        <v>19863</v>
      </c>
      <c r="J1119" s="1">
        <v>8431755726</v>
      </c>
      <c r="K1119" s="1" t="s">
        <v>148</v>
      </c>
      <c r="L1119" s="1" t="s">
        <v>15834</v>
      </c>
      <c r="M1119" s="1" t="s">
        <v>81</v>
      </c>
      <c r="N1119" s="1" t="s">
        <v>5170</v>
      </c>
      <c r="O1119" s="1"/>
      <c r="P1119" s="1" t="s">
        <v>1278</v>
      </c>
      <c r="Q1119" s="1" t="s">
        <v>19864</v>
      </c>
      <c r="R1119" s="1" t="s">
        <v>19865</v>
      </c>
      <c r="S1119" s="1">
        <v>9980125250</v>
      </c>
      <c r="T1119" s="1" t="s">
        <v>496</v>
      </c>
      <c r="U1119" s="1" t="s">
        <v>19866</v>
      </c>
      <c r="V1119" s="1">
        <v>8951135803</v>
      </c>
      <c r="W1119" s="1" t="s">
        <v>156</v>
      </c>
      <c r="X1119" s="1" t="s">
        <v>19867</v>
      </c>
      <c r="Y1119" s="1" t="s">
        <v>2438</v>
      </c>
      <c r="Z1119" s="1" t="s">
        <v>1084</v>
      </c>
      <c r="AA1119" s="1" t="s">
        <v>19867</v>
      </c>
      <c r="AB1119" s="1" t="s">
        <v>2438</v>
      </c>
      <c r="AC1119" s="1" t="s">
        <v>1084</v>
      </c>
      <c r="AD1119" s="1">
        <v>8.19</v>
      </c>
      <c r="AE1119" s="1" t="s">
        <v>93</v>
      </c>
      <c r="AF1119" s="1" t="s">
        <v>19868</v>
      </c>
      <c r="AG1119" s="1" t="s">
        <v>307</v>
      </c>
      <c r="AH1119" s="1" t="s">
        <v>101</v>
      </c>
      <c r="AI1119" s="1" t="s">
        <v>308</v>
      </c>
      <c r="AJ1119" s="1">
        <v>61.6</v>
      </c>
      <c r="AK1119" s="1"/>
      <c r="AL1119" s="1" t="s">
        <v>19869</v>
      </c>
      <c r="AM1119" s="1" t="s">
        <v>5367</v>
      </c>
      <c r="AN1119" s="1" t="s">
        <v>310</v>
      </c>
      <c r="AO1119" s="1" t="s">
        <v>1131</v>
      </c>
      <c r="AP1119" s="1">
        <v>67</v>
      </c>
      <c r="AQ1119" s="1"/>
      <c r="AR1119" s="1"/>
      <c r="AS1119" s="1"/>
      <c r="AT1119" s="1"/>
      <c r="AU1119" s="1"/>
      <c r="AV1119" s="1"/>
      <c r="AW1119" s="1"/>
      <c r="AX1119" s="1" t="s">
        <v>19870</v>
      </c>
      <c r="AY1119" s="1" t="s">
        <v>19870</v>
      </c>
      <c r="AZ1119" s="1" t="s">
        <v>897</v>
      </c>
      <c r="BA1119" s="1" t="s">
        <v>1714</v>
      </c>
      <c r="BB1119" s="1">
        <v>71.2</v>
      </c>
      <c r="BC1119" s="1">
        <v>7.87</v>
      </c>
      <c r="BD1119" s="1"/>
      <c r="BE1119" s="1"/>
      <c r="BF1119" s="1"/>
      <c r="BG1119" s="1"/>
      <c r="BH1119" s="1"/>
      <c r="BI1119" s="1"/>
      <c r="BJ1119" s="1" t="s">
        <v>19871</v>
      </c>
      <c r="BK1119" s="1"/>
      <c r="BL1119" s="1"/>
      <c r="BM1119" s="1" t="s">
        <v>19872</v>
      </c>
      <c r="BN1119" s="1">
        <v>16</v>
      </c>
      <c r="BO1119" s="1"/>
      <c r="BP1119" s="1" t="str">
        <f>HYPERLINK("https://nconnect.nicmar.ac.in/storage/profile/ProfilePhoto_P25701053_372945.jpg","Download")</f>
        <v>0</v>
      </c>
      <c r="BQ1119" s="3"/>
      <c r="BR1119" s="3"/>
    </row>
    <row r="1120" spans="1:70">
      <c r="A1120" s="1" t="s">
        <v>1563</v>
      </c>
      <c r="B1120" s="1" t="s">
        <v>1269</v>
      </c>
      <c r="C1120" s="1" t="s">
        <v>19873</v>
      </c>
      <c r="D1120" s="1" t="s">
        <v>19874</v>
      </c>
      <c r="E1120" s="1" t="s">
        <v>15240</v>
      </c>
      <c r="F1120" s="1" t="s">
        <v>19875</v>
      </c>
      <c r="G1120" s="1" t="s">
        <v>19876</v>
      </c>
      <c r="H1120" s="1" t="s">
        <v>19877</v>
      </c>
      <c r="I1120" s="1" t="s">
        <v>19878</v>
      </c>
      <c r="J1120" s="1">
        <v>9588660285</v>
      </c>
      <c r="K1120" s="1" t="s">
        <v>148</v>
      </c>
      <c r="L1120" s="1" t="s">
        <v>19068</v>
      </c>
      <c r="M1120" s="1" t="s">
        <v>81</v>
      </c>
      <c r="N1120" s="1" t="s">
        <v>1986</v>
      </c>
      <c r="O1120" s="1"/>
      <c r="P1120" s="1" t="s">
        <v>1298</v>
      </c>
      <c r="Q1120" s="1" t="s">
        <v>19879</v>
      </c>
      <c r="R1120" s="1" t="s">
        <v>19880</v>
      </c>
      <c r="S1120" s="1">
        <v>9422155873</v>
      </c>
      <c r="T1120" s="1" t="s">
        <v>496</v>
      </c>
      <c r="U1120" s="1" t="s">
        <v>19881</v>
      </c>
      <c r="V1120" s="1">
        <v>9422917492</v>
      </c>
      <c r="W1120" s="1" t="s">
        <v>496</v>
      </c>
      <c r="X1120" s="1" t="s">
        <v>19882</v>
      </c>
      <c r="Y1120" s="1" t="s">
        <v>219</v>
      </c>
      <c r="Z1120" s="1" t="s">
        <v>92</v>
      </c>
      <c r="AA1120" s="1" t="s">
        <v>19882</v>
      </c>
      <c r="AB1120" s="1" t="s">
        <v>219</v>
      </c>
      <c r="AC1120" s="1" t="s">
        <v>92</v>
      </c>
      <c r="AD1120" s="1">
        <v>7.59</v>
      </c>
      <c r="AE1120" s="1" t="s">
        <v>93</v>
      </c>
      <c r="AF1120" s="1" t="s">
        <v>19883</v>
      </c>
      <c r="AG1120" s="1" t="s">
        <v>14874</v>
      </c>
      <c r="AH1120" s="1" t="s">
        <v>281</v>
      </c>
      <c r="AI1120" s="1" t="s">
        <v>308</v>
      </c>
      <c r="AJ1120" s="1">
        <v>76.4</v>
      </c>
      <c r="AK1120" s="1"/>
      <c r="AL1120" s="1" t="s">
        <v>19884</v>
      </c>
      <c r="AM1120" s="1" t="s">
        <v>14874</v>
      </c>
      <c r="AN1120" s="1" t="s">
        <v>941</v>
      </c>
      <c r="AO1120" s="1" t="s">
        <v>1712</v>
      </c>
      <c r="AP1120" s="1">
        <v>84.83</v>
      </c>
      <c r="AQ1120" s="1"/>
      <c r="AR1120" s="1"/>
      <c r="AS1120" s="1"/>
      <c r="AT1120" s="1"/>
      <c r="AU1120" s="1"/>
      <c r="AV1120" s="1"/>
      <c r="AW1120" s="1"/>
      <c r="AX1120" s="1" t="s">
        <v>361</v>
      </c>
      <c r="AY1120" s="1" t="s">
        <v>19885</v>
      </c>
      <c r="AZ1120" s="1" t="s">
        <v>504</v>
      </c>
      <c r="BA1120" s="1" t="s">
        <v>1361</v>
      </c>
      <c r="BB1120" s="1">
        <v>72.77</v>
      </c>
      <c r="BC1120" s="1">
        <v>7.66</v>
      </c>
      <c r="BD1120" s="1"/>
      <c r="BE1120" s="1"/>
      <c r="BF1120" s="1"/>
      <c r="BG1120" s="1"/>
      <c r="BH1120" s="1"/>
      <c r="BI1120" s="1"/>
      <c r="BJ1120" s="1" t="s">
        <v>19886</v>
      </c>
      <c r="BK1120" s="1"/>
      <c r="BL1120" s="1"/>
      <c r="BM1120" s="1" t="s">
        <v>19887</v>
      </c>
      <c r="BN1120" s="1">
        <v>19</v>
      </c>
      <c r="BO1120" s="1"/>
      <c r="BP1120" s="1" t="str">
        <f>HYPERLINK("https://nconnect.nicmar.ac.in/storage/profile/ProfilePhoto_P25701054_928375.jpg","Download")</f>
        <v>0</v>
      </c>
      <c r="BQ1120" s="3"/>
      <c r="BR1120" s="3"/>
    </row>
    <row r="1121" spans="1:70">
      <c r="A1121" s="1" t="s">
        <v>1563</v>
      </c>
      <c r="B1121" s="1" t="s">
        <v>1269</v>
      </c>
      <c r="C1121" s="1" t="s">
        <v>19888</v>
      </c>
      <c r="D1121" s="1" t="s">
        <v>5563</v>
      </c>
      <c r="E1121" s="1" t="s">
        <v>19889</v>
      </c>
      <c r="F1121" s="1" t="s">
        <v>2893</v>
      </c>
      <c r="G1121" s="1" t="s">
        <v>19890</v>
      </c>
      <c r="H1121" s="1" t="s">
        <v>19891</v>
      </c>
      <c r="I1121" s="1" t="s">
        <v>19892</v>
      </c>
      <c r="J1121" s="1">
        <v>7208881482</v>
      </c>
      <c r="K1121" s="1" t="s">
        <v>79</v>
      </c>
      <c r="L1121" s="1" t="s">
        <v>14068</v>
      </c>
      <c r="M1121" s="1" t="s">
        <v>81</v>
      </c>
      <c r="N1121" s="1" t="s">
        <v>2293</v>
      </c>
      <c r="O1121" s="1" t="s">
        <v>19893</v>
      </c>
      <c r="P1121" s="1" t="s">
        <v>1278</v>
      </c>
      <c r="Q1121" s="1" t="s">
        <v>19894</v>
      </c>
      <c r="R1121" s="1" t="s">
        <v>19895</v>
      </c>
      <c r="S1121" s="1">
        <v>9769484706</v>
      </c>
      <c r="T1121" s="1" t="s">
        <v>19896</v>
      </c>
      <c r="U1121" s="1" t="s">
        <v>2754</v>
      </c>
      <c r="V1121" s="1">
        <v>8097713101</v>
      </c>
      <c r="W1121" s="1" t="s">
        <v>651</v>
      </c>
      <c r="X1121" s="1" t="s">
        <v>19897</v>
      </c>
      <c r="Y1121" s="1" t="s">
        <v>766</v>
      </c>
      <c r="Z1121" s="1" t="s">
        <v>92</v>
      </c>
      <c r="AA1121" s="1" t="s">
        <v>19897</v>
      </c>
      <c r="AB1121" s="1" t="s">
        <v>766</v>
      </c>
      <c r="AC1121" s="1" t="s">
        <v>92</v>
      </c>
      <c r="AD1121" s="1">
        <v>8.05</v>
      </c>
      <c r="AE1121" s="1" t="s">
        <v>93</v>
      </c>
      <c r="AF1121" s="1" t="s">
        <v>19898</v>
      </c>
      <c r="AG1121" s="1" t="s">
        <v>19899</v>
      </c>
      <c r="AH1121" s="1" t="s">
        <v>161</v>
      </c>
      <c r="AI1121" s="1" t="s">
        <v>527</v>
      </c>
      <c r="AJ1121" s="1">
        <v>68.4</v>
      </c>
      <c r="AK1121" s="1"/>
      <c r="AL1121" s="1"/>
      <c r="AM1121" s="1"/>
      <c r="AN1121" s="1"/>
      <c r="AO1121" s="1"/>
      <c r="AP1121" s="1"/>
      <c r="AQ1121" s="1"/>
      <c r="AR1121" s="1" t="s">
        <v>434</v>
      </c>
      <c r="AS1121" s="1" t="s">
        <v>19900</v>
      </c>
      <c r="AT1121" s="1" t="s">
        <v>733</v>
      </c>
      <c r="AU1121" s="1" t="s">
        <v>433</v>
      </c>
      <c r="AV1121" s="1">
        <v>69.7</v>
      </c>
      <c r="AW1121" s="1"/>
      <c r="AX1121" s="1" t="s">
        <v>253</v>
      </c>
      <c r="AY1121" s="1" t="s">
        <v>19901</v>
      </c>
      <c r="AZ1121" s="1" t="s">
        <v>201</v>
      </c>
      <c r="BA1121" s="1" t="s">
        <v>105</v>
      </c>
      <c r="BB1121" s="1">
        <v>70.54</v>
      </c>
      <c r="BC1121" s="1"/>
      <c r="BD1121" s="1"/>
      <c r="BE1121" s="1"/>
      <c r="BF1121" s="1"/>
      <c r="BG1121" s="1"/>
      <c r="BH1121" s="1"/>
      <c r="BI1121" s="1"/>
      <c r="BJ1121" s="1" t="s">
        <v>19902</v>
      </c>
      <c r="BK1121" s="1" t="s">
        <v>19903</v>
      </c>
      <c r="BL1121" s="1" t="s">
        <v>1919</v>
      </c>
      <c r="BM1121" s="1" t="s">
        <v>19904</v>
      </c>
      <c r="BN1121" s="1">
        <v>8</v>
      </c>
      <c r="BO1121" s="1" t="s">
        <v>19905</v>
      </c>
      <c r="BP1121" s="1" t="str">
        <f>HYPERLINK("https://nconnect.nicmar.ac.in/storage/profile/ProfilePhoto_P25701055_348719.jpg","Download")</f>
        <v>0</v>
      </c>
      <c r="BQ1121" s="3"/>
      <c r="BR1121" s="3"/>
    </row>
    <row r="1122" spans="1:70">
      <c r="A1122" s="1" t="s">
        <v>1563</v>
      </c>
      <c r="B1122" s="1" t="s">
        <v>1269</v>
      </c>
      <c r="C1122" s="1" t="s">
        <v>19906</v>
      </c>
      <c r="D1122" s="1" t="s">
        <v>7864</v>
      </c>
      <c r="E1122" s="1" t="s">
        <v>5072</v>
      </c>
      <c r="F1122" s="1" t="s">
        <v>19907</v>
      </c>
      <c r="G1122" s="1" t="s">
        <v>19908</v>
      </c>
      <c r="H1122" s="1" t="s">
        <v>19909</v>
      </c>
      <c r="I1122" s="1" t="s">
        <v>19910</v>
      </c>
      <c r="J1122" s="1">
        <v>8082190515</v>
      </c>
      <c r="K1122" s="1" t="s">
        <v>148</v>
      </c>
      <c r="L1122" s="1" t="s">
        <v>19911</v>
      </c>
      <c r="M1122" s="1" t="s">
        <v>81</v>
      </c>
      <c r="N1122" s="1" t="s">
        <v>1418</v>
      </c>
      <c r="O1122" s="1"/>
      <c r="P1122" s="1" t="s">
        <v>1323</v>
      </c>
      <c r="Q1122" s="1" t="s">
        <v>19912</v>
      </c>
      <c r="R1122" s="1" t="s">
        <v>5072</v>
      </c>
      <c r="S1122" s="1">
        <v>9870073746</v>
      </c>
      <c r="T1122" s="1" t="s">
        <v>19913</v>
      </c>
      <c r="U1122" s="1" t="s">
        <v>19914</v>
      </c>
      <c r="V1122" s="1">
        <v>9870073751</v>
      </c>
      <c r="W1122" s="1" t="s">
        <v>19915</v>
      </c>
      <c r="X1122" s="1" t="s">
        <v>19916</v>
      </c>
      <c r="Y1122" s="1" t="s">
        <v>1623</v>
      </c>
      <c r="Z1122" s="1" t="s">
        <v>92</v>
      </c>
      <c r="AA1122" s="1" t="s">
        <v>19916</v>
      </c>
      <c r="AB1122" s="1" t="s">
        <v>1623</v>
      </c>
      <c r="AC1122" s="1" t="s">
        <v>92</v>
      </c>
      <c r="AD1122" s="1">
        <v>8.89</v>
      </c>
      <c r="AE1122" s="1" t="s">
        <v>93</v>
      </c>
      <c r="AF1122" s="1" t="s">
        <v>19917</v>
      </c>
      <c r="AG1122" s="1" t="s">
        <v>5086</v>
      </c>
      <c r="AH1122" s="1" t="s">
        <v>998</v>
      </c>
      <c r="AI1122" s="1" t="s">
        <v>96</v>
      </c>
      <c r="AJ1122" s="1">
        <v>94.4</v>
      </c>
      <c r="AK1122" s="1">
        <v>0</v>
      </c>
      <c r="AL1122" s="1" t="s">
        <v>19918</v>
      </c>
      <c r="AM1122" s="1" t="s">
        <v>5086</v>
      </c>
      <c r="AN1122" s="1" t="s">
        <v>161</v>
      </c>
      <c r="AO1122" s="1" t="s">
        <v>527</v>
      </c>
      <c r="AP1122" s="1">
        <v>91.69</v>
      </c>
      <c r="AQ1122" s="1">
        <v>0</v>
      </c>
      <c r="AR1122" s="1"/>
      <c r="AS1122" s="1"/>
      <c r="AT1122" s="1"/>
      <c r="AU1122" s="1"/>
      <c r="AV1122" s="1"/>
      <c r="AW1122" s="1"/>
      <c r="AX1122" s="1" t="s">
        <v>253</v>
      </c>
      <c r="AY1122" s="1" t="s">
        <v>19919</v>
      </c>
      <c r="AZ1122" s="1" t="s">
        <v>134</v>
      </c>
      <c r="BA1122" s="1" t="s">
        <v>1131</v>
      </c>
      <c r="BB1122" s="1">
        <v>66.68</v>
      </c>
      <c r="BC1122" s="1">
        <v>0</v>
      </c>
      <c r="BD1122" s="1"/>
      <c r="BE1122" s="1"/>
      <c r="BF1122" s="1"/>
      <c r="BG1122" s="1"/>
      <c r="BH1122" s="1"/>
      <c r="BI1122" s="1"/>
      <c r="BJ1122" s="1" t="s">
        <v>19920</v>
      </c>
      <c r="BK1122" s="1" t="s">
        <v>19921</v>
      </c>
      <c r="BL1122" s="1" t="s">
        <v>16353</v>
      </c>
      <c r="BM1122" s="1" t="s">
        <v>19922</v>
      </c>
      <c r="BN1122" s="1">
        <v>43</v>
      </c>
      <c r="BO1122" s="1"/>
      <c r="BP1122" s="1" t="str">
        <f>HYPERLINK("https://nconnect.nicmar.ac.in/storage/profile/ProfilePhoto_P25701056_321589.jpg","Download")</f>
        <v>0</v>
      </c>
      <c r="BQ1122" s="3"/>
      <c r="BR1122" s="3"/>
    </row>
    <row r="1123" spans="1:70">
      <c r="A1123" s="1" t="s">
        <v>1563</v>
      </c>
      <c r="B1123" s="1" t="s">
        <v>1269</v>
      </c>
      <c r="C1123" s="1" t="s">
        <v>19923</v>
      </c>
      <c r="D1123" s="1" t="s">
        <v>19924</v>
      </c>
      <c r="E1123" s="1"/>
      <c r="F1123" s="1" t="s">
        <v>19925</v>
      </c>
      <c r="G1123" s="1" t="s">
        <v>19926</v>
      </c>
      <c r="H1123" s="1" t="s">
        <v>19927</v>
      </c>
      <c r="I1123" s="1" t="s">
        <v>19928</v>
      </c>
      <c r="J1123" s="1">
        <v>9774486918</v>
      </c>
      <c r="K1123" s="1" t="s">
        <v>79</v>
      </c>
      <c r="L1123" s="1" t="s">
        <v>19929</v>
      </c>
      <c r="M1123" s="1" t="s">
        <v>81</v>
      </c>
      <c r="N1123" s="1" t="s">
        <v>11353</v>
      </c>
      <c r="O1123" s="1"/>
      <c r="P1123" s="1" t="s">
        <v>1323</v>
      </c>
      <c r="Q1123" s="1" t="s">
        <v>19930</v>
      </c>
      <c r="R1123" s="1" t="s">
        <v>19931</v>
      </c>
      <c r="S1123" s="1">
        <v>9774862616</v>
      </c>
      <c r="T1123" s="1" t="s">
        <v>89</v>
      </c>
      <c r="U1123" s="1" t="s">
        <v>19932</v>
      </c>
      <c r="V1123" s="1">
        <v>9774012767</v>
      </c>
      <c r="W1123" s="1" t="s">
        <v>1351</v>
      </c>
      <c r="X1123" s="1" t="s">
        <v>19933</v>
      </c>
      <c r="Y1123" s="1" t="s">
        <v>19934</v>
      </c>
      <c r="Z1123" s="1" t="s">
        <v>19935</v>
      </c>
      <c r="AA1123" s="1" t="s">
        <v>19933</v>
      </c>
      <c r="AB1123" s="1" t="s">
        <v>19934</v>
      </c>
      <c r="AC1123" s="1" t="s">
        <v>19935</v>
      </c>
      <c r="AD1123" s="1">
        <v>7.47</v>
      </c>
      <c r="AE1123" s="1" t="s">
        <v>93</v>
      </c>
      <c r="AF1123" s="1" t="s">
        <v>19936</v>
      </c>
      <c r="AG1123" s="1" t="s">
        <v>19937</v>
      </c>
      <c r="AH1123" s="1" t="s">
        <v>131</v>
      </c>
      <c r="AI1123" s="1" t="s">
        <v>279</v>
      </c>
      <c r="AJ1123" s="1">
        <v>89.3</v>
      </c>
      <c r="AK1123" s="1">
        <v>9.4</v>
      </c>
      <c r="AL1123" s="1" t="s">
        <v>19938</v>
      </c>
      <c r="AM1123" s="1" t="s">
        <v>19937</v>
      </c>
      <c r="AN1123" s="1" t="s">
        <v>678</v>
      </c>
      <c r="AO1123" s="1" t="s">
        <v>281</v>
      </c>
      <c r="AP1123" s="1">
        <v>70.2</v>
      </c>
      <c r="AQ1123" s="1"/>
      <c r="AR1123" s="1"/>
      <c r="AS1123" s="1"/>
      <c r="AT1123" s="1"/>
      <c r="AU1123" s="1"/>
      <c r="AV1123" s="1"/>
      <c r="AW1123" s="1"/>
      <c r="AX1123" s="1" t="s">
        <v>19939</v>
      </c>
      <c r="AY1123" s="1" t="s">
        <v>19939</v>
      </c>
      <c r="AZ1123" s="1" t="s">
        <v>169</v>
      </c>
      <c r="BA1123" s="1" t="s">
        <v>1003</v>
      </c>
      <c r="BB1123" s="1">
        <v>70.4</v>
      </c>
      <c r="BC1123" s="1">
        <v>7.04</v>
      </c>
      <c r="BD1123" s="1"/>
      <c r="BE1123" s="1"/>
      <c r="BF1123" s="1"/>
      <c r="BG1123" s="1"/>
      <c r="BH1123" s="1"/>
      <c r="BI1123" s="1"/>
      <c r="BJ1123" s="1" t="s">
        <v>1383</v>
      </c>
      <c r="BK1123" s="1" t="s">
        <v>19940</v>
      </c>
      <c r="BL1123" s="1" t="s">
        <v>1629</v>
      </c>
      <c r="BM1123" s="1" t="s">
        <v>19941</v>
      </c>
      <c r="BN1123" s="1">
        <v>8</v>
      </c>
      <c r="BO1123" s="1"/>
      <c r="BP1123" s="1" t="str">
        <f>HYPERLINK("https://nconnect.nicmar.ac.in/storage/profile/ProfilePhoto_P25701057_742385.jpg","Download")</f>
        <v>0</v>
      </c>
      <c r="BQ1123" s="3"/>
      <c r="BR1123" s="3"/>
    </row>
    <row r="1124" spans="1:70">
      <c r="A1124" s="1" t="s">
        <v>1563</v>
      </c>
      <c r="B1124" s="1" t="s">
        <v>1269</v>
      </c>
      <c r="C1124" s="1" t="s">
        <v>19942</v>
      </c>
      <c r="D1124" s="1" t="s">
        <v>19943</v>
      </c>
      <c r="E1124" s="1" t="s">
        <v>835</v>
      </c>
      <c r="F1124" s="1" t="s">
        <v>19944</v>
      </c>
      <c r="G1124" s="1" t="s">
        <v>19945</v>
      </c>
      <c r="H1124" s="1" t="s">
        <v>19946</v>
      </c>
      <c r="I1124" s="1" t="s">
        <v>19947</v>
      </c>
      <c r="J1124" s="1">
        <v>9079355689</v>
      </c>
      <c r="K1124" s="1" t="s">
        <v>79</v>
      </c>
      <c r="L1124" s="1" t="s">
        <v>19948</v>
      </c>
      <c r="M1124" s="1" t="s">
        <v>81</v>
      </c>
      <c r="N1124" s="1" t="s">
        <v>82</v>
      </c>
      <c r="O1124" s="1" t="s">
        <v>19949</v>
      </c>
      <c r="P1124" s="1" t="s">
        <v>1323</v>
      </c>
      <c r="Q1124" s="1" t="s">
        <v>19950</v>
      </c>
      <c r="R1124" s="1" t="s">
        <v>19951</v>
      </c>
      <c r="S1124" s="1">
        <v>7014937187</v>
      </c>
      <c r="T1124" s="1" t="s">
        <v>19952</v>
      </c>
      <c r="U1124" s="1" t="s">
        <v>19953</v>
      </c>
      <c r="V1124" s="1">
        <v>7568789701</v>
      </c>
      <c r="W1124" s="1" t="s">
        <v>89</v>
      </c>
      <c r="X1124" s="1" t="s">
        <v>19954</v>
      </c>
      <c r="Y1124" s="1" t="s">
        <v>19955</v>
      </c>
      <c r="Z1124" s="1" t="s">
        <v>867</v>
      </c>
      <c r="AA1124" s="1" t="s">
        <v>19954</v>
      </c>
      <c r="AB1124" s="1" t="s">
        <v>19955</v>
      </c>
      <c r="AC1124" s="1" t="s">
        <v>867</v>
      </c>
      <c r="AD1124" s="1">
        <v>8.3</v>
      </c>
      <c r="AE1124" s="1" t="s">
        <v>93</v>
      </c>
      <c r="AF1124" s="1" t="s">
        <v>19956</v>
      </c>
      <c r="AG1124" s="1" t="s">
        <v>1665</v>
      </c>
      <c r="AH1124" s="1" t="s">
        <v>503</v>
      </c>
      <c r="AI1124" s="1" t="s">
        <v>527</v>
      </c>
      <c r="AJ1124" s="1">
        <v>85.5</v>
      </c>
      <c r="AK1124" s="1">
        <v>9</v>
      </c>
      <c r="AL1124" s="1" t="s">
        <v>19956</v>
      </c>
      <c r="AM1124" s="1" t="s">
        <v>1665</v>
      </c>
      <c r="AN1124" s="1" t="s">
        <v>678</v>
      </c>
      <c r="AO1124" s="1" t="s">
        <v>166</v>
      </c>
      <c r="AP1124" s="1">
        <v>64.2</v>
      </c>
      <c r="AQ1124" s="1"/>
      <c r="AR1124" s="1"/>
      <c r="AS1124" s="1"/>
      <c r="AT1124" s="1"/>
      <c r="AU1124" s="1"/>
      <c r="AV1124" s="1"/>
      <c r="AW1124" s="1"/>
      <c r="AX1124" s="1" t="s">
        <v>19957</v>
      </c>
      <c r="AY1124" s="1" t="s">
        <v>19958</v>
      </c>
      <c r="AZ1124" s="1" t="s">
        <v>636</v>
      </c>
      <c r="BA1124" s="1" t="s">
        <v>174</v>
      </c>
      <c r="BB1124" s="1">
        <v>83.9</v>
      </c>
      <c r="BC1124" s="1">
        <v>8.39</v>
      </c>
      <c r="BD1124" s="1"/>
      <c r="BE1124" s="1"/>
      <c r="BF1124" s="1"/>
      <c r="BG1124" s="1"/>
      <c r="BH1124" s="1"/>
      <c r="BI1124" s="1"/>
      <c r="BJ1124" s="1" t="s">
        <v>19959</v>
      </c>
      <c r="BK1124" s="1" t="s">
        <v>19960</v>
      </c>
      <c r="BL1124" s="1" t="s">
        <v>4722</v>
      </c>
      <c r="BM1124" s="1" t="s">
        <v>19961</v>
      </c>
      <c r="BN1124" s="1">
        <v>6</v>
      </c>
      <c r="BO1124" s="1" t="s">
        <v>19962</v>
      </c>
      <c r="BP1124" s="1" t="str">
        <f>HYPERLINK("https://nconnect.nicmar.ac.in/storage/profile/ProfilePhoto_P25701058_382415.jpg","Download")</f>
        <v>0</v>
      </c>
      <c r="BQ1124" s="3"/>
      <c r="BR1124" s="3"/>
    </row>
    <row r="1125" spans="1:70">
      <c r="A1125" s="1" t="s">
        <v>1563</v>
      </c>
      <c r="B1125" s="1" t="s">
        <v>1269</v>
      </c>
      <c r="C1125" s="1" t="s">
        <v>19963</v>
      </c>
      <c r="D1125" s="1" t="s">
        <v>18204</v>
      </c>
      <c r="E1125" s="1"/>
      <c r="F1125" s="1" t="s">
        <v>111</v>
      </c>
      <c r="G1125" s="1" t="s">
        <v>19964</v>
      </c>
      <c r="H1125" s="1" t="s">
        <v>19965</v>
      </c>
      <c r="I1125" s="1" t="s">
        <v>19966</v>
      </c>
      <c r="J1125" s="1">
        <v>8310554418</v>
      </c>
      <c r="K1125" s="1" t="s">
        <v>148</v>
      </c>
      <c r="L1125" s="1" t="s">
        <v>16505</v>
      </c>
      <c r="M1125" s="1" t="s">
        <v>81</v>
      </c>
      <c r="N1125" s="1" t="s">
        <v>19967</v>
      </c>
      <c r="O1125" s="1"/>
      <c r="P1125" s="1" t="s">
        <v>1298</v>
      </c>
      <c r="Q1125" s="1" t="s">
        <v>19968</v>
      </c>
      <c r="R1125" s="1" t="s">
        <v>19969</v>
      </c>
      <c r="S1125" s="1">
        <v>9740448322</v>
      </c>
      <c r="T1125" s="1" t="s">
        <v>4566</v>
      </c>
      <c r="U1125" s="1" t="s">
        <v>19970</v>
      </c>
      <c r="V1125" s="1">
        <v>7892469730</v>
      </c>
      <c r="W1125" s="1" t="s">
        <v>273</v>
      </c>
      <c r="X1125" s="1" t="s">
        <v>19971</v>
      </c>
      <c r="Y1125" s="1" t="s">
        <v>1083</v>
      </c>
      <c r="Z1125" s="1" t="s">
        <v>1084</v>
      </c>
      <c r="AA1125" s="1" t="s">
        <v>19972</v>
      </c>
      <c r="AB1125" s="1" t="s">
        <v>1083</v>
      </c>
      <c r="AC1125" s="1" t="s">
        <v>1084</v>
      </c>
      <c r="AD1125" s="1">
        <v>7.52</v>
      </c>
      <c r="AE1125" s="1" t="s">
        <v>93</v>
      </c>
      <c r="AF1125" s="1" t="s">
        <v>19973</v>
      </c>
      <c r="AG1125" s="1" t="s">
        <v>2745</v>
      </c>
      <c r="AH1125" s="1" t="s">
        <v>166</v>
      </c>
      <c r="AI1125" s="1" t="s">
        <v>1065</v>
      </c>
      <c r="AJ1125" s="1">
        <v>86.56</v>
      </c>
      <c r="AK1125" s="1"/>
      <c r="AL1125" s="1" t="s">
        <v>19974</v>
      </c>
      <c r="AM1125" s="1" t="s">
        <v>11436</v>
      </c>
      <c r="AN1125" s="1" t="s">
        <v>433</v>
      </c>
      <c r="AO1125" s="1" t="s">
        <v>506</v>
      </c>
      <c r="AP1125" s="1">
        <v>80.5</v>
      </c>
      <c r="AQ1125" s="1"/>
      <c r="AR1125" s="1"/>
      <c r="AS1125" s="1"/>
      <c r="AT1125" s="1"/>
      <c r="AU1125" s="1"/>
      <c r="AV1125" s="1"/>
      <c r="AW1125" s="1"/>
      <c r="AX1125" s="1" t="s">
        <v>4953</v>
      </c>
      <c r="AY1125" s="1" t="s">
        <v>19975</v>
      </c>
      <c r="AZ1125" s="1" t="s">
        <v>897</v>
      </c>
      <c r="BA1125" s="1" t="s">
        <v>1584</v>
      </c>
      <c r="BB1125" s="1">
        <v>70.9</v>
      </c>
      <c r="BC1125" s="1">
        <v>7.84</v>
      </c>
      <c r="BD1125" s="1"/>
      <c r="BE1125" s="1"/>
      <c r="BF1125" s="1"/>
      <c r="BG1125" s="1"/>
      <c r="BH1125" s="1"/>
      <c r="BI1125" s="1"/>
      <c r="BJ1125" s="1" t="s">
        <v>19976</v>
      </c>
      <c r="BK1125" s="1"/>
      <c r="BL1125" s="1"/>
      <c r="BM1125" s="1" t="s">
        <v>19977</v>
      </c>
      <c r="BN1125" s="1">
        <v>34</v>
      </c>
      <c r="BO1125" s="1"/>
      <c r="BP1125" s="1" t="str">
        <f>HYPERLINK("https://nconnect.nicmar.ac.in/storage/profile/ProfilePhoto_P25701059_618749.jpg","Download")</f>
        <v>0</v>
      </c>
      <c r="BQ1125" s="3"/>
      <c r="BR1125" s="3"/>
    </row>
    <row r="1126" spans="1:70">
      <c r="A1126" s="1" t="s">
        <v>1563</v>
      </c>
      <c r="B1126" s="1" t="s">
        <v>1269</v>
      </c>
      <c r="C1126" s="1" t="s">
        <v>19978</v>
      </c>
      <c r="D1126" s="1" t="s">
        <v>835</v>
      </c>
      <c r="E1126" s="1" t="s">
        <v>19979</v>
      </c>
      <c r="F1126" s="1" t="s">
        <v>19980</v>
      </c>
      <c r="G1126" s="1" t="s">
        <v>19981</v>
      </c>
      <c r="H1126" s="1" t="s">
        <v>19982</v>
      </c>
      <c r="I1126" s="1" t="s">
        <v>19983</v>
      </c>
      <c r="J1126" s="1">
        <v>8356041344</v>
      </c>
      <c r="K1126" s="1" t="s">
        <v>79</v>
      </c>
      <c r="L1126" s="1" t="s">
        <v>10339</v>
      </c>
      <c r="M1126" s="1" t="s">
        <v>81</v>
      </c>
      <c r="N1126" s="1" t="s">
        <v>1418</v>
      </c>
      <c r="O1126" s="1"/>
      <c r="P1126" s="1" t="s">
        <v>1323</v>
      </c>
      <c r="Q1126" s="1" t="s">
        <v>19984</v>
      </c>
      <c r="R1126" s="1" t="s">
        <v>19985</v>
      </c>
      <c r="S1126" s="1">
        <v>8080225626</v>
      </c>
      <c r="T1126" s="1" t="s">
        <v>19986</v>
      </c>
      <c r="U1126" s="1" t="s">
        <v>19987</v>
      </c>
      <c r="V1126" s="1">
        <v>9833733249</v>
      </c>
      <c r="W1126" s="1" t="s">
        <v>89</v>
      </c>
      <c r="X1126" s="1" t="s">
        <v>19988</v>
      </c>
      <c r="Y1126" s="1" t="s">
        <v>766</v>
      </c>
      <c r="Z1126" s="1" t="s">
        <v>92</v>
      </c>
      <c r="AA1126" s="1" t="s">
        <v>19988</v>
      </c>
      <c r="AB1126" s="1" t="s">
        <v>766</v>
      </c>
      <c r="AC1126" s="1" t="s">
        <v>92</v>
      </c>
      <c r="AD1126" s="1" t="s">
        <v>93</v>
      </c>
      <c r="AE1126" s="1" t="s">
        <v>93</v>
      </c>
      <c r="AF1126" s="1" t="s">
        <v>19989</v>
      </c>
      <c r="AG1126" s="1" t="s">
        <v>19990</v>
      </c>
      <c r="AH1126" s="1" t="s">
        <v>161</v>
      </c>
      <c r="AI1126" s="1" t="s">
        <v>162</v>
      </c>
      <c r="AJ1126" s="1">
        <v>71.6</v>
      </c>
      <c r="AK1126" s="1"/>
      <c r="AL1126" s="1"/>
      <c r="AM1126" s="1"/>
      <c r="AN1126" s="1"/>
      <c r="AO1126" s="1"/>
      <c r="AP1126" s="1"/>
      <c r="AQ1126" s="1"/>
      <c r="AR1126" s="1" t="s">
        <v>98</v>
      </c>
      <c r="AS1126" s="1" t="s">
        <v>19991</v>
      </c>
      <c r="AT1126" s="1" t="s">
        <v>733</v>
      </c>
      <c r="AU1126" s="1" t="s">
        <v>433</v>
      </c>
      <c r="AV1126" s="1">
        <v>72.18</v>
      </c>
      <c r="AW1126" s="1"/>
      <c r="AX1126" s="1" t="s">
        <v>253</v>
      </c>
      <c r="AY1126" s="1" t="s">
        <v>19992</v>
      </c>
      <c r="AZ1126" s="1" t="s">
        <v>201</v>
      </c>
      <c r="BA1126" s="1" t="s">
        <v>105</v>
      </c>
      <c r="BB1126" s="1">
        <v>74.4</v>
      </c>
      <c r="BC1126" s="1"/>
      <c r="BD1126" s="1"/>
      <c r="BE1126" s="1"/>
      <c r="BF1126" s="1"/>
      <c r="BG1126" s="1"/>
      <c r="BH1126" s="1"/>
      <c r="BI1126" s="1"/>
      <c r="BJ1126" s="1" t="s">
        <v>364</v>
      </c>
      <c r="BK1126" s="1" t="s">
        <v>19993</v>
      </c>
      <c r="BL1126" s="1" t="s">
        <v>1523</v>
      </c>
      <c r="BM1126" s="1" t="s">
        <v>19994</v>
      </c>
      <c r="BN1126" s="1">
        <v>65</v>
      </c>
      <c r="BO1126" s="1"/>
      <c r="BP1126" s="1" t="str">
        <f>HYPERLINK("https://nconnect.nicmar.ac.in/storage/profile/ProfilePhoto_P25701060_532694.jpg","Download")</f>
        <v>0</v>
      </c>
      <c r="BQ1126" s="3"/>
      <c r="BR1126" s="3"/>
    </row>
    <row r="1127" spans="1:70">
      <c r="A1127" s="1" t="s">
        <v>1563</v>
      </c>
      <c r="B1127" s="1" t="s">
        <v>1269</v>
      </c>
      <c r="C1127" s="1" t="s">
        <v>19995</v>
      </c>
      <c r="D1127" s="1" t="s">
        <v>19996</v>
      </c>
      <c r="E1127" s="1"/>
      <c r="F1127" s="1" t="s">
        <v>15331</v>
      </c>
      <c r="G1127" s="1" t="s">
        <v>19997</v>
      </c>
      <c r="H1127" s="1" t="s">
        <v>19998</v>
      </c>
      <c r="I1127" s="1" t="s">
        <v>19999</v>
      </c>
      <c r="J1127" s="1">
        <v>9330372646</v>
      </c>
      <c r="K1127" s="1" t="s">
        <v>79</v>
      </c>
      <c r="L1127" s="1" t="s">
        <v>17313</v>
      </c>
      <c r="M1127" s="1" t="s">
        <v>81</v>
      </c>
      <c r="N1127" s="1" t="s">
        <v>12725</v>
      </c>
      <c r="O1127" s="1"/>
      <c r="P1127" s="1" t="s">
        <v>1278</v>
      </c>
      <c r="Q1127" s="1" t="s">
        <v>20000</v>
      </c>
      <c r="R1127" s="1" t="s">
        <v>20001</v>
      </c>
      <c r="S1127" s="1">
        <v>9830827767</v>
      </c>
      <c r="T1127" s="1" t="s">
        <v>763</v>
      </c>
      <c r="U1127" s="1" t="s">
        <v>20002</v>
      </c>
      <c r="V1127" s="1">
        <v>9051451485</v>
      </c>
      <c r="W1127" s="1" t="s">
        <v>89</v>
      </c>
      <c r="X1127" s="1" t="s">
        <v>20003</v>
      </c>
      <c r="Y1127" s="1" t="s">
        <v>191</v>
      </c>
      <c r="Z1127" s="1" t="s">
        <v>92</v>
      </c>
      <c r="AA1127" s="1" t="s">
        <v>20004</v>
      </c>
      <c r="AB1127" s="1" t="s">
        <v>2072</v>
      </c>
      <c r="AC1127" s="1" t="s">
        <v>783</v>
      </c>
      <c r="AD1127" s="1">
        <v>8.73</v>
      </c>
      <c r="AE1127" s="1" t="s">
        <v>93</v>
      </c>
      <c r="AF1127" s="1" t="s">
        <v>20005</v>
      </c>
      <c r="AG1127" s="1" t="s">
        <v>19132</v>
      </c>
      <c r="AH1127" s="1" t="s">
        <v>279</v>
      </c>
      <c r="AI1127" s="1" t="s">
        <v>479</v>
      </c>
      <c r="AJ1127" s="1">
        <v>86.67</v>
      </c>
      <c r="AK1127" s="1"/>
      <c r="AL1127" s="1" t="s">
        <v>20006</v>
      </c>
      <c r="AM1127" s="1" t="s">
        <v>20007</v>
      </c>
      <c r="AN1127" s="1" t="s">
        <v>479</v>
      </c>
      <c r="AO1127" s="1" t="s">
        <v>308</v>
      </c>
      <c r="AP1127" s="1">
        <v>83</v>
      </c>
      <c r="AQ1127" s="1"/>
      <c r="AR1127" s="1"/>
      <c r="AS1127" s="1"/>
      <c r="AT1127" s="1"/>
      <c r="AU1127" s="1"/>
      <c r="AV1127" s="1"/>
      <c r="AW1127" s="1"/>
      <c r="AX1127" s="1" t="s">
        <v>20008</v>
      </c>
      <c r="AY1127" s="1" t="s">
        <v>20009</v>
      </c>
      <c r="AZ1127" s="1" t="s">
        <v>201</v>
      </c>
      <c r="BA1127" s="1" t="s">
        <v>549</v>
      </c>
      <c r="BB1127" s="1">
        <v>69.53</v>
      </c>
      <c r="BC1127" s="1"/>
      <c r="BD1127" s="1"/>
      <c r="BE1127" s="1"/>
      <c r="BF1127" s="1"/>
      <c r="BG1127" s="1"/>
      <c r="BH1127" s="1"/>
      <c r="BI1127" s="1"/>
      <c r="BJ1127" s="1" t="s">
        <v>734</v>
      </c>
      <c r="BK1127" s="1" t="s">
        <v>20010</v>
      </c>
      <c r="BL1127" s="1" t="s">
        <v>1385</v>
      </c>
      <c r="BM1127" s="1" t="s">
        <v>20011</v>
      </c>
      <c r="BN1127" s="1">
        <v>9</v>
      </c>
      <c r="BO1127" s="1"/>
      <c r="BP1127" s="1" t="str">
        <f>HYPERLINK("https://nconnect.nicmar.ac.in/storage/profile/ProfilePhoto_P25701061_738146.jpg","Download")</f>
        <v>0</v>
      </c>
      <c r="BQ1127" s="3"/>
      <c r="BR1127" s="3"/>
    </row>
    <row r="1128" spans="1:70">
      <c r="A1128" s="1" t="s">
        <v>1563</v>
      </c>
      <c r="B1128" s="1" t="s">
        <v>1269</v>
      </c>
      <c r="C1128" s="1" t="s">
        <v>20012</v>
      </c>
      <c r="D1128" s="1" t="s">
        <v>4980</v>
      </c>
      <c r="E1128" s="1" t="s">
        <v>444</v>
      </c>
      <c r="F1128" s="1" t="s">
        <v>20013</v>
      </c>
      <c r="G1128" s="1" t="s">
        <v>20014</v>
      </c>
      <c r="H1128" s="1" t="s">
        <v>20015</v>
      </c>
      <c r="I1128" s="1" t="s">
        <v>20016</v>
      </c>
      <c r="J1128" s="1">
        <v>8669116038</v>
      </c>
      <c r="K1128" s="1" t="s">
        <v>79</v>
      </c>
      <c r="L1128" s="1" t="s">
        <v>2090</v>
      </c>
      <c r="M1128" s="1" t="s">
        <v>81</v>
      </c>
      <c r="N1128" s="1" t="s">
        <v>18242</v>
      </c>
      <c r="O1128" s="1" t="s">
        <v>20017</v>
      </c>
      <c r="P1128" s="1" t="s">
        <v>1298</v>
      </c>
      <c r="Q1128" s="1" t="s">
        <v>20018</v>
      </c>
      <c r="R1128" s="1" t="s">
        <v>20019</v>
      </c>
      <c r="S1128" s="1">
        <v>8007093453</v>
      </c>
      <c r="T1128" s="1" t="s">
        <v>20020</v>
      </c>
      <c r="U1128" s="1" t="s">
        <v>20021</v>
      </c>
      <c r="V1128" s="1">
        <v>9689548771</v>
      </c>
      <c r="W1128" s="1" t="s">
        <v>89</v>
      </c>
      <c r="X1128" s="1" t="s">
        <v>20022</v>
      </c>
      <c r="Y1128" s="1" t="s">
        <v>7238</v>
      </c>
      <c r="Z1128" s="1" t="s">
        <v>500</v>
      </c>
      <c r="AA1128" s="1" t="s">
        <v>20022</v>
      </c>
      <c r="AB1128" s="1" t="s">
        <v>7238</v>
      </c>
      <c r="AC1128" s="1" t="s">
        <v>500</v>
      </c>
      <c r="AD1128" s="1">
        <v>8.51</v>
      </c>
      <c r="AE1128" s="1" t="s">
        <v>93</v>
      </c>
      <c r="AF1128" s="1" t="s">
        <v>20023</v>
      </c>
      <c r="AG1128" s="1" t="s">
        <v>20024</v>
      </c>
      <c r="AH1128" s="1" t="s">
        <v>161</v>
      </c>
      <c r="AI1128" s="1" t="s">
        <v>527</v>
      </c>
      <c r="AJ1128" s="1">
        <v>80.83</v>
      </c>
      <c r="AK1128" s="1"/>
      <c r="AL1128" s="1" t="s">
        <v>20025</v>
      </c>
      <c r="AM1128" s="1" t="s">
        <v>20024</v>
      </c>
      <c r="AN1128" s="1" t="s">
        <v>165</v>
      </c>
      <c r="AO1128" s="1" t="s">
        <v>166</v>
      </c>
      <c r="AP1128" s="1">
        <v>66.67</v>
      </c>
      <c r="AQ1128" s="1"/>
      <c r="AR1128" s="1"/>
      <c r="AS1128" s="1"/>
      <c r="AT1128" s="1"/>
      <c r="AU1128" s="1"/>
      <c r="AV1128" s="1"/>
      <c r="AW1128" s="1"/>
      <c r="AX1128" s="1" t="s">
        <v>11784</v>
      </c>
      <c r="AY1128" s="1" t="s">
        <v>20026</v>
      </c>
      <c r="AZ1128" s="1" t="s">
        <v>169</v>
      </c>
      <c r="BA1128" s="1" t="s">
        <v>481</v>
      </c>
      <c r="BB1128" s="1">
        <v>66.92</v>
      </c>
      <c r="BC1128" s="1"/>
      <c r="BD1128" s="1"/>
      <c r="BE1128" s="1"/>
      <c r="BF1128" s="1"/>
      <c r="BG1128" s="1"/>
      <c r="BH1128" s="1"/>
      <c r="BI1128" s="1"/>
      <c r="BJ1128" s="1" t="s">
        <v>20027</v>
      </c>
      <c r="BK1128" s="1" t="s">
        <v>20028</v>
      </c>
      <c r="BL1128" s="1" t="s">
        <v>2303</v>
      </c>
      <c r="BM1128" s="1" t="s">
        <v>20029</v>
      </c>
      <c r="BN1128" s="1">
        <v>37</v>
      </c>
      <c r="BO1128" s="1" t="s">
        <v>20030</v>
      </c>
      <c r="BP1128" s="1" t="str">
        <f>HYPERLINK("https://nconnect.nicmar.ac.in/storage/profile/ProfilePhoto_P25701062_418765.jpg","Download")</f>
        <v>0</v>
      </c>
      <c r="BQ1128" s="3"/>
      <c r="BR1128" s="3"/>
    </row>
    <row r="1129" spans="1:70">
      <c r="A1129" s="1" t="s">
        <v>1563</v>
      </c>
      <c r="B1129" s="1" t="s">
        <v>1269</v>
      </c>
      <c r="C1129" s="1" t="s">
        <v>20031</v>
      </c>
      <c r="D1129" s="1" t="s">
        <v>16883</v>
      </c>
      <c r="E1129" s="1"/>
      <c r="F1129" s="1" t="s">
        <v>16100</v>
      </c>
      <c r="G1129" s="1" t="s">
        <v>20032</v>
      </c>
      <c r="H1129" s="1" t="s">
        <v>20033</v>
      </c>
      <c r="I1129" s="1" t="s">
        <v>20034</v>
      </c>
      <c r="J1129" s="1">
        <v>9556521573</v>
      </c>
      <c r="K1129" s="1" t="s">
        <v>79</v>
      </c>
      <c r="L1129" s="1" t="s">
        <v>17150</v>
      </c>
      <c r="M1129" s="1" t="s">
        <v>81</v>
      </c>
      <c r="N1129" s="1" t="s">
        <v>1746</v>
      </c>
      <c r="O1129" s="1"/>
      <c r="P1129" s="1" t="s">
        <v>1298</v>
      </c>
      <c r="Q1129" s="1" t="s">
        <v>20035</v>
      </c>
      <c r="R1129" s="1" t="s">
        <v>20036</v>
      </c>
      <c r="S1129" s="1">
        <v>9437158463</v>
      </c>
      <c r="T1129" s="1" t="s">
        <v>496</v>
      </c>
      <c r="U1129" s="1" t="s">
        <v>20037</v>
      </c>
      <c r="V1129" s="1">
        <v>7008316854</v>
      </c>
      <c r="W1129" s="1" t="s">
        <v>651</v>
      </c>
      <c r="X1129" s="1" t="s">
        <v>20038</v>
      </c>
      <c r="Y1129" s="1" t="s">
        <v>10190</v>
      </c>
      <c r="Z1129" s="1" t="s">
        <v>1731</v>
      </c>
      <c r="AA1129" s="1" t="s">
        <v>20038</v>
      </c>
      <c r="AB1129" s="1" t="s">
        <v>10190</v>
      </c>
      <c r="AC1129" s="1" t="s">
        <v>1731</v>
      </c>
      <c r="AD1129" s="1">
        <v>8.9</v>
      </c>
      <c r="AE1129" s="1" t="s">
        <v>93</v>
      </c>
      <c r="AF1129" s="1" t="s">
        <v>20039</v>
      </c>
      <c r="AG1129" s="1" t="s">
        <v>20040</v>
      </c>
      <c r="AH1129" s="1" t="s">
        <v>162</v>
      </c>
      <c r="AI1129" s="1" t="s">
        <v>383</v>
      </c>
      <c r="AJ1129" s="1">
        <v>95</v>
      </c>
      <c r="AK1129" s="1">
        <v>10</v>
      </c>
      <c r="AL1129" s="1" t="s">
        <v>20041</v>
      </c>
      <c r="AM1129" s="1" t="s">
        <v>20042</v>
      </c>
      <c r="AN1129" s="1" t="s">
        <v>169</v>
      </c>
      <c r="AO1129" s="1" t="s">
        <v>433</v>
      </c>
      <c r="AP1129" s="1">
        <v>69</v>
      </c>
      <c r="AQ1129" s="1"/>
      <c r="AR1129" s="1"/>
      <c r="AS1129" s="1"/>
      <c r="AT1129" s="1"/>
      <c r="AU1129" s="1"/>
      <c r="AV1129" s="1"/>
      <c r="AW1129" s="1"/>
      <c r="AX1129" s="1" t="s">
        <v>15457</v>
      </c>
      <c r="AY1129" s="1" t="s">
        <v>15457</v>
      </c>
      <c r="AZ1129" s="1" t="s">
        <v>201</v>
      </c>
      <c r="BA1129" s="1" t="s">
        <v>413</v>
      </c>
      <c r="BB1129" s="1">
        <v>81.98</v>
      </c>
      <c r="BC1129" s="1">
        <v>8.19</v>
      </c>
      <c r="BD1129" s="1"/>
      <c r="BE1129" s="1"/>
      <c r="BF1129" s="1"/>
      <c r="BG1129" s="1"/>
      <c r="BH1129" s="1"/>
      <c r="BI1129" s="1"/>
      <c r="BJ1129" s="1" t="s">
        <v>20043</v>
      </c>
      <c r="BK1129" s="1" t="s">
        <v>20044</v>
      </c>
      <c r="BL1129" s="1" t="s">
        <v>1895</v>
      </c>
      <c r="BM1129" s="1" t="s">
        <v>20045</v>
      </c>
      <c r="BN1129" s="1">
        <v>41</v>
      </c>
      <c r="BO1129" s="1"/>
      <c r="BP1129" s="1" t="str">
        <f>HYPERLINK("https://nconnect.nicmar.ac.in/storage/profile/ProfilePhoto_P25701063_213945.jpg","Download")</f>
        <v>0</v>
      </c>
      <c r="BQ1129" s="3"/>
      <c r="BR1129" s="3"/>
    </row>
    <row r="1130" spans="1:70">
      <c r="A1130" s="1" t="s">
        <v>1563</v>
      </c>
      <c r="B1130" s="1" t="s">
        <v>1269</v>
      </c>
      <c r="C1130" s="1" t="s">
        <v>20046</v>
      </c>
      <c r="D1130" s="1" t="s">
        <v>20047</v>
      </c>
      <c r="E1130" s="1" t="s">
        <v>1039</v>
      </c>
      <c r="F1130" s="1" t="s">
        <v>20048</v>
      </c>
      <c r="G1130" s="1" t="s">
        <v>20049</v>
      </c>
      <c r="H1130" s="1" t="s">
        <v>20050</v>
      </c>
      <c r="I1130" s="1" t="s">
        <v>20051</v>
      </c>
      <c r="J1130" s="1">
        <v>7507154125</v>
      </c>
      <c r="K1130" s="1" t="s">
        <v>148</v>
      </c>
      <c r="L1130" s="1" t="s">
        <v>20052</v>
      </c>
      <c r="M1130" s="1" t="s">
        <v>81</v>
      </c>
      <c r="N1130" s="1" t="s">
        <v>20053</v>
      </c>
      <c r="O1130" s="1"/>
      <c r="P1130" s="1" t="s">
        <v>1278</v>
      </c>
      <c r="Q1130" s="1" t="s">
        <v>20054</v>
      </c>
      <c r="R1130" s="1" t="s">
        <v>20055</v>
      </c>
      <c r="S1130" s="1">
        <v>9823178125</v>
      </c>
      <c r="T1130" s="1" t="s">
        <v>763</v>
      </c>
      <c r="U1130" s="1" t="s">
        <v>20056</v>
      </c>
      <c r="V1130" s="1">
        <v>9422113125</v>
      </c>
      <c r="W1130" s="1" t="s">
        <v>496</v>
      </c>
      <c r="X1130" s="1" t="s">
        <v>20057</v>
      </c>
      <c r="Y1130" s="1" t="s">
        <v>191</v>
      </c>
      <c r="Z1130" s="1" t="s">
        <v>92</v>
      </c>
      <c r="AA1130" s="1" t="s">
        <v>20058</v>
      </c>
      <c r="AB1130" s="1" t="s">
        <v>405</v>
      </c>
      <c r="AC1130" s="1" t="s">
        <v>92</v>
      </c>
      <c r="AD1130" s="1">
        <v>9.59</v>
      </c>
      <c r="AE1130" s="1" t="s">
        <v>93</v>
      </c>
      <c r="AF1130" s="1" t="s">
        <v>20059</v>
      </c>
      <c r="AG1130" s="1" t="s">
        <v>8031</v>
      </c>
      <c r="AH1130" s="1" t="s">
        <v>162</v>
      </c>
      <c r="AI1130" s="1" t="s">
        <v>195</v>
      </c>
      <c r="AJ1130" s="1">
        <v>96.2</v>
      </c>
      <c r="AK1130" s="1"/>
      <c r="AL1130" s="1" t="s">
        <v>20060</v>
      </c>
      <c r="AM1130" s="1" t="s">
        <v>8031</v>
      </c>
      <c r="AN1130" s="1" t="s">
        <v>101</v>
      </c>
      <c r="AO1130" s="1" t="s">
        <v>198</v>
      </c>
      <c r="AP1130" s="1">
        <v>79.23</v>
      </c>
      <c r="AQ1130" s="1"/>
      <c r="AR1130" s="1"/>
      <c r="AS1130" s="1"/>
      <c r="AT1130" s="1"/>
      <c r="AU1130" s="1"/>
      <c r="AV1130" s="1"/>
      <c r="AW1130" s="1"/>
      <c r="AX1130" s="1" t="s">
        <v>361</v>
      </c>
      <c r="AY1130" s="1" t="s">
        <v>20061</v>
      </c>
      <c r="AZ1130" s="1" t="s">
        <v>201</v>
      </c>
      <c r="BA1130" s="1" t="s">
        <v>702</v>
      </c>
      <c r="BB1130" s="1">
        <v>72.96</v>
      </c>
      <c r="BC1130" s="1">
        <v>7.68</v>
      </c>
      <c r="BD1130" s="1"/>
      <c r="BE1130" s="1"/>
      <c r="BF1130" s="1"/>
      <c r="BG1130" s="1"/>
      <c r="BH1130" s="1"/>
      <c r="BI1130" s="1"/>
      <c r="BJ1130" s="1" t="s">
        <v>20062</v>
      </c>
      <c r="BK1130" s="1" t="s">
        <v>20063</v>
      </c>
      <c r="BL1130" s="1" t="s">
        <v>1919</v>
      </c>
      <c r="BM1130" s="1" t="s">
        <v>20064</v>
      </c>
      <c r="BN1130" s="1">
        <v>76</v>
      </c>
      <c r="BO1130" s="1" t="s">
        <v>20065</v>
      </c>
      <c r="BP1130" s="1" t="str">
        <f>HYPERLINK("https://nconnect.nicmar.ac.in/storage/profile/ProfilePhoto_P25701064_689127.jpg","Download")</f>
        <v>0</v>
      </c>
      <c r="BQ1130" s="3"/>
      <c r="BR1130" s="3"/>
    </row>
    <row r="1131" spans="1:70">
      <c r="A1131" s="1" t="s">
        <v>1563</v>
      </c>
      <c r="B1131" s="1" t="s">
        <v>1269</v>
      </c>
      <c r="C1131" s="1" t="s">
        <v>20066</v>
      </c>
      <c r="D1131" s="1" t="s">
        <v>19303</v>
      </c>
      <c r="E1131" s="1" t="s">
        <v>20067</v>
      </c>
      <c r="F1131" s="1" t="s">
        <v>20068</v>
      </c>
      <c r="G1131" s="1" t="s">
        <v>20069</v>
      </c>
      <c r="H1131" s="1" t="s">
        <v>20070</v>
      </c>
      <c r="I1131" s="1" t="s">
        <v>20071</v>
      </c>
      <c r="J1131" s="1">
        <v>9447200447</v>
      </c>
      <c r="K1131" s="1" t="s">
        <v>148</v>
      </c>
      <c r="L1131" s="1" t="s">
        <v>20072</v>
      </c>
      <c r="M1131" s="1" t="s">
        <v>81</v>
      </c>
      <c r="N1131" s="1" t="s">
        <v>2133</v>
      </c>
      <c r="O1131" s="1"/>
      <c r="P1131" s="1" t="s">
        <v>1298</v>
      </c>
      <c r="Q1131" s="1" t="s">
        <v>20073</v>
      </c>
      <c r="R1131" s="1" t="s">
        <v>20074</v>
      </c>
      <c r="S1131" s="1">
        <v>7510866844</v>
      </c>
      <c r="T1131" s="1" t="s">
        <v>20075</v>
      </c>
      <c r="U1131" s="1" t="s">
        <v>20076</v>
      </c>
      <c r="V1131" s="1">
        <v>7510866844</v>
      </c>
      <c r="W1131" s="1" t="s">
        <v>271</v>
      </c>
      <c r="X1131" s="1" t="s">
        <v>20077</v>
      </c>
      <c r="Y1131" s="1" t="s">
        <v>3988</v>
      </c>
      <c r="Z1131" s="1" t="s">
        <v>125</v>
      </c>
      <c r="AA1131" s="1" t="s">
        <v>20078</v>
      </c>
      <c r="AB1131" s="1" t="s">
        <v>20079</v>
      </c>
      <c r="AC1131" s="1" t="s">
        <v>125</v>
      </c>
      <c r="AD1131" s="1">
        <v>9.33</v>
      </c>
      <c r="AE1131" s="1" t="s">
        <v>93</v>
      </c>
      <c r="AF1131" s="1" t="s">
        <v>20080</v>
      </c>
      <c r="AG1131" s="1" t="s">
        <v>3953</v>
      </c>
      <c r="AH1131" s="1" t="s">
        <v>101</v>
      </c>
      <c r="AI1131" s="1" t="s">
        <v>308</v>
      </c>
      <c r="AJ1131" s="1">
        <v>96.2</v>
      </c>
      <c r="AK1131" s="1">
        <v>0</v>
      </c>
      <c r="AL1131" s="1" t="s">
        <v>20081</v>
      </c>
      <c r="AM1131" s="1" t="s">
        <v>3953</v>
      </c>
      <c r="AN1131" s="1" t="s">
        <v>699</v>
      </c>
      <c r="AO1131" s="1" t="s">
        <v>506</v>
      </c>
      <c r="AP1131" s="1">
        <v>89.6</v>
      </c>
      <c r="AQ1131" s="1">
        <v>0</v>
      </c>
      <c r="AR1131" s="1"/>
      <c r="AS1131" s="1"/>
      <c r="AT1131" s="1"/>
      <c r="AU1131" s="1"/>
      <c r="AV1131" s="1"/>
      <c r="AW1131" s="1"/>
      <c r="AX1131" s="1" t="s">
        <v>132</v>
      </c>
      <c r="AY1131" s="1" t="s">
        <v>20082</v>
      </c>
      <c r="AZ1131" s="1" t="s">
        <v>135</v>
      </c>
      <c r="BA1131" s="1" t="s">
        <v>1408</v>
      </c>
      <c r="BB1131" s="1">
        <v>93.3</v>
      </c>
      <c r="BC1131" s="1">
        <v>9.33</v>
      </c>
      <c r="BD1131" s="1"/>
      <c r="BE1131" s="1"/>
      <c r="BF1131" s="1"/>
      <c r="BG1131" s="1"/>
      <c r="BH1131" s="1"/>
      <c r="BI1131" s="1"/>
      <c r="BJ1131" s="1" t="s">
        <v>20083</v>
      </c>
      <c r="BK1131" s="1"/>
      <c r="BL1131" s="1"/>
      <c r="BM1131" s="1" t="s">
        <v>20084</v>
      </c>
      <c r="BN1131" s="1">
        <v>18</v>
      </c>
      <c r="BO1131" s="1"/>
      <c r="BP1131" s="1" t="str">
        <f>HYPERLINK("https://nconnect.nicmar.ac.in/storage/profile/ProfilePhoto_P25701065_158739.jpg","Download")</f>
        <v>0</v>
      </c>
      <c r="BQ1131" s="3"/>
      <c r="BR1131" s="3"/>
    </row>
    <row r="1132" spans="1:70">
      <c r="A1132" s="1" t="s">
        <v>1563</v>
      </c>
      <c r="B1132" s="1" t="s">
        <v>1269</v>
      </c>
      <c r="C1132" s="1" t="s">
        <v>20085</v>
      </c>
      <c r="D1132" s="1" t="s">
        <v>16681</v>
      </c>
      <c r="E1132" s="1"/>
      <c r="F1132" s="1" t="s">
        <v>4789</v>
      </c>
      <c r="G1132" s="1" t="s">
        <v>20086</v>
      </c>
      <c r="H1132" s="1" t="s">
        <v>20087</v>
      </c>
      <c r="I1132" s="1" t="s">
        <v>20088</v>
      </c>
      <c r="J1132" s="1">
        <v>9004390493</v>
      </c>
      <c r="K1132" s="1" t="s">
        <v>148</v>
      </c>
      <c r="L1132" s="1" t="s">
        <v>5850</v>
      </c>
      <c r="M1132" s="1" t="s">
        <v>81</v>
      </c>
      <c r="N1132" s="1" t="s">
        <v>7852</v>
      </c>
      <c r="O1132" s="1"/>
      <c r="P1132" s="1" t="s">
        <v>1323</v>
      </c>
      <c r="Q1132" s="1" t="s">
        <v>20089</v>
      </c>
      <c r="R1132" s="1" t="s">
        <v>20090</v>
      </c>
      <c r="S1132" s="1">
        <v>9821529199</v>
      </c>
      <c r="T1132" s="1" t="s">
        <v>763</v>
      </c>
      <c r="U1132" s="1" t="s">
        <v>20091</v>
      </c>
      <c r="V1132" s="1">
        <v>9321149199</v>
      </c>
      <c r="W1132" s="1" t="s">
        <v>651</v>
      </c>
      <c r="X1132" s="1" t="s">
        <v>20092</v>
      </c>
      <c r="Y1132" s="1" t="s">
        <v>766</v>
      </c>
      <c r="Z1132" s="1" t="s">
        <v>92</v>
      </c>
      <c r="AA1132" s="1" t="s">
        <v>20092</v>
      </c>
      <c r="AB1132" s="1" t="s">
        <v>766</v>
      </c>
      <c r="AC1132" s="1" t="s">
        <v>92</v>
      </c>
      <c r="AD1132" s="1">
        <v>8.68</v>
      </c>
      <c r="AE1132" s="1" t="s">
        <v>93</v>
      </c>
      <c r="AF1132" s="1" t="s">
        <v>20093</v>
      </c>
      <c r="AG1132" s="1" t="s">
        <v>10120</v>
      </c>
      <c r="AH1132" s="1" t="s">
        <v>162</v>
      </c>
      <c r="AI1132" s="1" t="s">
        <v>165</v>
      </c>
      <c r="AJ1132" s="1">
        <v>85.5</v>
      </c>
      <c r="AK1132" s="1">
        <v>9</v>
      </c>
      <c r="AL1132" s="1" t="s">
        <v>20093</v>
      </c>
      <c r="AM1132" s="1" t="s">
        <v>10120</v>
      </c>
      <c r="AN1132" s="1" t="s">
        <v>101</v>
      </c>
      <c r="AO1132" s="1" t="s">
        <v>308</v>
      </c>
      <c r="AP1132" s="1">
        <v>71.6</v>
      </c>
      <c r="AQ1132" s="1"/>
      <c r="AR1132" s="1"/>
      <c r="AS1132" s="1"/>
      <c r="AT1132" s="1"/>
      <c r="AU1132" s="1"/>
      <c r="AV1132" s="1"/>
      <c r="AW1132" s="1"/>
      <c r="AX1132" s="1" t="s">
        <v>253</v>
      </c>
      <c r="AY1132" s="1" t="s">
        <v>20094</v>
      </c>
      <c r="AZ1132" s="1" t="s">
        <v>310</v>
      </c>
      <c r="BA1132" s="1" t="s">
        <v>413</v>
      </c>
      <c r="BB1132" s="1">
        <v>70.68</v>
      </c>
      <c r="BC1132" s="1">
        <v>7.93</v>
      </c>
      <c r="BD1132" s="1"/>
      <c r="BE1132" s="1"/>
      <c r="BF1132" s="1"/>
      <c r="BG1132" s="1"/>
      <c r="BH1132" s="1"/>
      <c r="BI1132" s="1"/>
      <c r="BJ1132" s="1" t="s">
        <v>20095</v>
      </c>
      <c r="BK1132" s="1" t="s">
        <v>20096</v>
      </c>
      <c r="BL1132" s="1" t="s">
        <v>1220</v>
      </c>
      <c r="BM1132" s="1" t="s">
        <v>20097</v>
      </c>
      <c r="BN1132" s="1">
        <v>34</v>
      </c>
      <c r="BO1132" s="1" t="s">
        <v>20098</v>
      </c>
      <c r="BP1132" s="1" t="str">
        <f>HYPERLINK("https://nconnect.nicmar.ac.in/storage/profile/ProfilePhoto_P25701066_926834.jpg","Download")</f>
        <v>0</v>
      </c>
      <c r="BQ1132" s="3"/>
      <c r="BR1132" s="3"/>
    </row>
    <row r="1133" spans="1:70">
      <c r="A1133" s="1" t="s">
        <v>1563</v>
      </c>
      <c r="B1133" s="1" t="s">
        <v>1269</v>
      </c>
      <c r="C1133" s="1" t="s">
        <v>20099</v>
      </c>
      <c r="D1133" s="1" t="s">
        <v>985</v>
      </c>
      <c r="E1133" s="1" t="s">
        <v>17776</v>
      </c>
      <c r="F1133" s="1" t="s">
        <v>20100</v>
      </c>
      <c r="G1133" s="1" t="s">
        <v>20101</v>
      </c>
      <c r="H1133" s="1" t="s">
        <v>20102</v>
      </c>
      <c r="I1133" s="1" t="s">
        <v>20103</v>
      </c>
      <c r="J1133" s="1">
        <v>8766599124</v>
      </c>
      <c r="K1133" s="1" t="s">
        <v>148</v>
      </c>
      <c r="L1133" s="1" t="s">
        <v>20104</v>
      </c>
      <c r="M1133" s="1" t="s">
        <v>81</v>
      </c>
      <c r="N1133" s="1" t="s">
        <v>2008</v>
      </c>
      <c r="O1133" s="1"/>
      <c r="P1133" s="1" t="s">
        <v>1298</v>
      </c>
      <c r="Q1133" s="1" t="s">
        <v>20105</v>
      </c>
      <c r="R1133" s="1" t="s">
        <v>17776</v>
      </c>
      <c r="S1133" s="1">
        <v>9421874787</v>
      </c>
      <c r="T1133" s="1" t="s">
        <v>520</v>
      </c>
      <c r="U1133" s="1" t="s">
        <v>1641</v>
      </c>
      <c r="V1133" s="1">
        <v>9403840824</v>
      </c>
      <c r="W1133" s="1" t="s">
        <v>496</v>
      </c>
      <c r="X1133" s="1" t="s">
        <v>20106</v>
      </c>
      <c r="Y1133" s="1" t="s">
        <v>219</v>
      </c>
      <c r="Z1133" s="1" t="s">
        <v>92</v>
      </c>
      <c r="AA1133" s="1" t="s">
        <v>20106</v>
      </c>
      <c r="AB1133" s="1" t="s">
        <v>219</v>
      </c>
      <c r="AC1133" s="1" t="s">
        <v>92</v>
      </c>
      <c r="AD1133" s="1">
        <v>8.47</v>
      </c>
      <c r="AE1133" s="1" t="s">
        <v>93</v>
      </c>
      <c r="AF1133" s="1" t="s">
        <v>20107</v>
      </c>
      <c r="AG1133" s="1" t="s">
        <v>20108</v>
      </c>
      <c r="AH1133" s="1" t="s">
        <v>165</v>
      </c>
      <c r="AI1133" s="1" t="s">
        <v>281</v>
      </c>
      <c r="AJ1133" s="1">
        <v>86.6</v>
      </c>
      <c r="AK1133" s="1"/>
      <c r="AL1133" s="1" t="s">
        <v>20109</v>
      </c>
      <c r="AM1133" s="1" t="s">
        <v>20110</v>
      </c>
      <c r="AN1133" s="1" t="s">
        <v>308</v>
      </c>
      <c r="AO1133" s="1" t="s">
        <v>360</v>
      </c>
      <c r="AP1133" s="1">
        <v>62.92</v>
      </c>
      <c r="AQ1133" s="1"/>
      <c r="AR1133" s="1"/>
      <c r="AS1133" s="1"/>
      <c r="AT1133" s="1"/>
      <c r="AU1133" s="1"/>
      <c r="AV1133" s="1"/>
      <c r="AW1133" s="1"/>
      <c r="AX1133" s="1" t="s">
        <v>253</v>
      </c>
      <c r="AY1133" s="1" t="s">
        <v>19298</v>
      </c>
      <c r="AZ1133" s="1" t="s">
        <v>363</v>
      </c>
      <c r="BA1133" s="1" t="s">
        <v>1408</v>
      </c>
      <c r="BB1133" s="1">
        <v>74.23</v>
      </c>
      <c r="BC1133" s="1">
        <v>8.41</v>
      </c>
      <c r="BD1133" s="1"/>
      <c r="BE1133" s="1"/>
      <c r="BF1133" s="1"/>
      <c r="BG1133" s="1"/>
      <c r="BH1133" s="1"/>
      <c r="BI1133" s="1"/>
      <c r="BJ1133" s="1" t="s">
        <v>20111</v>
      </c>
      <c r="BK1133" s="1"/>
      <c r="BL1133" s="1"/>
      <c r="BM1133" s="1" t="s">
        <v>20112</v>
      </c>
      <c r="BN1133" s="1">
        <v>17</v>
      </c>
      <c r="BO1133" s="1" t="s">
        <v>20113</v>
      </c>
      <c r="BP1133" s="1" t="str">
        <f>HYPERLINK("https://nconnect.nicmar.ac.in/storage/profile/ProfilePhoto_P25701067_261389.jpg","Download")</f>
        <v>0</v>
      </c>
      <c r="BQ1133" s="3"/>
      <c r="BR1133" s="3"/>
    </row>
    <row r="1134" spans="1:70">
      <c r="A1134" s="1" t="s">
        <v>1563</v>
      </c>
      <c r="B1134" s="1" t="s">
        <v>1269</v>
      </c>
      <c r="C1134" s="1" t="s">
        <v>20114</v>
      </c>
      <c r="D1134" s="1" t="s">
        <v>7286</v>
      </c>
      <c r="E1134" s="1" t="s">
        <v>1546</v>
      </c>
      <c r="F1134" s="1" t="s">
        <v>903</v>
      </c>
      <c r="G1134" s="1" t="s">
        <v>20115</v>
      </c>
      <c r="H1134" s="1" t="s">
        <v>20116</v>
      </c>
      <c r="I1134" s="1" t="s">
        <v>20117</v>
      </c>
      <c r="J1134" s="1">
        <v>9011527399</v>
      </c>
      <c r="K1134" s="1" t="s">
        <v>79</v>
      </c>
      <c r="L1134" s="1" t="s">
        <v>6927</v>
      </c>
      <c r="M1134" s="1" t="s">
        <v>81</v>
      </c>
      <c r="N1134" s="1" t="s">
        <v>3229</v>
      </c>
      <c r="O1134" s="1" t="s">
        <v>20118</v>
      </c>
      <c r="P1134" s="1" t="s">
        <v>1323</v>
      </c>
      <c r="Q1134" s="1" t="s">
        <v>20119</v>
      </c>
      <c r="R1134" s="1" t="s">
        <v>20120</v>
      </c>
      <c r="S1134" s="1">
        <v>9921492794</v>
      </c>
      <c r="T1134" s="1" t="s">
        <v>20121</v>
      </c>
      <c r="U1134" s="1" t="s">
        <v>20122</v>
      </c>
      <c r="V1134" s="1">
        <v>8956941788</v>
      </c>
      <c r="W1134" s="1" t="s">
        <v>156</v>
      </c>
      <c r="X1134" s="1" t="s">
        <v>20123</v>
      </c>
      <c r="Y1134" s="1" t="s">
        <v>191</v>
      </c>
      <c r="Z1134" s="1" t="s">
        <v>92</v>
      </c>
      <c r="AA1134" s="1" t="s">
        <v>20124</v>
      </c>
      <c r="AB1134" s="1" t="s">
        <v>5915</v>
      </c>
      <c r="AC1134" s="1" t="s">
        <v>92</v>
      </c>
      <c r="AD1134" s="1">
        <v>7.24</v>
      </c>
      <c r="AE1134" s="1" t="s">
        <v>93</v>
      </c>
      <c r="AF1134" s="1" t="s">
        <v>20125</v>
      </c>
      <c r="AG1134" s="1" t="s">
        <v>20126</v>
      </c>
      <c r="AH1134" s="1" t="s">
        <v>433</v>
      </c>
      <c r="AI1134" s="1" t="s">
        <v>409</v>
      </c>
      <c r="AJ1134" s="1">
        <v>76.4</v>
      </c>
      <c r="AK1134" s="1">
        <v>0</v>
      </c>
      <c r="AL1134" s="1" t="s">
        <v>20127</v>
      </c>
      <c r="AM1134" s="1" t="s">
        <v>20128</v>
      </c>
      <c r="AN1134" s="1" t="s">
        <v>1131</v>
      </c>
      <c r="AO1134" s="1" t="s">
        <v>436</v>
      </c>
      <c r="AP1134" s="1">
        <v>83</v>
      </c>
      <c r="AQ1134" s="1">
        <v>0</v>
      </c>
      <c r="AR1134" s="1"/>
      <c r="AS1134" s="1"/>
      <c r="AT1134" s="1"/>
      <c r="AU1134" s="1"/>
      <c r="AV1134" s="1"/>
      <c r="AW1134" s="1"/>
      <c r="AX1134" s="1" t="s">
        <v>361</v>
      </c>
      <c r="AY1134" s="1" t="s">
        <v>20129</v>
      </c>
      <c r="AZ1134" s="1" t="s">
        <v>897</v>
      </c>
      <c r="BA1134" s="1" t="s">
        <v>1714</v>
      </c>
      <c r="BB1134" s="1">
        <v>61.4</v>
      </c>
      <c r="BC1134" s="1">
        <v>6.89</v>
      </c>
      <c r="BD1134" s="1"/>
      <c r="BE1134" s="1"/>
      <c r="BF1134" s="1"/>
      <c r="BG1134" s="1"/>
      <c r="BH1134" s="1"/>
      <c r="BI1134" s="1"/>
      <c r="BJ1134" s="1" t="s">
        <v>2145</v>
      </c>
      <c r="BK1134" s="1"/>
      <c r="BL1134" s="1"/>
      <c r="BM1134" s="1" t="s">
        <v>20130</v>
      </c>
      <c r="BN1134" s="1">
        <v>13</v>
      </c>
      <c r="BO1134" s="1" t="s">
        <v>20131</v>
      </c>
      <c r="BP1134" s="1" t="str">
        <f>HYPERLINK("https://nconnect.nicmar.ac.in/storage/profile/ProfilePhoto_P25701068_489276.jpg","Download")</f>
        <v>0</v>
      </c>
      <c r="BQ1134" s="3"/>
      <c r="BR1134" s="3"/>
    </row>
    <row r="1135" spans="1:70">
      <c r="A1135" s="1" t="s">
        <v>1563</v>
      </c>
      <c r="B1135" s="1" t="s">
        <v>1269</v>
      </c>
      <c r="C1135" s="1" t="s">
        <v>20132</v>
      </c>
      <c r="D1135" s="1" t="s">
        <v>20133</v>
      </c>
      <c r="E1135" s="1"/>
      <c r="F1135" s="1" t="s">
        <v>10496</v>
      </c>
      <c r="G1135" s="1" t="s">
        <v>20134</v>
      </c>
      <c r="H1135" s="1" t="s">
        <v>20135</v>
      </c>
      <c r="I1135" s="1" t="s">
        <v>20136</v>
      </c>
      <c r="J1135" s="1">
        <v>8260607704</v>
      </c>
      <c r="K1135" s="1" t="s">
        <v>148</v>
      </c>
      <c r="L1135" s="1" t="s">
        <v>20137</v>
      </c>
      <c r="M1135" s="1" t="s">
        <v>81</v>
      </c>
      <c r="N1135" s="1" t="s">
        <v>20138</v>
      </c>
      <c r="O1135" s="1"/>
      <c r="P1135" s="1" t="s">
        <v>1323</v>
      </c>
      <c r="Q1135" s="1" t="s">
        <v>20139</v>
      </c>
      <c r="R1135" s="1" t="s">
        <v>20140</v>
      </c>
      <c r="S1135" s="1">
        <v>7008363900</v>
      </c>
      <c r="T1135" s="1" t="s">
        <v>216</v>
      </c>
      <c r="U1135" s="1" t="s">
        <v>20141</v>
      </c>
      <c r="V1135" s="1">
        <v>8984478363</v>
      </c>
      <c r="W1135" s="1" t="s">
        <v>89</v>
      </c>
      <c r="X1135" s="1" t="s">
        <v>20142</v>
      </c>
      <c r="Y1135" s="1" t="s">
        <v>20143</v>
      </c>
      <c r="Z1135" s="1" t="s">
        <v>1731</v>
      </c>
      <c r="AA1135" s="1" t="s">
        <v>20142</v>
      </c>
      <c r="AB1135" s="1" t="s">
        <v>20143</v>
      </c>
      <c r="AC1135" s="1" t="s">
        <v>1731</v>
      </c>
      <c r="AD1135" s="1">
        <v>7.98</v>
      </c>
      <c r="AE1135" s="1" t="s">
        <v>93</v>
      </c>
      <c r="AF1135" s="1" t="s">
        <v>20144</v>
      </c>
      <c r="AG1135" s="1" t="s">
        <v>16546</v>
      </c>
      <c r="AH1135" s="1" t="s">
        <v>678</v>
      </c>
      <c r="AI1135" s="1" t="s">
        <v>166</v>
      </c>
      <c r="AJ1135" s="1">
        <v>75.17</v>
      </c>
      <c r="AK1135" s="1"/>
      <c r="AL1135" s="1" t="s">
        <v>20145</v>
      </c>
      <c r="AM1135" s="1" t="s">
        <v>20146</v>
      </c>
      <c r="AN1135" s="1" t="s">
        <v>165</v>
      </c>
      <c r="AO1135" s="1" t="s">
        <v>920</v>
      </c>
      <c r="AP1135" s="1">
        <v>72.17</v>
      </c>
      <c r="AQ1135" s="1"/>
      <c r="AR1135" s="1"/>
      <c r="AS1135" s="1"/>
      <c r="AT1135" s="1"/>
      <c r="AU1135" s="1"/>
      <c r="AV1135" s="1"/>
      <c r="AW1135" s="1"/>
      <c r="AX1135" s="1" t="s">
        <v>4895</v>
      </c>
      <c r="AY1135" s="1" t="s">
        <v>20147</v>
      </c>
      <c r="AZ1135" s="1" t="s">
        <v>228</v>
      </c>
      <c r="BA1135" s="1" t="s">
        <v>413</v>
      </c>
      <c r="BB1135" s="1">
        <v>76.4</v>
      </c>
      <c r="BC1135" s="1">
        <v>8.14</v>
      </c>
      <c r="BD1135" s="1"/>
      <c r="BE1135" s="1"/>
      <c r="BF1135" s="1"/>
      <c r="BG1135" s="1"/>
      <c r="BH1135" s="1"/>
      <c r="BI1135" s="1"/>
      <c r="BJ1135" s="1" t="s">
        <v>20148</v>
      </c>
      <c r="BK1135" s="1"/>
      <c r="BL1135" s="1"/>
      <c r="BM1135" s="1" t="s">
        <v>20149</v>
      </c>
      <c r="BN1135" s="1">
        <v>5</v>
      </c>
      <c r="BO1135" s="1" t="s">
        <v>20150</v>
      </c>
      <c r="BP1135" s="1" t="str">
        <f>HYPERLINK("https://nconnect.nicmar.ac.in/storage/profile/ProfilePhoto_P25701070_249536.jpg","Download")</f>
        <v>0</v>
      </c>
      <c r="BQ1135" s="3"/>
      <c r="BR1135" s="3"/>
    </row>
    <row r="1136" spans="1:70">
      <c r="A1136" s="1" t="s">
        <v>1563</v>
      </c>
      <c r="B1136" s="1" t="s">
        <v>1269</v>
      </c>
      <c r="C1136" s="1" t="s">
        <v>20151</v>
      </c>
      <c r="D1136" s="1" t="s">
        <v>417</v>
      </c>
      <c r="E1136" s="1" t="s">
        <v>4015</v>
      </c>
      <c r="F1136" s="1" t="s">
        <v>20152</v>
      </c>
      <c r="G1136" s="1" t="s">
        <v>20153</v>
      </c>
      <c r="H1136" s="1" t="s">
        <v>20154</v>
      </c>
      <c r="I1136" s="1" t="s">
        <v>20155</v>
      </c>
      <c r="J1136" s="1">
        <v>9820511536</v>
      </c>
      <c r="K1136" s="1" t="s">
        <v>148</v>
      </c>
      <c r="L1136" s="1" t="s">
        <v>10433</v>
      </c>
      <c r="M1136" s="1" t="s">
        <v>81</v>
      </c>
      <c r="N1136" s="1" t="s">
        <v>1418</v>
      </c>
      <c r="O1136" s="1"/>
      <c r="P1136" s="1" t="s">
        <v>1278</v>
      </c>
      <c r="Q1136" s="1" t="s">
        <v>20156</v>
      </c>
      <c r="R1136" s="1" t="s">
        <v>4015</v>
      </c>
      <c r="S1136" s="1">
        <v>8108106699</v>
      </c>
      <c r="T1136" s="1" t="s">
        <v>496</v>
      </c>
      <c r="U1136" s="1" t="s">
        <v>958</v>
      </c>
      <c r="V1136" s="1">
        <v>9930215114</v>
      </c>
      <c r="W1136" s="1" t="s">
        <v>496</v>
      </c>
      <c r="X1136" s="1" t="s">
        <v>20157</v>
      </c>
      <c r="Y1136" s="1" t="s">
        <v>766</v>
      </c>
      <c r="Z1136" s="1" t="s">
        <v>92</v>
      </c>
      <c r="AA1136" s="1" t="s">
        <v>20158</v>
      </c>
      <c r="AB1136" s="1" t="s">
        <v>766</v>
      </c>
      <c r="AC1136" s="1" t="s">
        <v>92</v>
      </c>
      <c r="AD1136" s="1">
        <v>8.23</v>
      </c>
      <c r="AE1136" s="1" t="s">
        <v>93</v>
      </c>
      <c r="AF1136" s="1" t="s">
        <v>20159</v>
      </c>
      <c r="AG1136" s="1" t="s">
        <v>20160</v>
      </c>
      <c r="AH1136" s="1" t="s">
        <v>165</v>
      </c>
      <c r="AI1136" s="1" t="s">
        <v>281</v>
      </c>
      <c r="AJ1136" s="1">
        <v>88.2</v>
      </c>
      <c r="AK1136" s="1">
        <v>0</v>
      </c>
      <c r="AL1136" s="1" t="s">
        <v>20159</v>
      </c>
      <c r="AM1136" s="1" t="s">
        <v>20160</v>
      </c>
      <c r="AN1136" s="1" t="s">
        <v>433</v>
      </c>
      <c r="AO1136" s="1" t="s">
        <v>360</v>
      </c>
      <c r="AP1136" s="1">
        <v>63.38</v>
      </c>
      <c r="AQ1136" s="1">
        <v>0</v>
      </c>
      <c r="AR1136" s="1"/>
      <c r="AS1136" s="1"/>
      <c r="AT1136" s="1"/>
      <c r="AU1136" s="1"/>
      <c r="AV1136" s="1"/>
      <c r="AW1136" s="1"/>
      <c r="AX1136" s="1" t="s">
        <v>253</v>
      </c>
      <c r="AY1136" s="1" t="s">
        <v>1626</v>
      </c>
      <c r="AZ1136" s="1" t="s">
        <v>363</v>
      </c>
      <c r="BA1136" s="1" t="s">
        <v>1361</v>
      </c>
      <c r="BB1136" s="1">
        <v>71.2</v>
      </c>
      <c r="BC1136" s="1">
        <v>8</v>
      </c>
      <c r="BD1136" s="1"/>
      <c r="BE1136" s="1"/>
      <c r="BF1136" s="1"/>
      <c r="BG1136" s="1"/>
      <c r="BH1136" s="1"/>
      <c r="BI1136" s="1"/>
      <c r="BJ1136" s="1" t="s">
        <v>20161</v>
      </c>
      <c r="BK1136" s="1"/>
      <c r="BL1136" s="1"/>
      <c r="BM1136" s="1" t="s">
        <v>20162</v>
      </c>
      <c r="BN1136" s="1">
        <v>20</v>
      </c>
      <c r="BO1136" s="1" t="s">
        <v>20163</v>
      </c>
      <c r="BP1136" s="1" t="str">
        <f>HYPERLINK("https://nconnect.nicmar.ac.in/storage/profile/ProfilePhoto_P25701071_961527.jpg","Download")</f>
        <v>0</v>
      </c>
      <c r="BQ1136" s="3"/>
      <c r="BR1136" s="3"/>
    </row>
    <row r="1137" spans="1:70">
      <c r="A1137" s="1" t="s">
        <v>1563</v>
      </c>
      <c r="B1137" s="1" t="s">
        <v>1269</v>
      </c>
      <c r="C1137" s="1" t="s">
        <v>20164</v>
      </c>
      <c r="D1137" s="1" t="s">
        <v>20165</v>
      </c>
      <c r="E1137" s="1" t="s">
        <v>1680</v>
      </c>
      <c r="F1137" s="1" t="s">
        <v>2793</v>
      </c>
      <c r="G1137" s="1" t="s">
        <v>20166</v>
      </c>
      <c r="H1137" s="1" t="s">
        <v>20167</v>
      </c>
      <c r="I1137" s="1" t="s">
        <v>20168</v>
      </c>
      <c r="J1137" s="1">
        <v>9481244339</v>
      </c>
      <c r="K1137" s="1" t="s">
        <v>79</v>
      </c>
      <c r="L1137" s="1" t="s">
        <v>20169</v>
      </c>
      <c r="M1137" s="1" t="s">
        <v>81</v>
      </c>
      <c r="N1137" s="1" t="s">
        <v>20170</v>
      </c>
      <c r="O1137" s="1"/>
      <c r="P1137" s="1" t="s">
        <v>1323</v>
      </c>
      <c r="Q1137" s="1" t="s">
        <v>20171</v>
      </c>
      <c r="R1137" s="1" t="s">
        <v>20172</v>
      </c>
      <c r="S1137" s="1">
        <v>9341252448</v>
      </c>
      <c r="T1137" s="1" t="s">
        <v>87</v>
      </c>
      <c r="U1137" s="1" t="s">
        <v>20173</v>
      </c>
      <c r="V1137" s="1">
        <v>9448950426</v>
      </c>
      <c r="W1137" s="1" t="s">
        <v>651</v>
      </c>
      <c r="X1137" s="1" t="s">
        <v>20174</v>
      </c>
      <c r="Y1137" s="1" t="s">
        <v>1083</v>
      </c>
      <c r="Z1137" s="1" t="s">
        <v>1084</v>
      </c>
      <c r="AA1137" s="1" t="s">
        <v>20174</v>
      </c>
      <c r="AB1137" s="1" t="s">
        <v>1083</v>
      </c>
      <c r="AC1137" s="1" t="s">
        <v>1084</v>
      </c>
      <c r="AD1137" s="1">
        <v>8.34</v>
      </c>
      <c r="AE1137" s="1" t="s">
        <v>93</v>
      </c>
      <c r="AF1137" s="1" t="s">
        <v>20175</v>
      </c>
      <c r="AG1137" s="1" t="s">
        <v>20176</v>
      </c>
      <c r="AH1137" s="1" t="s">
        <v>162</v>
      </c>
      <c r="AI1137" s="1" t="s">
        <v>165</v>
      </c>
      <c r="AJ1137" s="1">
        <v>72.2</v>
      </c>
      <c r="AK1137" s="1">
        <v>7.6</v>
      </c>
      <c r="AL1137" s="1"/>
      <c r="AM1137" s="1"/>
      <c r="AN1137" s="1"/>
      <c r="AO1137" s="1"/>
      <c r="AP1137" s="1"/>
      <c r="AQ1137" s="1"/>
      <c r="AR1137" s="1" t="s">
        <v>98</v>
      </c>
      <c r="AS1137" s="1" t="s">
        <v>20177</v>
      </c>
      <c r="AT1137" s="1" t="s">
        <v>101</v>
      </c>
      <c r="AU1137" s="1" t="s">
        <v>897</v>
      </c>
      <c r="AV1137" s="1">
        <v>72.28</v>
      </c>
      <c r="AW1137" s="1"/>
      <c r="AX1137" s="1" t="s">
        <v>1519</v>
      </c>
      <c r="AY1137" s="1" t="s">
        <v>20178</v>
      </c>
      <c r="AZ1137" s="1" t="s">
        <v>897</v>
      </c>
      <c r="BA1137" s="1" t="s">
        <v>1938</v>
      </c>
      <c r="BB1137" s="1">
        <v>69.2</v>
      </c>
      <c r="BC1137" s="1">
        <v>7.67</v>
      </c>
      <c r="BD1137" s="1"/>
      <c r="BE1137" s="1"/>
      <c r="BF1137" s="1"/>
      <c r="BG1137" s="1"/>
      <c r="BH1137" s="1"/>
      <c r="BI1137" s="1"/>
      <c r="BJ1137" s="1" t="s">
        <v>20179</v>
      </c>
      <c r="BK1137" s="1" t="s">
        <v>20180</v>
      </c>
      <c r="BL1137" s="1" t="s">
        <v>1289</v>
      </c>
      <c r="BM1137" s="1" t="s">
        <v>20181</v>
      </c>
      <c r="BN1137" s="1">
        <v>15</v>
      </c>
      <c r="BO1137" s="1"/>
      <c r="BP1137" s="1" t="str">
        <f>HYPERLINK("https://nconnect.nicmar.ac.in/storage/profile/ProfilePhoto_P25701073_431986.jpg","Download")</f>
        <v>0</v>
      </c>
      <c r="BQ1137" s="3"/>
      <c r="BR1137" s="3"/>
    </row>
    <row r="1138" spans="1:70">
      <c r="A1138" s="1" t="s">
        <v>1563</v>
      </c>
      <c r="B1138" s="1" t="s">
        <v>1269</v>
      </c>
      <c r="C1138" s="1" t="s">
        <v>20182</v>
      </c>
      <c r="D1138" s="1" t="s">
        <v>10962</v>
      </c>
      <c r="E1138" s="1" t="s">
        <v>835</v>
      </c>
      <c r="F1138" s="1" t="s">
        <v>2655</v>
      </c>
      <c r="G1138" s="1" t="s">
        <v>20183</v>
      </c>
      <c r="H1138" s="1" t="s">
        <v>20184</v>
      </c>
      <c r="I1138" s="1" t="s">
        <v>20185</v>
      </c>
      <c r="J1138" s="1">
        <v>9964579239</v>
      </c>
      <c r="K1138" s="1" t="s">
        <v>79</v>
      </c>
      <c r="L1138" s="1" t="s">
        <v>20186</v>
      </c>
      <c r="M1138" s="1" t="s">
        <v>81</v>
      </c>
      <c r="N1138" s="1" t="s">
        <v>20187</v>
      </c>
      <c r="O1138" s="1"/>
      <c r="P1138" s="1" t="s">
        <v>1298</v>
      </c>
      <c r="Q1138" s="1" t="s">
        <v>20188</v>
      </c>
      <c r="R1138" s="1" t="s">
        <v>20189</v>
      </c>
      <c r="S1138" s="1">
        <v>9980540888</v>
      </c>
      <c r="T1138" s="1" t="s">
        <v>16542</v>
      </c>
      <c r="U1138" s="1" t="s">
        <v>20190</v>
      </c>
      <c r="V1138" s="1">
        <v>9980866476</v>
      </c>
      <c r="W1138" s="1" t="s">
        <v>273</v>
      </c>
      <c r="X1138" s="1" t="s">
        <v>20191</v>
      </c>
      <c r="Y1138" s="1" t="s">
        <v>1083</v>
      </c>
      <c r="Z1138" s="1" t="s">
        <v>1084</v>
      </c>
      <c r="AA1138" s="1" t="s">
        <v>20191</v>
      </c>
      <c r="AB1138" s="1" t="s">
        <v>1083</v>
      </c>
      <c r="AC1138" s="1" t="s">
        <v>1084</v>
      </c>
      <c r="AD1138" s="1">
        <v>8.57</v>
      </c>
      <c r="AE1138" s="1" t="s">
        <v>93</v>
      </c>
      <c r="AF1138" s="1" t="s">
        <v>20192</v>
      </c>
      <c r="AG1138" s="1" t="s">
        <v>20193</v>
      </c>
      <c r="AH1138" s="1" t="s">
        <v>733</v>
      </c>
      <c r="AI1138" s="1" t="s">
        <v>479</v>
      </c>
      <c r="AJ1138" s="1">
        <v>68.8</v>
      </c>
      <c r="AK1138" s="1">
        <v>0</v>
      </c>
      <c r="AL1138" s="1"/>
      <c r="AM1138" s="1"/>
      <c r="AN1138" s="1"/>
      <c r="AO1138" s="1"/>
      <c r="AP1138" s="1"/>
      <c r="AQ1138" s="1"/>
      <c r="AR1138" s="1" t="s">
        <v>20194</v>
      </c>
      <c r="AS1138" s="1" t="s">
        <v>20195</v>
      </c>
      <c r="AT1138" s="1" t="s">
        <v>20196</v>
      </c>
      <c r="AU1138" s="1" t="s">
        <v>228</v>
      </c>
      <c r="AV1138" s="1">
        <v>75</v>
      </c>
      <c r="AW1138" s="1">
        <v>0</v>
      </c>
      <c r="AX1138" s="1" t="s">
        <v>1519</v>
      </c>
      <c r="AY1138" s="1" t="s">
        <v>20197</v>
      </c>
      <c r="AZ1138" s="1" t="s">
        <v>1131</v>
      </c>
      <c r="BA1138" s="1" t="s">
        <v>386</v>
      </c>
      <c r="BB1138" s="1">
        <v>61.3</v>
      </c>
      <c r="BC1138" s="1">
        <v>6.88</v>
      </c>
      <c r="BD1138" s="1"/>
      <c r="BE1138" s="1"/>
      <c r="BF1138" s="1"/>
      <c r="BG1138" s="1"/>
      <c r="BH1138" s="1"/>
      <c r="BI1138" s="1"/>
      <c r="BJ1138" s="1" t="s">
        <v>20198</v>
      </c>
      <c r="BK1138" s="1" t="s">
        <v>20199</v>
      </c>
      <c r="BL1138" s="1" t="s">
        <v>9488</v>
      </c>
      <c r="BM1138" s="1" t="s">
        <v>20200</v>
      </c>
      <c r="BN1138" s="1">
        <v>47</v>
      </c>
      <c r="BO1138" s="1" t="s">
        <v>20201</v>
      </c>
      <c r="BP1138" s="1" t="str">
        <f>HYPERLINK("https://nconnect.nicmar.ac.in/storage/profile/ProfilePhoto_P25701074_918327.jpg","Download")</f>
        <v>0</v>
      </c>
      <c r="BQ1138" s="3"/>
      <c r="BR1138" s="3"/>
    </row>
    <row r="1139" spans="1:70">
      <c r="A1139" s="1" t="s">
        <v>1563</v>
      </c>
      <c r="B1139" s="1" t="s">
        <v>1269</v>
      </c>
      <c r="C1139" s="1" t="s">
        <v>20202</v>
      </c>
      <c r="D1139" s="1" t="s">
        <v>11628</v>
      </c>
      <c r="E1139" s="1" t="s">
        <v>4920</v>
      </c>
      <c r="F1139" s="1" t="s">
        <v>20203</v>
      </c>
      <c r="G1139" s="1" t="s">
        <v>20204</v>
      </c>
      <c r="H1139" s="1" t="s">
        <v>20205</v>
      </c>
      <c r="I1139" s="1" t="s">
        <v>20206</v>
      </c>
      <c r="J1139" s="1">
        <v>9637489494</v>
      </c>
      <c r="K1139" s="1" t="s">
        <v>79</v>
      </c>
      <c r="L1139" s="1" t="s">
        <v>5947</v>
      </c>
      <c r="M1139" s="1" t="s">
        <v>81</v>
      </c>
      <c r="N1139" s="1" t="s">
        <v>20207</v>
      </c>
      <c r="O1139" s="1" t="s">
        <v>20208</v>
      </c>
      <c r="P1139" s="1" t="s">
        <v>1298</v>
      </c>
      <c r="Q1139" s="1" t="s">
        <v>20209</v>
      </c>
      <c r="R1139" s="1" t="s">
        <v>4920</v>
      </c>
      <c r="S1139" s="1">
        <v>9423363480</v>
      </c>
      <c r="T1139" s="1" t="s">
        <v>496</v>
      </c>
      <c r="U1139" s="1" t="s">
        <v>16855</v>
      </c>
      <c r="V1139" s="1">
        <v>8308722054</v>
      </c>
      <c r="W1139" s="1" t="s">
        <v>156</v>
      </c>
      <c r="X1139" s="1" t="s">
        <v>20210</v>
      </c>
      <c r="Y1139" s="1" t="s">
        <v>766</v>
      </c>
      <c r="Z1139" s="1" t="s">
        <v>92</v>
      </c>
      <c r="AA1139" s="1" t="s">
        <v>20210</v>
      </c>
      <c r="AB1139" s="1" t="s">
        <v>766</v>
      </c>
      <c r="AC1139" s="1" t="s">
        <v>92</v>
      </c>
      <c r="AD1139" s="1">
        <v>7.01</v>
      </c>
      <c r="AE1139" s="1" t="s">
        <v>93</v>
      </c>
      <c r="AF1139" s="1" t="s">
        <v>20211</v>
      </c>
      <c r="AG1139" s="1" t="s">
        <v>20212</v>
      </c>
      <c r="AH1139" s="1" t="s">
        <v>162</v>
      </c>
      <c r="AI1139" s="1" t="s">
        <v>165</v>
      </c>
      <c r="AJ1139" s="1">
        <v>83.4</v>
      </c>
      <c r="AK1139" s="1"/>
      <c r="AL1139" s="1" t="s">
        <v>20213</v>
      </c>
      <c r="AM1139" s="1" t="s">
        <v>20214</v>
      </c>
      <c r="AN1139" s="1" t="s">
        <v>636</v>
      </c>
      <c r="AO1139" s="1" t="s">
        <v>308</v>
      </c>
      <c r="AP1139" s="1">
        <v>60</v>
      </c>
      <c r="AQ1139" s="1">
        <v>6.31</v>
      </c>
      <c r="AR1139" s="1"/>
      <c r="AS1139" s="1"/>
      <c r="AT1139" s="1"/>
      <c r="AU1139" s="1"/>
      <c r="AV1139" s="1"/>
      <c r="AW1139" s="1"/>
      <c r="AX1139" s="1" t="s">
        <v>1024</v>
      </c>
      <c r="AY1139" s="1" t="s">
        <v>20215</v>
      </c>
      <c r="AZ1139" s="1" t="s">
        <v>1131</v>
      </c>
      <c r="BA1139" s="1" t="s">
        <v>1938</v>
      </c>
      <c r="BB1139" s="1">
        <v>60.22</v>
      </c>
      <c r="BC1139" s="1">
        <v>6.6</v>
      </c>
      <c r="BD1139" s="1"/>
      <c r="BE1139" s="1"/>
      <c r="BF1139" s="1"/>
      <c r="BG1139" s="1"/>
      <c r="BH1139" s="1"/>
      <c r="BI1139" s="1"/>
      <c r="BJ1139" s="1" t="s">
        <v>20216</v>
      </c>
      <c r="BK1139" s="1"/>
      <c r="BL1139" s="1"/>
      <c r="BM1139" s="1" t="s">
        <v>20217</v>
      </c>
      <c r="BN1139" s="1">
        <v>39</v>
      </c>
      <c r="BO1139" s="1" t="s">
        <v>20218</v>
      </c>
      <c r="BP1139" s="1" t="str">
        <f>HYPERLINK("https://nconnect.nicmar.ac.in/storage/profile/ProfilePhoto_P25701075_871349.jpg","Download")</f>
        <v>0</v>
      </c>
      <c r="BQ1139" s="3"/>
      <c r="BR1139" s="3"/>
    </row>
    <row r="1140" spans="1:70">
      <c r="A1140" s="1" t="s">
        <v>1563</v>
      </c>
      <c r="B1140" s="1" t="s">
        <v>1269</v>
      </c>
      <c r="C1140" s="1" t="s">
        <v>20219</v>
      </c>
      <c r="D1140" s="1" t="s">
        <v>20220</v>
      </c>
      <c r="E1140" s="1" t="s">
        <v>20221</v>
      </c>
      <c r="F1140" s="1" t="s">
        <v>20222</v>
      </c>
      <c r="G1140" s="1" t="s">
        <v>20223</v>
      </c>
      <c r="H1140" s="1" t="s">
        <v>20224</v>
      </c>
      <c r="I1140" s="1" t="s">
        <v>20225</v>
      </c>
      <c r="J1140" s="1">
        <v>7249773022</v>
      </c>
      <c r="K1140" s="1" t="s">
        <v>79</v>
      </c>
      <c r="L1140" s="1" t="s">
        <v>16104</v>
      </c>
      <c r="M1140" s="1" t="s">
        <v>81</v>
      </c>
      <c r="N1140" s="1" t="s">
        <v>15054</v>
      </c>
      <c r="O1140" s="1" t="s">
        <v>20226</v>
      </c>
      <c r="P1140" s="1" t="s">
        <v>1323</v>
      </c>
      <c r="Q1140" s="1" t="s">
        <v>20227</v>
      </c>
      <c r="R1140" s="1" t="s">
        <v>20228</v>
      </c>
      <c r="S1140" s="1">
        <v>9834795580</v>
      </c>
      <c r="T1140" s="1" t="s">
        <v>20229</v>
      </c>
      <c r="U1140" s="1" t="s">
        <v>20230</v>
      </c>
      <c r="V1140" s="1">
        <v>7249773022</v>
      </c>
      <c r="W1140" s="1" t="s">
        <v>20231</v>
      </c>
      <c r="X1140" s="1" t="s">
        <v>20232</v>
      </c>
      <c r="Y1140" s="1" t="s">
        <v>191</v>
      </c>
      <c r="Z1140" s="1" t="s">
        <v>92</v>
      </c>
      <c r="AA1140" s="1" t="s">
        <v>20232</v>
      </c>
      <c r="AB1140" s="1" t="s">
        <v>191</v>
      </c>
      <c r="AC1140" s="1" t="s">
        <v>92</v>
      </c>
      <c r="AD1140" s="1">
        <v>8.48</v>
      </c>
      <c r="AE1140" s="1" t="s">
        <v>93</v>
      </c>
      <c r="AF1140" s="1" t="s">
        <v>20233</v>
      </c>
      <c r="AG1140" s="1" t="s">
        <v>476</v>
      </c>
      <c r="AH1140" s="1" t="s">
        <v>3912</v>
      </c>
      <c r="AI1140" s="1" t="s">
        <v>409</v>
      </c>
      <c r="AJ1140" s="1">
        <v>85.2</v>
      </c>
      <c r="AK1140" s="1"/>
      <c r="AL1140" s="1" t="s">
        <v>20234</v>
      </c>
      <c r="AM1140" s="1" t="s">
        <v>476</v>
      </c>
      <c r="AN1140" s="1" t="s">
        <v>310</v>
      </c>
      <c r="AO1140" s="1" t="s">
        <v>504</v>
      </c>
      <c r="AP1140" s="1">
        <v>85.17</v>
      </c>
      <c r="AQ1140" s="1"/>
      <c r="AR1140" s="1"/>
      <c r="AS1140" s="1"/>
      <c r="AT1140" s="1"/>
      <c r="AU1140" s="1"/>
      <c r="AV1140" s="1"/>
      <c r="AW1140" s="1"/>
      <c r="AX1140" s="1" t="s">
        <v>361</v>
      </c>
      <c r="AY1140" s="1" t="s">
        <v>20235</v>
      </c>
      <c r="AZ1140" s="1" t="s">
        <v>506</v>
      </c>
      <c r="BA1140" s="1" t="s">
        <v>1714</v>
      </c>
      <c r="BB1140" s="1">
        <v>70.8</v>
      </c>
      <c r="BC1140" s="1">
        <v>7.83</v>
      </c>
      <c r="BD1140" s="1"/>
      <c r="BE1140" s="1"/>
      <c r="BF1140" s="1"/>
      <c r="BG1140" s="1"/>
      <c r="BH1140" s="1"/>
      <c r="BI1140" s="1"/>
      <c r="BJ1140" s="1" t="s">
        <v>20236</v>
      </c>
      <c r="BK1140" s="1"/>
      <c r="BL1140" s="1"/>
      <c r="BM1140" s="1" t="s">
        <v>20237</v>
      </c>
      <c r="BN1140" s="1">
        <v>6</v>
      </c>
      <c r="BO1140" s="1" t="s">
        <v>20238</v>
      </c>
      <c r="BP1140" s="1" t="str">
        <f>HYPERLINK("https://nconnect.nicmar.ac.in/storage/profile/ProfilePhoto_P25701076_837462.jpg","Download")</f>
        <v>0</v>
      </c>
      <c r="BQ1140" s="3"/>
      <c r="BR1140" s="3"/>
    </row>
    <row r="1141" spans="1:70">
      <c r="A1141" s="1" t="s">
        <v>1563</v>
      </c>
      <c r="B1141" s="1" t="s">
        <v>1269</v>
      </c>
      <c r="C1141" s="1" t="s">
        <v>20239</v>
      </c>
      <c r="D1141" s="1" t="s">
        <v>20240</v>
      </c>
      <c r="E1141" s="1"/>
      <c r="F1141" s="1" t="s">
        <v>835</v>
      </c>
      <c r="G1141" s="1" t="s">
        <v>20241</v>
      </c>
      <c r="H1141" s="1" t="s">
        <v>20242</v>
      </c>
      <c r="I1141" s="1" t="s">
        <v>20243</v>
      </c>
      <c r="J1141" s="1">
        <v>9873481483</v>
      </c>
      <c r="K1141" s="1" t="s">
        <v>148</v>
      </c>
      <c r="L1141" s="1" t="s">
        <v>20244</v>
      </c>
      <c r="M1141" s="1" t="s">
        <v>81</v>
      </c>
      <c r="N1141" s="1" t="s">
        <v>5040</v>
      </c>
      <c r="O1141" s="1"/>
      <c r="P1141" s="1" t="s">
        <v>1298</v>
      </c>
      <c r="Q1141" s="1" t="s">
        <v>20245</v>
      </c>
      <c r="R1141" s="1" t="s">
        <v>20246</v>
      </c>
      <c r="S1141" s="1">
        <v>9891545415</v>
      </c>
      <c r="T1141" s="1" t="s">
        <v>842</v>
      </c>
      <c r="U1141" s="1" t="s">
        <v>20247</v>
      </c>
      <c r="V1141" s="1">
        <v>8882100200</v>
      </c>
      <c r="W1141" s="1" t="s">
        <v>9446</v>
      </c>
      <c r="X1141" s="1" t="s">
        <v>20248</v>
      </c>
      <c r="Y1141" s="1" t="s">
        <v>721</v>
      </c>
      <c r="Z1141" s="1" t="s">
        <v>722</v>
      </c>
      <c r="AA1141" s="1" t="s">
        <v>20248</v>
      </c>
      <c r="AB1141" s="1" t="s">
        <v>721</v>
      </c>
      <c r="AC1141" s="1" t="s">
        <v>722</v>
      </c>
      <c r="AD1141" s="1">
        <v>8.35</v>
      </c>
      <c r="AE1141" s="1" t="s">
        <v>93</v>
      </c>
      <c r="AF1141" s="1" t="s">
        <v>20249</v>
      </c>
      <c r="AG1141" s="1" t="s">
        <v>894</v>
      </c>
      <c r="AH1141" s="1" t="s">
        <v>12038</v>
      </c>
      <c r="AI1141" s="1" t="s">
        <v>1001</v>
      </c>
      <c r="AJ1141" s="1">
        <v>85.5</v>
      </c>
      <c r="AK1141" s="1">
        <v>9</v>
      </c>
      <c r="AL1141" s="1" t="s">
        <v>20250</v>
      </c>
      <c r="AM1141" s="1" t="s">
        <v>894</v>
      </c>
      <c r="AN1141" s="1" t="s">
        <v>678</v>
      </c>
      <c r="AO1141" s="1" t="s">
        <v>281</v>
      </c>
      <c r="AP1141" s="1">
        <v>77.6</v>
      </c>
      <c r="AQ1141" s="1">
        <v>8.16</v>
      </c>
      <c r="AR1141" s="1"/>
      <c r="AS1141" s="1"/>
      <c r="AT1141" s="1"/>
      <c r="AU1141" s="1"/>
      <c r="AV1141" s="1"/>
      <c r="AW1141" s="1"/>
      <c r="AX1141" s="1" t="s">
        <v>20251</v>
      </c>
      <c r="AY1141" s="1" t="s">
        <v>17512</v>
      </c>
      <c r="AZ1141" s="1" t="s">
        <v>169</v>
      </c>
      <c r="BA1141" s="1" t="s">
        <v>481</v>
      </c>
      <c r="BB1141" s="1">
        <v>84</v>
      </c>
      <c r="BC1141" s="1">
        <v>8.9</v>
      </c>
      <c r="BD1141" s="1"/>
      <c r="BE1141" s="1"/>
      <c r="BF1141" s="1"/>
      <c r="BG1141" s="1"/>
      <c r="BH1141" s="1"/>
      <c r="BI1141" s="1"/>
      <c r="BJ1141" s="1" t="s">
        <v>17178</v>
      </c>
      <c r="BK1141" s="1" t="s">
        <v>20252</v>
      </c>
      <c r="BL1141" s="1" t="s">
        <v>1337</v>
      </c>
      <c r="BM1141" s="1" t="s">
        <v>20253</v>
      </c>
      <c r="BN1141" s="1">
        <v>14</v>
      </c>
      <c r="BO1141" s="1"/>
      <c r="BP1141" s="1" t="str">
        <f>HYPERLINK("https://nconnect.nicmar.ac.in/storage/profile/ProfilePhoto_P25701077_254678.jpg","Download")</f>
        <v>0</v>
      </c>
      <c r="BQ1141" s="3"/>
      <c r="BR1141" s="3"/>
    </row>
    <row r="1142" spans="1:70">
      <c r="A1142" s="1" t="s">
        <v>1563</v>
      </c>
      <c r="B1142" s="1" t="s">
        <v>1269</v>
      </c>
      <c r="C1142" s="1" t="s">
        <v>20254</v>
      </c>
      <c r="D1142" s="1" t="s">
        <v>4015</v>
      </c>
      <c r="E1142" s="1"/>
      <c r="F1142" s="1" t="s">
        <v>20255</v>
      </c>
      <c r="G1142" s="1" t="s">
        <v>20256</v>
      </c>
      <c r="H1142" s="1" t="s">
        <v>20257</v>
      </c>
      <c r="I1142" s="1" t="s">
        <v>20258</v>
      </c>
      <c r="J1142" s="1">
        <v>9566144140</v>
      </c>
      <c r="K1142" s="1" t="s">
        <v>79</v>
      </c>
      <c r="L1142" s="1" t="s">
        <v>20259</v>
      </c>
      <c r="M1142" s="1" t="s">
        <v>81</v>
      </c>
      <c r="N1142" s="1" t="s">
        <v>6490</v>
      </c>
      <c r="O1142" s="1"/>
      <c r="P1142" s="1" t="s">
        <v>1766</v>
      </c>
      <c r="Q1142" s="1" t="s">
        <v>20260</v>
      </c>
      <c r="R1142" s="1" t="s">
        <v>20255</v>
      </c>
      <c r="S1142" s="1">
        <v>9840084140</v>
      </c>
      <c r="T1142" s="1" t="s">
        <v>496</v>
      </c>
      <c r="U1142" s="1" t="s">
        <v>20261</v>
      </c>
      <c r="V1142" s="1">
        <v>9790888140</v>
      </c>
      <c r="W1142" s="1" t="s">
        <v>273</v>
      </c>
      <c r="X1142" s="1" t="s">
        <v>20262</v>
      </c>
      <c r="Y1142" s="1" t="s">
        <v>2318</v>
      </c>
      <c r="Z1142" s="1" t="s">
        <v>1377</v>
      </c>
      <c r="AA1142" s="1" t="s">
        <v>20262</v>
      </c>
      <c r="AB1142" s="1" t="s">
        <v>2318</v>
      </c>
      <c r="AC1142" s="1" t="s">
        <v>1377</v>
      </c>
      <c r="AD1142" s="1">
        <v>8.56</v>
      </c>
      <c r="AE1142" s="1" t="s">
        <v>93</v>
      </c>
      <c r="AF1142" s="1" t="s">
        <v>20263</v>
      </c>
      <c r="AG1142" s="1" t="s">
        <v>20264</v>
      </c>
      <c r="AH1142" s="1" t="s">
        <v>97</v>
      </c>
      <c r="AI1142" s="1" t="s">
        <v>456</v>
      </c>
      <c r="AJ1142" s="1">
        <v>91.2</v>
      </c>
      <c r="AK1142" s="1"/>
      <c r="AL1142" s="1" t="s">
        <v>20263</v>
      </c>
      <c r="AM1142" s="1" t="s">
        <v>20264</v>
      </c>
      <c r="AN1142" s="1" t="s">
        <v>195</v>
      </c>
      <c r="AO1142" s="1" t="s">
        <v>281</v>
      </c>
      <c r="AP1142" s="1">
        <v>73.91</v>
      </c>
      <c r="AQ1142" s="1"/>
      <c r="AR1142" s="1"/>
      <c r="AS1142" s="1"/>
      <c r="AT1142" s="1"/>
      <c r="AU1142" s="1"/>
      <c r="AV1142" s="1"/>
      <c r="AW1142" s="1"/>
      <c r="AX1142" s="1" t="s">
        <v>18749</v>
      </c>
      <c r="AY1142" s="1" t="s">
        <v>20265</v>
      </c>
      <c r="AZ1142" s="1" t="s">
        <v>101</v>
      </c>
      <c r="BA1142" s="1" t="s">
        <v>174</v>
      </c>
      <c r="BB1142" s="1">
        <v>87.5</v>
      </c>
      <c r="BC1142" s="1">
        <v>8.75</v>
      </c>
      <c r="BD1142" s="1"/>
      <c r="BE1142" s="1"/>
      <c r="BF1142" s="1"/>
      <c r="BG1142" s="1"/>
      <c r="BH1142" s="1"/>
      <c r="BI1142" s="1"/>
      <c r="BJ1142" s="1" t="s">
        <v>20266</v>
      </c>
      <c r="BK1142" s="1" t="s">
        <v>20267</v>
      </c>
      <c r="BL1142" s="1" t="s">
        <v>1543</v>
      </c>
      <c r="BM1142" s="1" t="s">
        <v>20268</v>
      </c>
      <c r="BN1142" s="1">
        <v>33</v>
      </c>
      <c r="BO1142" s="1"/>
      <c r="BP1142" s="1" t="str">
        <f>HYPERLINK("https://nconnect.nicmar.ac.in/storage/profile/ProfilePhoto_P25701078_946752.jpg","Download")</f>
        <v>0</v>
      </c>
      <c r="BQ1142" s="3"/>
      <c r="BR1142" s="3"/>
    </row>
    <row r="1143" spans="1:70">
      <c r="A1143" s="1" t="s">
        <v>1563</v>
      </c>
      <c r="B1143" s="1" t="s">
        <v>1269</v>
      </c>
      <c r="C1143" s="1" t="s">
        <v>20269</v>
      </c>
      <c r="D1143" s="1" t="s">
        <v>4143</v>
      </c>
      <c r="E1143" s="1" t="s">
        <v>3297</v>
      </c>
      <c r="F1143" s="1" t="s">
        <v>19907</v>
      </c>
      <c r="G1143" s="1" t="s">
        <v>20270</v>
      </c>
      <c r="H1143" s="1" t="s">
        <v>20271</v>
      </c>
      <c r="I1143" s="1" t="s">
        <v>20272</v>
      </c>
      <c r="J1143" s="1">
        <v>9004509282</v>
      </c>
      <c r="K1143" s="1" t="s">
        <v>79</v>
      </c>
      <c r="L1143" s="1" t="s">
        <v>9881</v>
      </c>
      <c r="M1143" s="1" t="s">
        <v>81</v>
      </c>
      <c r="N1143" s="1" t="s">
        <v>3229</v>
      </c>
      <c r="O1143" s="1"/>
      <c r="P1143" s="1" t="s">
        <v>1278</v>
      </c>
      <c r="Q1143" s="1" t="s">
        <v>20273</v>
      </c>
      <c r="R1143" s="1" t="s">
        <v>20274</v>
      </c>
      <c r="S1143" s="1">
        <v>9867932157</v>
      </c>
      <c r="T1143" s="1" t="s">
        <v>20275</v>
      </c>
      <c r="U1143" s="1" t="s">
        <v>20276</v>
      </c>
      <c r="V1143" s="1">
        <v>9969227556</v>
      </c>
      <c r="W1143" s="1" t="s">
        <v>89</v>
      </c>
      <c r="X1143" s="1" t="s">
        <v>20277</v>
      </c>
      <c r="Y1143" s="1" t="s">
        <v>1623</v>
      </c>
      <c r="Z1143" s="1" t="s">
        <v>92</v>
      </c>
      <c r="AA1143" s="1" t="s">
        <v>20277</v>
      </c>
      <c r="AB1143" s="1" t="s">
        <v>1623</v>
      </c>
      <c r="AC1143" s="1" t="s">
        <v>92</v>
      </c>
      <c r="AD1143" s="1">
        <v>8.87</v>
      </c>
      <c r="AE1143" s="1" t="s">
        <v>93</v>
      </c>
      <c r="AF1143" s="1" t="s">
        <v>20278</v>
      </c>
      <c r="AG1143" s="1" t="s">
        <v>1152</v>
      </c>
      <c r="AH1143" s="1" t="s">
        <v>503</v>
      </c>
      <c r="AI1143" s="1" t="s">
        <v>527</v>
      </c>
      <c r="AJ1143" s="1">
        <v>88.33</v>
      </c>
      <c r="AK1143" s="1">
        <v>0</v>
      </c>
      <c r="AL1143" s="1" t="s">
        <v>20279</v>
      </c>
      <c r="AM1143" s="1" t="s">
        <v>160</v>
      </c>
      <c r="AN1143" s="1" t="s">
        <v>165</v>
      </c>
      <c r="AO1143" s="1" t="s">
        <v>457</v>
      </c>
      <c r="AP1143" s="1">
        <v>81.54</v>
      </c>
      <c r="AQ1143" s="1">
        <v>0</v>
      </c>
      <c r="AR1143" s="1"/>
      <c r="AS1143" s="1"/>
      <c r="AT1143" s="1"/>
      <c r="AU1143" s="1"/>
      <c r="AV1143" s="1"/>
      <c r="AW1143" s="1"/>
      <c r="AX1143" s="1" t="s">
        <v>253</v>
      </c>
      <c r="AY1143" s="1" t="s">
        <v>20280</v>
      </c>
      <c r="AZ1143" s="1" t="s">
        <v>636</v>
      </c>
      <c r="BA1143" s="1" t="s">
        <v>229</v>
      </c>
      <c r="BB1143" s="1">
        <v>78.08</v>
      </c>
      <c r="BC1143" s="1">
        <v>8.93</v>
      </c>
      <c r="BD1143" s="1"/>
      <c r="BE1143" s="1"/>
      <c r="BF1143" s="1"/>
      <c r="BG1143" s="1"/>
      <c r="BH1143" s="1"/>
      <c r="BI1143" s="1"/>
      <c r="BJ1143" s="1" t="s">
        <v>20281</v>
      </c>
      <c r="BK1143" s="1" t="s">
        <v>20282</v>
      </c>
      <c r="BL1143" s="1" t="s">
        <v>4917</v>
      </c>
      <c r="BM1143" s="1" t="s">
        <v>20283</v>
      </c>
      <c r="BN1143" s="1">
        <v>29</v>
      </c>
      <c r="BO1143" s="1" t="s">
        <v>20284</v>
      </c>
      <c r="BP1143" s="1" t="str">
        <f>HYPERLINK("https://nconnect.nicmar.ac.in/storage/profile/ProfilePhoto_P25701080_291384.jpg","Download")</f>
        <v>0</v>
      </c>
      <c r="BQ1143" s="3"/>
      <c r="BR1143" s="3"/>
    </row>
    <row r="1144" spans="1:70">
      <c r="A1144" s="1" t="s">
        <v>1563</v>
      </c>
      <c r="B1144" s="1" t="s">
        <v>1269</v>
      </c>
      <c r="C1144" s="1" t="s">
        <v>20285</v>
      </c>
      <c r="D1144" s="1" t="s">
        <v>596</v>
      </c>
      <c r="E1144" s="1"/>
      <c r="F1144" s="1" t="s">
        <v>20286</v>
      </c>
      <c r="G1144" s="1" t="s">
        <v>20287</v>
      </c>
      <c r="H1144" s="1" t="s">
        <v>20288</v>
      </c>
      <c r="I1144" s="1" t="s">
        <v>20289</v>
      </c>
      <c r="J1144" s="1">
        <v>8979187316</v>
      </c>
      <c r="K1144" s="1" t="s">
        <v>79</v>
      </c>
      <c r="L1144" s="1" t="s">
        <v>15605</v>
      </c>
      <c r="M1144" s="1" t="s">
        <v>81</v>
      </c>
      <c r="N1144" s="1" t="s">
        <v>11898</v>
      </c>
      <c r="O1144" s="1"/>
      <c r="P1144" s="1" t="s">
        <v>1323</v>
      </c>
      <c r="Q1144" s="1" t="s">
        <v>20290</v>
      </c>
      <c r="R1144" s="1" t="s">
        <v>20291</v>
      </c>
      <c r="S1144" s="1">
        <v>8171585158</v>
      </c>
      <c r="T1144" s="1" t="s">
        <v>9407</v>
      </c>
      <c r="U1144" s="1" t="s">
        <v>20292</v>
      </c>
      <c r="V1144" s="1">
        <v>9927449224</v>
      </c>
      <c r="W1144" s="1" t="s">
        <v>273</v>
      </c>
      <c r="X1144" s="1" t="s">
        <v>20293</v>
      </c>
      <c r="Y1144" s="1" t="s">
        <v>191</v>
      </c>
      <c r="Z1144" s="1" t="s">
        <v>92</v>
      </c>
      <c r="AA1144" s="1" t="s">
        <v>20294</v>
      </c>
      <c r="AB1144" s="1" t="s">
        <v>20295</v>
      </c>
      <c r="AC1144" s="1" t="s">
        <v>8585</v>
      </c>
      <c r="AD1144" s="1">
        <v>6.65</v>
      </c>
      <c r="AE1144" s="1" t="s">
        <v>93</v>
      </c>
      <c r="AF1144" s="1" t="s">
        <v>20296</v>
      </c>
      <c r="AG1144" s="1" t="s">
        <v>307</v>
      </c>
      <c r="AH1144" s="1" t="s">
        <v>503</v>
      </c>
      <c r="AI1144" s="1" t="s">
        <v>134</v>
      </c>
      <c r="AJ1144" s="1">
        <v>60.8</v>
      </c>
      <c r="AK1144" s="1">
        <v>6.4</v>
      </c>
      <c r="AL1144" s="1" t="s">
        <v>20297</v>
      </c>
      <c r="AM1144" s="1" t="s">
        <v>307</v>
      </c>
      <c r="AN1144" s="1" t="s">
        <v>165</v>
      </c>
      <c r="AO1144" s="1" t="s">
        <v>166</v>
      </c>
      <c r="AP1144" s="1">
        <v>46.16</v>
      </c>
      <c r="AQ1144" s="1">
        <v>5.4</v>
      </c>
      <c r="AR1144" s="1" t="s">
        <v>20298</v>
      </c>
      <c r="AS1144" s="1" t="s">
        <v>20299</v>
      </c>
      <c r="AT1144" s="1" t="s">
        <v>574</v>
      </c>
      <c r="AU1144" s="1" t="s">
        <v>1131</v>
      </c>
      <c r="AV1144" s="1">
        <v>67.6</v>
      </c>
      <c r="AW1144" s="1"/>
      <c r="AX1144" s="1" t="s">
        <v>1834</v>
      </c>
      <c r="AY1144" s="1" t="s">
        <v>20300</v>
      </c>
      <c r="AZ1144" s="1" t="s">
        <v>1051</v>
      </c>
      <c r="BA1144" s="1" t="s">
        <v>507</v>
      </c>
      <c r="BB1144" s="1">
        <v>67.9</v>
      </c>
      <c r="BC1144" s="1">
        <v>6.79</v>
      </c>
      <c r="BD1144" s="1"/>
      <c r="BE1144" s="1"/>
      <c r="BF1144" s="1"/>
      <c r="BG1144" s="1"/>
      <c r="BH1144" s="1"/>
      <c r="BI1144" s="1"/>
      <c r="BJ1144" s="1" t="s">
        <v>20301</v>
      </c>
      <c r="BK1144" s="1"/>
      <c r="BL1144" s="1"/>
      <c r="BM1144" s="1" t="s">
        <v>20302</v>
      </c>
      <c r="BN1144" s="1">
        <v>89</v>
      </c>
      <c r="BO1144" s="1" t="s">
        <v>20303</v>
      </c>
      <c r="BP1144" s="1" t="str">
        <f>HYPERLINK("https://nconnect.nicmar.ac.in/storage/profile/ProfilePhoto_P25701082_517926.jpg","Download")</f>
        <v>0</v>
      </c>
      <c r="BQ1144" s="3"/>
      <c r="BR1144" s="3"/>
    </row>
    <row r="1145" spans="1:70">
      <c r="A1145" s="1" t="s">
        <v>1563</v>
      </c>
      <c r="B1145" s="1" t="s">
        <v>1269</v>
      </c>
      <c r="C1145" s="1" t="s">
        <v>20304</v>
      </c>
      <c r="D1145" s="1" t="s">
        <v>20305</v>
      </c>
      <c r="E1145" s="1"/>
      <c r="F1145" s="1" t="s">
        <v>20306</v>
      </c>
      <c r="G1145" s="1" t="s">
        <v>20307</v>
      </c>
      <c r="H1145" s="1" t="s">
        <v>20308</v>
      </c>
      <c r="I1145" s="1" t="s">
        <v>20309</v>
      </c>
      <c r="J1145" s="1">
        <v>7024089723</v>
      </c>
      <c r="K1145" s="1" t="s">
        <v>79</v>
      </c>
      <c r="L1145" s="1" t="s">
        <v>3035</v>
      </c>
      <c r="M1145" s="1" t="s">
        <v>81</v>
      </c>
      <c r="N1145" s="1" t="s">
        <v>241</v>
      </c>
      <c r="O1145" s="1"/>
      <c r="P1145" s="1" t="s">
        <v>1278</v>
      </c>
      <c r="Q1145" s="1" t="s">
        <v>20310</v>
      </c>
      <c r="R1145" s="1" t="s">
        <v>20311</v>
      </c>
      <c r="S1145" s="1">
        <v>9893401711</v>
      </c>
      <c r="T1145" s="1" t="s">
        <v>6829</v>
      </c>
      <c r="U1145" s="1" t="s">
        <v>20312</v>
      </c>
      <c r="V1145" s="1">
        <v>9589041741</v>
      </c>
      <c r="W1145" s="1" t="s">
        <v>156</v>
      </c>
      <c r="X1145" s="1" t="s">
        <v>20313</v>
      </c>
      <c r="Y1145" s="1" t="s">
        <v>191</v>
      </c>
      <c r="Z1145" s="1" t="s">
        <v>92</v>
      </c>
      <c r="AA1145" s="1" t="s">
        <v>20314</v>
      </c>
      <c r="AB1145" s="1" t="s">
        <v>6358</v>
      </c>
      <c r="AC1145" s="1" t="s">
        <v>936</v>
      </c>
      <c r="AD1145" s="1">
        <v>7.99</v>
      </c>
      <c r="AE1145" s="1" t="s">
        <v>93</v>
      </c>
      <c r="AF1145" s="1" t="s">
        <v>20315</v>
      </c>
      <c r="AG1145" s="1" t="s">
        <v>20316</v>
      </c>
      <c r="AH1145" s="1" t="s">
        <v>279</v>
      </c>
      <c r="AI1145" s="1" t="s">
        <v>1332</v>
      </c>
      <c r="AJ1145" s="1">
        <v>77.7</v>
      </c>
      <c r="AK1145" s="1">
        <v>8.2</v>
      </c>
      <c r="AL1145" s="1" t="s">
        <v>20315</v>
      </c>
      <c r="AM1145" s="1" t="s">
        <v>20316</v>
      </c>
      <c r="AN1145" s="1" t="s">
        <v>1307</v>
      </c>
      <c r="AO1145" s="1" t="s">
        <v>1065</v>
      </c>
      <c r="AP1145" s="1">
        <v>77.8</v>
      </c>
      <c r="AQ1145" s="1">
        <v>8.2</v>
      </c>
      <c r="AR1145" s="1"/>
      <c r="AS1145" s="1"/>
      <c r="AT1145" s="1"/>
      <c r="AU1145" s="1"/>
      <c r="AV1145" s="1"/>
      <c r="AW1145" s="1"/>
      <c r="AX1145" s="1" t="s">
        <v>20317</v>
      </c>
      <c r="AY1145" s="1" t="s">
        <v>20316</v>
      </c>
      <c r="AZ1145" s="1" t="s">
        <v>310</v>
      </c>
      <c r="BA1145" s="1" t="s">
        <v>202</v>
      </c>
      <c r="BB1145" s="1">
        <v>67</v>
      </c>
      <c r="BC1145" s="1">
        <v>6.76</v>
      </c>
      <c r="BD1145" s="1"/>
      <c r="BE1145" s="1"/>
      <c r="BF1145" s="1"/>
      <c r="BG1145" s="1"/>
      <c r="BH1145" s="1"/>
      <c r="BI1145" s="1"/>
      <c r="BJ1145" s="1" t="s">
        <v>20318</v>
      </c>
      <c r="BK1145" s="1"/>
      <c r="BL1145" s="1"/>
      <c r="BM1145" s="1" t="s">
        <v>20319</v>
      </c>
      <c r="BN1145" s="1">
        <v>18</v>
      </c>
      <c r="BO1145" s="1"/>
      <c r="BP1145" s="1" t="str">
        <f>HYPERLINK("https://nconnect.nicmar.ac.in/storage/profile/ProfilePhoto_P25701083_263178.jpg","Download")</f>
        <v>0</v>
      </c>
      <c r="BQ1145" s="3"/>
      <c r="BR1145" s="3"/>
    </row>
    <row r="1146" spans="1:70">
      <c r="A1146" s="1" t="s">
        <v>1563</v>
      </c>
      <c r="B1146" s="1" t="s">
        <v>1269</v>
      </c>
      <c r="C1146" s="1" t="s">
        <v>20320</v>
      </c>
      <c r="D1146" s="1" t="s">
        <v>2692</v>
      </c>
      <c r="E1146" s="1"/>
      <c r="F1146" s="1" t="s">
        <v>596</v>
      </c>
      <c r="G1146" s="1" t="s">
        <v>20321</v>
      </c>
      <c r="H1146" s="1" t="s">
        <v>20322</v>
      </c>
      <c r="I1146" s="1" t="s">
        <v>20323</v>
      </c>
      <c r="J1146" s="1">
        <v>6296086996</v>
      </c>
      <c r="K1146" s="1" t="s">
        <v>79</v>
      </c>
      <c r="L1146" s="1" t="s">
        <v>8952</v>
      </c>
      <c r="M1146" s="1" t="s">
        <v>81</v>
      </c>
      <c r="N1146" s="1" t="s">
        <v>14578</v>
      </c>
      <c r="O1146" s="1"/>
      <c r="P1146" s="1" t="s">
        <v>1323</v>
      </c>
      <c r="Q1146" s="1" t="s">
        <v>20324</v>
      </c>
      <c r="R1146" s="1" t="s">
        <v>20325</v>
      </c>
      <c r="S1146" s="1">
        <v>9800112285</v>
      </c>
      <c r="T1146" s="1" t="s">
        <v>1351</v>
      </c>
      <c r="U1146" s="1" t="s">
        <v>20326</v>
      </c>
      <c r="V1146" s="1">
        <v>9574448041</v>
      </c>
      <c r="W1146" s="1" t="s">
        <v>156</v>
      </c>
      <c r="X1146" s="1" t="s">
        <v>20327</v>
      </c>
      <c r="Y1146" s="1" t="s">
        <v>11851</v>
      </c>
      <c r="Z1146" s="1" t="s">
        <v>783</v>
      </c>
      <c r="AA1146" s="1" t="s">
        <v>20328</v>
      </c>
      <c r="AB1146" s="1" t="s">
        <v>20329</v>
      </c>
      <c r="AC1146" s="1" t="s">
        <v>846</v>
      </c>
      <c r="AD1146" s="1">
        <v>8.7</v>
      </c>
      <c r="AE1146" s="1" t="s">
        <v>93</v>
      </c>
      <c r="AF1146" s="1" t="s">
        <v>20330</v>
      </c>
      <c r="AG1146" s="1" t="s">
        <v>307</v>
      </c>
      <c r="AH1146" s="1" t="s">
        <v>678</v>
      </c>
      <c r="AI1146" s="1" t="s">
        <v>166</v>
      </c>
      <c r="AJ1146" s="1">
        <v>72.4</v>
      </c>
      <c r="AK1146" s="1"/>
      <c r="AL1146" s="1" t="s">
        <v>20330</v>
      </c>
      <c r="AM1146" s="1" t="s">
        <v>307</v>
      </c>
      <c r="AN1146" s="1" t="s">
        <v>1065</v>
      </c>
      <c r="AO1146" s="1" t="s">
        <v>173</v>
      </c>
      <c r="AP1146" s="1">
        <v>76.4</v>
      </c>
      <c r="AQ1146" s="1"/>
      <c r="AR1146" s="1"/>
      <c r="AS1146" s="1"/>
      <c r="AT1146" s="1"/>
      <c r="AU1146" s="1"/>
      <c r="AV1146" s="1"/>
      <c r="AW1146" s="1"/>
      <c r="AX1146" s="1" t="s">
        <v>2078</v>
      </c>
      <c r="AY1146" s="1" t="s">
        <v>20331</v>
      </c>
      <c r="AZ1146" s="1" t="s">
        <v>920</v>
      </c>
      <c r="BA1146" s="1" t="s">
        <v>1938</v>
      </c>
      <c r="BB1146" s="1">
        <v>73.2</v>
      </c>
      <c r="BC1146" s="1">
        <v>8.07</v>
      </c>
      <c r="BD1146" s="1"/>
      <c r="BE1146" s="1"/>
      <c r="BF1146" s="1"/>
      <c r="BG1146" s="1"/>
      <c r="BH1146" s="1"/>
      <c r="BI1146" s="1"/>
      <c r="BJ1146" s="1" t="s">
        <v>20332</v>
      </c>
      <c r="BK1146" s="1"/>
      <c r="BL1146" s="1"/>
      <c r="BM1146" s="1" t="s">
        <v>20333</v>
      </c>
      <c r="BN1146" s="1">
        <v>38</v>
      </c>
      <c r="BO1146" s="1" t="s">
        <v>20334</v>
      </c>
      <c r="BP1146" s="1" t="str">
        <f>HYPERLINK("https://nconnect.nicmar.ac.in/storage/profile/ProfilePhoto_P25701084_612374.jpg","Download")</f>
        <v>0</v>
      </c>
      <c r="BQ1146" s="3"/>
      <c r="BR1146" s="3"/>
    </row>
    <row r="1147" spans="1:70">
      <c r="A1147" s="1" t="s">
        <v>1563</v>
      </c>
      <c r="B1147" s="1" t="s">
        <v>1269</v>
      </c>
      <c r="C1147" s="1" t="s">
        <v>20335</v>
      </c>
      <c r="D1147" s="1" t="s">
        <v>13421</v>
      </c>
      <c r="E1147" s="1" t="s">
        <v>20336</v>
      </c>
      <c r="F1147" s="1" t="s">
        <v>2756</v>
      </c>
      <c r="G1147" s="1" t="s">
        <v>20337</v>
      </c>
      <c r="H1147" s="1" t="s">
        <v>20338</v>
      </c>
      <c r="I1147" s="1" t="s">
        <v>20339</v>
      </c>
      <c r="J1147" s="1">
        <v>9028389684</v>
      </c>
      <c r="K1147" s="1" t="s">
        <v>79</v>
      </c>
      <c r="L1147" s="1" t="s">
        <v>20340</v>
      </c>
      <c r="M1147" s="1" t="s">
        <v>81</v>
      </c>
      <c r="N1147" s="1" t="s">
        <v>4149</v>
      </c>
      <c r="O1147" s="1"/>
      <c r="P1147" s="1" t="s">
        <v>1298</v>
      </c>
      <c r="Q1147" s="1" t="s">
        <v>20341</v>
      </c>
      <c r="R1147" s="1" t="s">
        <v>20336</v>
      </c>
      <c r="S1147" s="1">
        <v>8237153681</v>
      </c>
      <c r="T1147" s="1" t="s">
        <v>842</v>
      </c>
      <c r="U1147" s="1" t="s">
        <v>7864</v>
      </c>
      <c r="V1147" s="1">
        <v>9420058704</v>
      </c>
      <c r="W1147" s="1" t="s">
        <v>156</v>
      </c>
      <c r="X1147" s="1" t="s">
        <v>20342</v>
      </c>
      <c r="Y1147" s="1" t="s">
        <v>1018</v>
      </c>
      <c r="Z1147" s="1" t="s">
        <v>92</v>
      </c>
      <c r="AA1147" s="1" t="s">
        <v>20342</v>
      </c>
      <c r="AB1147" s="1" t="s">
        <v>1018</v>
      </c>
      <c r="AC1147" s="1" t="s">
        <v>92</v>
      </c>
      <c r="AD1147" s="1">
        <v>7.66</v>
      </c>
      <c r="AE1147" s="1" t="s">
        <v>93</v>
      </c>
      <c r="AF1147" s="1" t="s">
        <v>20343</v>
      </c>
      <c r="AG1147" s="1" t="s">
        <v>20344</v>
      </c>
      <c r="AH1147" s="1" t="s">
        <v>678</v>
      </c>
      <c r="AI1147" s="1" t="s">
        <v>1361</v>
      </c>
      <c r="AJ1147" s="1">
        <v>60.04</v>
      </c>
      <c r="AK1147" s="1"/>
      <c r="AL1147" s="1"/>
      <c r="AM1147" s="1"/>
      <c r="AN1147" s="1"/>
      <c r="AO1147" s="1"/>
      <c r="AP1147" s="1"/>
      <c r="AQ1147" s="1"/>
      <c r="AR1147" s="1" t="s">
        <v>98</v>
      </c>
      <c r="AS1147" s="1" t="s">
        <v>20345</v>
      </c>
      <c r="AT1147" s="1" t="s">
        <v>169</v>
      </c>
      <c r="AU1147" s="1" t="s">
        <v>436</v>
      </c>
      <c r="AV1147" s="1">
        <v>87.11</v>
      </c>
      <c r="AW1147" s="1"/>
      <c r="AX1147" s="1" t="s">
        <v>10157</v>
      </c>
      <c r="AY1147" s="1" t="s">
        <v>20346</v>
      </c>
      <c r="AZ1147" s="1" t="s">
        <v>1407</v>
      </c>
      <c r="BA1147" s="1" t="s">
        <v>1938</v>
      </c>
      <c r="BB1147" s="1">
        <v>66.2</v>
      </c>
      <c r="BC1147" s="1">
        <v>7.37</v>
      </c>
      <c r="BD1147" s="1"/>
      <c r="BE1147" s="1"/>
      <c r="BF1147" s="1"/>
      <c r="BG1147" s="1"/>
      <c r="BH1147" s="1"/>
      <c r="BI1147" s="1"/>
      <c r="BJ1147" s="1" t="s">
        <v>20347</v>
      </c>
      <c r="BK1147" s="1"/>
      <c r="BL1147" s="1"/>
      <c r="BM1147" s="1" t="s">
        <v>20348</v>
      </c>
      <c r="BN1147" s="1">
        <v>13</v>
      </c>
      <c r="BO1147" s="1" t="s">
        <v>20349</v>
      </c>
      <c r="BP1147" s="1" t="str">
        <f>HYPERLINK("https://nconnect.nicmar.ac.in/storage/profile/ProfilePhoto_P25701085_372584.jpg","Download")</f>
        <v>0</v>
      </c>
      <c r="BQ1147" s="3"/>
      <c r="BR1147" s="3"/>
    </row>
    <row r="1148" spans="1:70">
      <c r="A1148" s="1" t="s">
        <v>1563</v>
      </c>
      <c r="B1148" s="1" t="s">
        <v>1269</v>
      </c>
      <c r="C1148" s="1" t="s">
        <v>20350</v>
      </c>
      <c r="D1148" s="1" t="s">
        <v>20351</v>
      </c>
      <c r="E1148" s="1"/>
      <c r="F1148" s="1" t="s">
        <v>16516</v>
      </c>
      <c r="G1148" s="1" t="s">
        <v>20352</v>
      </c>
      <c r="H1148" s="1" t="s">
        <v>20353</v>
      </c>
      <c r="I1148" s="1" t="s">
        <v>20354</v>
      </c>
      <c r="J1148" s="1">
        <v>8867909058</v>
      </c>
      <c r="K1148" s="1" t="s">
        <v>79</v>
      </c>
      <c r="L1148" s="1" t="s">
        <v>20355</v>
      </c>
      <c r="M1148" s="1" t="s">
        <v>81</v>
      </c>
      <c r="N1148" s="1" t="s">
        <v>20356</v>
      </c>
      <c r="O1148" s="1"/>
      <c r="P1148" s="1" t="s">
        <v>1278</v>
      </c>
      <c r="Q1148" s="1" t="s">
        <v>20357</v>
      </c>
      <c r="R1148" s="1" t="s">
        <v>20358</v>
      </c>
      <c r="S1148" s="1">
        <v>9448285654</v>
      </c>
      <c r="T1148" s="1" t="s">
        <v>87</v>
      </c>
      <c r="U1148" s="1" t="s">
        <v>20359</v>
      </c>
      <c r="V1148" s="1">
        <v>9448282634</v>
      </c>
      <c r="W1148" s="1" t="s">
        <v>651</v>
      </c>
      <c r="X1148" s="1" t="s">
        <v>20360</v>
      </c>
      <c r="Y1148" s="1" t="s">
        <v>2052</v>
      </c>
      <c r="Z1148" s="1" t="s">
        <v>1084</v>
      </c>
      <c r="AA1148" s="1" t="s">
        <v>20360</v>
      </c>
      <c r="AB1148" s="1" t="s">
        <v>2052</v>
      </c>
      <c r="AC1148" s="1" t="s">
        <v>1084</v>
      </c>
      <c r="AD1148" s="1">
        <v>8.42</v>
      </c>
      <c r="AE1148" s="1" t="s">
        <v>93</v>
      </c>
      <c r="AF1148" s="1" t="s">
        <v>20361</v>
      </c>
      <c r="AG1148" s="1" t="s">
        <v>307</v>
      </c>
      <c r="AH1148" s="1" t="s">
        <v>162</v>
      </c>
      <c r="AI1148" s="1" t="s">
        <v>165</v>
      </c>
      <c r="AJ1148" s="1">
        <v>83.6</v>
      </c>
      <c r="AK1148" s="1">
        <v>8.8</v>
      </c>
      <c r="AL1148" s="1" t="s">
        <v>20362</v>
      </c>
      <c r="AM1148" s="1" t="s">
        <v>20363</v>
      </c>
      <c r="AN1148" s="1" t="s">
        <v>169</v>
      </c>
      <c r="AO1148" s="1" t="s">
        <v>1065</v>
      </c>
      <c r="AP1148" s="1">
        <v>80.16</v>
      </c>
      <c r="AQ1148" s="1"/>
      <c r="AR1148" s="1"/>
      <c r="AS1148" s="1"/>
      <c r="AT1148" s="1"/>
      <c r="AU1148" s="1"/>
      <c r="AV1148" s="1"/>
      <c r="AW1148" s="1"/>
      <c r="AX1148" s="1" t="s">
        <v>20364</v>
      </c>
      <c r="AY1148" s="1" t="s">
        <v>20364</v>
      </c>
      <c r="AZ1148" s="1" t="s">
        <v>201</v>
      </c>
      <c r="BA1148" s="1" t="s">
        <v>1134</v>
      </c>
      <c r="BB1148" s="1">
        <v>80.6</v>
      </c>
      <c r="BC1148" s="1">
        <v>8.81</v>
      </c>
      <c r="BD1148" s="1"/>
      <c r="BE1148" s="1"/>
      <c r="BF1148" s="1"/>
      <c r="BG1148" s="1"/>
      <c r="BH1148" s="1"/>
      <c r="BI1148" s="1"/>
      <c r="BJ1148" s="1" t="s">
        <v>20365</v>
      </c>
      <c r="BK1148" s="1" t="s">
        <v>20366</v>
      </c>
      <c r="BL1148" s="1" t="s">
        <v>1629</v>
      </c>
      <c r="BM1148" s="1" t="s">
        <v>20367</v>
      </c>
      <c r="BN1148" s="1">
        <v>4</v>
      </c>
      <c r="BO1148" s="1"/>
      <c r="BP1148" s="1" t="str">
        <f>HYPERLINK("https://nconnect.nicmar.ac.in/storage/profile/ProfilePhoto_P25701087_365981.jpg","Download")</f>
        <v>0</v>
      </c>
      <c r="BQ1148" s="3"/>
      <c r="BR1148" s="3"/>
    </row>
    <row r="1149" spans="1:70">
      <c r="A1149" s="1" t="s">
        <v>1563</v>
      </c>
      <c r="B1149" s="1" t="s">
        <v>1269</v>
      </c>
      <c r="C1149" s="1" t="s">
        <v>20368</v>
      </c>
      <c r="D1149" s="1" t="s">
        <v>19545</v>
      </c>
      <c r="E1149" s="1" t="s">
        <v>668</v>
      </c>
      <c r="F1149" s="1" t="s">
        <v>20369</v>
      </c>
      <c r="G1149" s="1" t="s">
        <v>20370</v>
      </c>
      <c r="H1149" s="1" t="s">
        <v>20371</v>
      </c>
      <c r="I1149" s="1" t="s">
        <v>20372</v>
      </c>
      <c r="J1149" s="1">
        <v>8788891256</v>
      </c>
      <c r="K1149" s="1" t="s">
        <v>79</v>
      </c>
      <c r="L1149" s="1" t="s">
        <v>7802</v>
      </c>
      <c r="M1149" s="1" t="s">
        <v>81</v>
      </c>
      <c r="N1149" s="1" t="s">
        <v>1765</v>
      </c>
      <c r="O1149" s="1"/>
      <c r="P1149" s="1" t="s">
        <v>1298</v>
      </c>
      <c r="Q1149" s="1" t="s">
        <v>20373</v>
      </c>
      <c r="R1149" s="1" t="s">
        <v>668</v>
      </c>
      <c r="S1149" s="1">
        <v>9326183951</v>
      </c>
      <c r="T1149" s="1" t="s">
        <v>93</v>
      </c>
      <c r="U1149" s="1" t="s">
        <v>6003</v>
      </c>
      <c r="V1149" s="1">
        <v>9326183951</v>
      </c>
      <c r="W1149" s="1" t="s">
        <v>89</v>
      </c>
      <c r="X1149" s="1" t="s">
        <v>20374</v>
      </c>
      <c r="Y1149" s="1" t="s">
        <v>91</v>
      </c>
      <c r="Z1149" s="1" t="s">
        <v>92</v>
      </c>
      <c r="AA1149" s="1" t="s">
        <v>20374</v>
      </c>
      <c r="AB1149" s="1" t="s">
        <v>91</v>
      </c>
      <c r="AC1149" s="1" t="s">
        <v>92</v>
      </c>
      <c r="AD1149" s="1">
        <v>7.86</v>
      </c>
      <c r="AE1149" s="1" t="s">
        <v>93</v>
      </c>
      <c r="AF1149" s="1" t="s">
        <v>20375</v>
      </c>
      <c r="AG1149" s="1" t="s">
        <v>160</v>
      </c>
      <c r="AH1149" s="1" t="s">
        <v>161</v>
      </c>
      <c r="AI1149" s="1" t="s">
        <v>456</v>
      </c>
      <c r="AJ1149" s="1">
        <v>79.4</v>
      </c>
      <c r="AK1149" s="1"/>
      <c r="AL1149" s="1" t="s">
        <v>20376</v>
      </c>
      <c r="AM1149" s="1" t="s">
        <v>160</v>
      </c>
      <c r="AN1149" s="1" t="s">
        <v>165</v>
      </c>
      <c r="AO1149" s="1" t="s">
        <v>457</v>
      </c>
      <c r="AP1149" s="1">
        <v>75.23</v>
      </c>
      <c r="AQ1149" s="1"/>
      <c r="AR1149" s="1"/>
      <c r="AS1149" s="1"/>
      <c r="AT1149" s="1"/>
      <c r="AU1149" s="1"/>
      <c r="AV1149" s="1"/>
      <c r="AW1149" s="1"/>
      <c r="AX1149" s="1" t="s">
        <v>20377</v>
      </c>
      <c r="AY1149" s="1" t="s">
        <v>5645</v>
      </c>
      <c r="AZ1149" s="1" t="s">
        <v>169</v>
      </c>
      <c r="BA1149" s="1" t="s">
        <v>229</v>
      </c>
      <c r="BB1149" s="1">
        <v>82.2</v>
      </c>
      <c r="BC1149" s="1">
        <v>8.72</v>
      </c>
      <c r="BD1149" s="1"/>
      <c r="BE1149" s="1"/>
      <c r="BF1149" s="1"/>
      <c r="BG1149" s="1"/>
      <c r="BH1149" s="1"/>
      <c r="BI1149" s="1"/>
      <c r="BJ1149" s="1" t="s">
        <v>20378</v>
      </c>
      <c r="BK1149" s="1" t="s">
        <v>20379</v>
      </c>
      <c r="BL1149" s="1" t="s">
        <v>4917</v>
      </c>
      <c r="BM1149" s="1" t="s">
        <v>20380</v>
      </c>
      <c r="BN1149" s="1">
        <v>23</v>
      </c>
      <c r="BO1149" s="1" t="s">
        <v>20381</v>
      </c>
      <c r="BP1149" s="1" t="str">
        <f>HYPERLINK("https://nconnect.nicmar.ac.in/storage/profile/ProfilePhoto_P25701088_378519.jpg","Download")</f>
        <v>0</v>
      </c>
      <c r="BQ1149" s="3"/>
      <c r="BR1149" s="3"/>
    </row>
    <row r="1150" spans="1:70">
      <c r="A1150" s="1" t="s">
        <v>1563</v>
      </c>
      <c r="B1150" s="1" t="s">
        <v>1269</v>
      </c>
      <c r="C1150" s="1" t="s">
        <v>20382</v>
      </c>
      <c r="D1150" s="1" t="s">
        <v>1799</v>
      </c>
      <c r="E1150" s="1" t="s">
        <v>1566</v>
      </c>
      <c r="F1150" s="1" t="s">
        <v>4016</v>
      </c>
      <c r="G1150" s="1" t="s">
        <v>20383</v>
      </c>
      <c r="H1150" s="1" t="s">
        <v>20384</v>
      </c>
      <c r="I1150" s="1" t="s">
        <v>20385</v>
      </c>
      <c r="J1150" s="1">
        <v>7410544726</v>
      </c>
      <c r="K1150" s="1" t="s">
        <v>79</v>
      </c>
      <c r="L1150" s="1" t="s">
        <v>20386</v>
      </c>
      <c r="M1150" s="1" t="s">
        <v>81</v>
      </c>
      <c r="N1150" s="1" t="s">
        <v>20387</v>
      </c>
      <c r="O1150" s="1"/>
      <c r="P1150" s="1" t="s">
        <v>1278</v>
      </c>
      <c r="Q1150" s="1" t="s">
        <v>20388</v>
      </c>
      <c r="R1150" s="1" t="s">
        <v>20389</v>
      </c>
      <c r="S1150" s="1">
        <v>7767889890</v>
      </c>
      <c r="T1150" s="1" t="s">
        <v>216</v>
      </c>
      <c r="U1150" s="1" t="s">
        <v>20390</v>
      </c>
      <c r="V1150" s="1">
        <v>8421622695</v>
      </c>
      <c r="W1150" s="1" t="s">
        <v>156</v>
      </c>
      <c r="X1150" s="1" t="s">
        <v>20391</v>
      </c>
      <c r="Y1150" s="1" t="s">
        <v>191</v>
      </c>
      <c r="Z1150" s="1" t="s">
        <v>92</v>
      </c>
      <c r="AA1150" s="1" t="s">
        <v>20391</v>
      </c>
      <c r="AB1150" s="1" t="s">
        <v>191</v>
      </c>
      <c r="AC1150" s="1" t="s">
        <v>92</v>
      </c>
      <c r="AD1150" s="1">
        <v>7.25</v>
      </c>
      <c r="AE1150" s="1" t="s">
        <v>93</v>
      </c>
      <c r="AF1150" s="1" t="s">
        <v>20392</v>
      </c>
      <c r="AG1150" s="1" t="s">
        <v>307</v>
      </c>
      <c r="AH1150" s="1" t="s">
        <v>1307</v>
      </c>
      <c r="AI1150" s="1" t="s">
        <v>308</v>
      </c>
      <c r="AJ1150" s="1">
        <v>82.8</v>
      </c>
      <c r="AK1150" s="1"/>
      <c r="AL1150" s="1" t="s">
        <v>20392</v>
      </c>
      <c r="AM1150" s="1" t="s">
        <v>307</v>
      </c>
      <c r="AN1150" s="1" t="s">
        <v>1833</v>
      </c>
      <c r="AO1150" s="1" t="s">
        <v>506</v>
      </c>
      <c r="AP1150" s="1">
        <v>80</v>
      </c>
      <c r="AQ1150" s="1"/>
      <c r="AR1150" s="1"/>
      <c r="AS1150" s="1"/>
      <c r="AT1150" s="1"/>
      <c r="AU1150" s="1"/>
      <c r="AV1150" s="1"/>
      <c r="AW1150" s="1"/>
      <c r="AX1150" s="1" t="s">
        <v>361</v>
      </c>
      <c r="AY1150" s="1" t="s">
        <v>20393</v>
      </c>
      <c r="AZ1150" s="1" t="s">
        <v>897</v>
      </c>
      <c r="BA1150" s="1" t="s">
        <v>1714</v>
      </c>
      <c r="BB1150" s="1">
        <v>66.7</v>
      </c>
      <c r="BC1150" s="1">
        <v>7.42</v>
      </c>
      <c r="BD1150" s="1"/>
      <c r="BE1150" s="1"/>
      <c r="BF1150" s="1"/>
      <c r="BG1150" s="1"/>
      <c r="BH1150" s="1"/>
      <c r="BI1150" s="1"/>
      <c r="BJ1150" s="1" t="s">
        <v>1383</v>
      </c>
      <c r="BK1150" s="1"/>
      <c r="BL1150" s="1"/>
      <c r="BM1150" s="1" t="s">
        <v>20394</v>
      </c>
      <c r="BN1150" s="1">
        <v>38</v>
      </c>
      <c r="BO1150" s="1"/>
      <c r="BP1150" s="1" t="str">
        <f>HYPERLINK("https://nconnect.nicmar.ac.in/storage/profile/ProfilePhoto_P25701089_251937.jpg","Download")</f>
        <v>0</v>
      </c>
      <c r="BQ1150" s="3"/>
      <c r="BR1150" s="3"/>
    </row>
    <row r="1151" spans="1:70">
      <c r="A1151" s="1" t="s">
        <v>1563</v>
      </c>
      <c r="B1151" s="1" t="s">
        <v>1269</v>
      </c>
      <c r="C1151" s="1" t="s">
        <v>20395</v>
      </c>
      <c r="D1151" s="1" t="s">
        <v>20396</v>
      </c>
      <c r="E1151" s="1" t="s">
        <v>1390</v>
      </c>
      <c r="F1151" s="1" t="s">
        <v>11978</v>
      </c>
      <c r="G1151" s="1" t="s">
        <v>20397</v>
      </c>
      <c r="H1151" s="1" t="s">
        <v>20398</v>
      </c>
      <c r="I1151" s="1" t="s">
        <v>20399</v>
      </c>
      <c r="J1151" s="1">
        <v>9744966172</v>
      </c>
      <c r="K1151" s="1" t="s">
        <v>79</v>
      </c>
      <c r="L1151" s="1" t="s">
        <v>20400</v>
      </c>
      <c r="M1151" s="1" t="s">
        <v>81</v>
      </c>
      <c r="N1151" s="1" t="s">
        <v>12330</v>
      </c>
      <c r="O1151" s="1"/>
      <c r="P1151" s="1" t="s">
        <v>1323</v>
      </c>
      <c r="Q1151" s="1" t="s">
        <v>20401</v>
      </c>
      <c r="R1151" s="1" t="s">
        <v>20402</v>
      </c>
      <c r="S1151" s="1">
        <v>9188391930</v>
      </c>
      <c r="T1151" s="1" t="s">
        <v>120</v>
      </c>
      <c r="U1151" s="1" t="s">
        <v>20403</v>
      </c>
      <c r="V1151" s="1">
        <v>9747870930</v>
      </c>
      <c r="W1151" s="1" t="s">
        <v>156</v>
      </c>
      <c r="X1151" s="1" t="s">
        <v>20404</v>
      </c>
      <c r="Y1151" s="1" t="s">
        <v>20079</v>
      </c>
      <c r="Z1151" s="1" t="s">
        <v>125</v>
      </c>
      <c r="AA1151" s="1" t="s">
        <v>20404</v>
      </c>
      <c r="AB1151" s="1" t="s">
        <v>20079</v>
      </c>
      <c r="AC1151" s="1" t="s">
        <v>125</v>
      </c>
      <c r="AD1151" s="1">
        <v>6.51</v>
      </c>
      <c r="AE1151" s="1" t="s">
        <v>93</v>
      </c>
      <c r="AF1151" s="1" t="s">
        <v>20405</v>
      </c>
      <c r="AG1151" s="1" t="s">
        <v>20406</v>
      </c>
      <c r="AH1151" s="1" t="s">
        <v>998</v>
      </c>
      <c r="AI1151" s="1" t="s">
        <v>96</v>
      </c>
      <c r="AJ1151" s="1">
        <v>66.5</v>
      </c>
      <c r="AK1151" s="1"/>
      <c r="AL1151" s="1" t="s">
        <v>20407</v>
      </c>
      <c r="AM1151" s="1" t="s">
        <v>20408</v>
      </c>
      <c r="AN1151" s="1" t="s">
        <v>161</v>
      </c>
      <c r="AO1151" s="1" t="s">
        <v>162</v>
      </c>
      <c r="AP1151" s="1">
        <v>68</v>
      </c>
      <c r="AQ1151" s="1"/>
      <c r="AR1151" s="1"/>
      <c r="AS1151" s="1"/>
      <c r="AT1151" s="1"/>
      <c r="AU1151" s="1"/>
      <c r="AV1151" s="1"/>
      <c r="AW1151" s="1"/>
      <c r="AX1151" s="1" t="s">
        <v>20409</v>
      </c>
      <c r="AY1151" s="1" t="s">
        <v>20410</v>
      </c>
      <c r="AZ1151" s="1" t="s">
        <v>733</v>
      </c>
      <c r="BA1151" s="1" t="s">
        <v>506</v>
      </c>
      <c r="BB1151" s="1">
        <v>74.94</v>
      </c>
      <c r="BC1151" s="1"/>
      <c r="BD1151" s="1"/>
      <c r="BE1151" s="1"/>
      <c r="BF1151" s="1"/>
      <c r="BG1151" s="1"/>
      <c r="BH1151" s="1"/>
      <c r="BI1151" s="1"/>
      <c r="BJ1151" s="1" t="s">
        <v>20411</v>
      </c>
      <c r="BK1151" s="1" t="s">
        <v>20412</v>
      </c>
      <c r="BL1151" s="1" t="s">
        <v>3103</v>
      </c>
      <c r="BM1151" s="1" t="s">
        <v>20413</v>
      </c>
      <c r="BN1151" s="1">
        <v>33</v>
      </c>
      <c r="BO1151" s="1" t="s">
        <v>20414</v>
      </c>
      <c r="BP1151" s="1" t="str">
        <f>HYPERLINK("https://nconnect.nicmar.ac.in/storage/profile/ProfilePhoto_P25701090_859126.jpg","Download")</f>
        <v>0</v>
      </c>
      <c r="BQ1151" s="3"/>
      <c r="BR1151" s="3"/>
    </row>
    <row r="1152" spans="1:70">
      <c r="A1152" s="1" t="s">
        <v>1563</v>
      </c>
      <c r="B1152" s="1" t="s">
        <v>1269</v>
      </c>
      <c r="C1152" s="1" t="s">
        <v>20415</v>
      </c>
      <c r="D1152" s="1" t="s">
        <v>4287</v>
      </c>
      <c r="E1152" s="1" t="s">
        <v>20416</v>
      </c>
      <c r="F1152" s="1" t="s">
        <v>20417</v>
      </c>
      <c r="G1152" s="1" t="s">
        <v>20418</v>
      </c>
      <c r="H1152" s="1" t="s">
        <v>20419</v>
      </c>
      <c r="I1152" s="1" t="s">
        <v>20420</v>
      </c>
      <c r="J1152" s="1">
        <v>9348687343</v>
      </c>
      <c r="K1152" s="1" t="s">
        <v>148</v>
      </c>
      <c r="L1152" s="1" t="s">
        <v>20421</v>
      </c>
      <c r="M1152" s="1" t="s">
        <v>81</v>
      </c>
      <c r="N1152" s="1" t="s">
        <v>1746</v>
      </c>
      <c r="O1152" s="1"/>
      <c r="P1152" s="1" t="s">
        <v>2505</v>
      </c>
      <c r="Q1152" s="1" t="s">
        <v>20422</v>
      </c>
      <c r="R1152" s="1" t="s">
        <v>20423</v>
      </c>
      <c r="S1152" s="1">
        <v>9556702907</v>
      </c>
      <c r="T1152" s="1" t="s">
        <v>20424</v>
      </c>
      <c r="U1152" s="1" t="s">
        <v>20425</v>
      </c>
      <c r="V1152" s="1">
        <v>7735563982</v>
      </c>
      <c r="W1152" s="1" t="s">
        <v>17971</v>
      </c>
      <c r="X1152" s="1" t="s">
        <v>20426</v>
      </c>
      <c r="Y1152" s="1" t="s">
        <v>20427</v>
      </c>
      <c r="Z1152" s="1" t="s">
        <v>1731</v>
      </c>
      <c r="AA1152" s="1" t="s">
        <v>20426</v>
      </c>
      <c r="AB1152" s="1" t="s">
        <v>20427</v>
      </c>
      <c r="AC1152" s="1" t="s">
        <v>1731</v>
      </c>
      <c r="AD1152" s="1">
        <v>8.29</v>
      </c>
      <c r="AE1152" s="1" t="s">
        <v>93</v>
      </c>
      <c r="AF1152" s="1" t="s">
        <v>20428</v>
      </c>
      <c r="AG1152" s="1" t="s">
        <v>16546</v>
      </c>
      <c r="AH1152" s="1" t="s">
        <v>1197</v>
      </c>
      <c r="AI1152" s="1" t="s">
        <v>131</v>
      </c>
      <c r="AJ1152" s="1">
        <v>81.33</v>
      </c>
      <c r="AK1152" s="1"/>
      <c r="AL1152" s="1" t="s">
        <v>20429</v>
      </c>
      <c r="AM1152" s="1" t="s">
        <v>2400</v>
      </c>
      <c r="AN1152" s="1" t="s">
        <v>131</v>
      </c>
      <c r="AO1152" s="1" t="s">
        <v>479</v>
      </c>
      <c r="AP1152" s="1">
        <v>64.16</v>
      </c>
      <c r="AQ1152" s="1"/>
      <c r="AR1152" s="1"/>
      <c r="AS1152" s="1"/>
      <c r="AT1152" s="1"/>
      <c r="AU1152" s="1"/>
      <c r="AV1152" s="1"/>
      <c r="AW1152" s="1"/>
      <c r="AX1152" s="1" t="s">
        <v>16144</v>
      </c>
      <c r="AY1152" s="1" t="s">
        <v>19456</v>
      </c>
      <c r="AZ1152" s="1" t="s">
        <v>101</v>
      </c>
      <c r="BA1152" s="1" t="s">
        <v>682</v>
      </c>
      <c r="BB1152" s="1">
        <v>70.6</v>
      </c>
      <c r="BC1152" s="1">
        <v>7.56</v>
      </c>
      <c r="BD1152" s="1"/>
      <c r="BE1152" s="1"/>
      <c r="BF1152" s="1"/>
      <c r="BG1152" s="1"/>
      <c r="BH1152" s="1"/>
      <c r="BI1152" s="1"/>
      <c r="BJ1152" s="1" t="s">
        <v>20430</v>
      </c>
      <c r="BK1152" s="1" t="s">
        <v>20431</v>
      </c>
      <c r="BL1152" s="1" t="s">
        <v>4917</v>
      </c>
      <c r="BM1152" s="1" t="s">
        <v>20432</v>
      </c>
      <c r="BN1152" s="1">
        <v>27</v>
      </c>
      <c r="BO1152" s="1"/>
      <c r="BP1152" s="1" t="str">
        <f>HYPERLINK("https://nconnect.nicmar.ac.in/storage/profile/ProfilePhoto_P25701091_628517.jpg","Download")</f>
        <v>0</v>
      </c>
      <c r="BQ1152" s="3"/>
      <c r="BR1152" s="3"/>
    </row>
    <row r="1153" spans="1:70">
      <c r="A1153" s="1" t="s">
        <v>1563</v>
      </c>
      <c r="B1153" s="1" t="s">
        <v>1269</v>
      </c>
      <c r="C1153" s="1" t="s">
        <v>20433</v>
      </c>
      <c r="D1153" s="1" t="s">
        <v>20434</v>
      </c>
      <c r="E1153" s="1"/>
      <c r="F1153" s="1" t="s">
        <v>835</v>
      </c>
      <c r="G1153" s="1" t="s">
        <v>20435</v>
      </c>
      <c r="H1153" s="1" t="s">
        <v>20436</v>
      </c>
      <c r="I1153" s="1" t="s">
        <v>20437</v>
      </c>
      <c r="J1153" s="1">
        <v>9466906697</v>
      </c>
      <c r="K1153" s="1" t="s">
        <v>148</v>
      </c>
      <c r="L1153" s="1" t="s">
        <v>20438</v>
      </c>
      <c r="M1153" s="1" t="s">
        <v>81</v>
      </c>
      <c r="N1153" s="1" t="s">
        <v>13603</v>
      </c>
      <c r="O1153" s="1"/>
      <c r="P1153" s="1" t="s">
        <v>1323</v>
      </c>
      <c r="Q1153" s="1" t="s">
        <v>20439</v>
      </c>
      <c r="R1153" s="1" t="s">
        <v>444</v>
      </c>
      <c r="S1153" s="1">
        <v>9973081111</v>
      </c>
      <c r="T1153" s="1" t="s">
        <v>496</v>
      </c>
      <c r="U1153" s="1" t="s">
        <v>20440</v>
      </c>
      <c r="V1153" s="1">
        <v>9835627621</v>
      </c>
      <c r="W1153" s="1" t="s">
        <v>89</v>
      </c>
      <c r="X1153" s="1" t="s">
        <v>20441</v>
      </c>
      <c r="Y1153" s="1" t="s">
        <v>5953</v>
      </c>
      <c r="Z1153" s="1" t="s">
        <v>936</v>
      </c>
      <c r="AA1153" s="1" t="s">
        <v>20441</v>
      </c>
      <c r="AB1153" s="1" t="s">
        <v>5953</v>
      </c>
      <c r="AC1153" s="1" t="s">
        <v>936</v>
      </c>
      <c r="AD1153" s="1">
        <v>7.45</v>
      </c>
      <c r="AE1153" s="1" t="s">
        <v>93</v>
      </c>
      <c r="AF1153" s="1" t="s">
        <v>20442</v>
      </c>
      <c r="AG1153" s="1" t="s">
        <v>307</v>
      </c>
      <c r="AH1153" s="1" t="s">
        <v>4549</v>
      </c>
      <c r="AI1153" s="1" t="s">
        <v>4212</v>
      </c>
      <c r="AJ1153" s="1">
        <v>66.5</v>
      </c>
      <c r="AK1153" s="1">
        <v>7</v>
      </c>
      <c r="AL1153" s="1" t="s">
        <v>20442</v>
      </c>
      <c r="AM1153" s="1" t="s">
        <v>307</v>
      </c>
      <c r="AN1153" s="1" t="s">
        <v>477</v>
      </c>
      <c r="AO1153" s="1" t="s">
        <v>503</v>
      </c>
      <c r="AP1153" s="1">
        <v>72.8</v>
      </c>
      <c r="AQ1153" s="1"/>
      <c r="AR1153" s="1"/>
      <c r="AS1153" s="1"/>
      <c r="AT1153" s="1"/>
      <c r="AU1153" s="1"/>
      <c r="AV1153" s="1"/>
      <c r="AW1153" s="1"/>
      <c r="AX1153" s="1" t="s">
        <v>20443</v>
      </c>
      <c r="AY1153" s="1" t="s">
        <v>20444</v>
      </c>
      <c r="AZ1153" s="1" t="s">
        <v>337</v>
      </c>
      <c r="BA1153" s="1" t="s">
        <v>636</v>
      </c>
      <c r="BB1153" s="1">
        <v>84.2</v>
      </c>
      <c r="BC1153" s="1">
        <v>8.42</v>
      </c>
      <c r="BD1153" s="1"/>
      <c r="BE1153" s="1"/>
      <c r="BF1153" s="1"/>
      <c r="BG1153" s="1"/>
      <c r="BH1153" s="1"/>
      <c r="BI1153" s="1"/>
      <c r="BJ1153" s="1" t="s">
        <v>20445</v>
      </c>
      <c r="BK1153" s="1" t="s">
        <v>20446</v>
      </c>
      <c r="BL1153" s="1" t="s">
        <v>7776</v>
      </c>
      <c r="BM1153" s="1"/>
      <c r="BN1153" s="1"/>
      <c r="BO1153" s="1" t="s">
        <v>17695</v>
      </c>
      <c r="BP1153" s="1" t="str">
        <f>HYPERLINK("https://nconnect.nicmar.ac.in/storage/profile/ProfilePhoto_P25701092_936487.jpg","Download")</f>
        <v>0</v>
      </c>
      <c r="BQ1153" s="3"/>
      <c r="BR1153" s="3"/>
    </row>
    <row r="1154" spans="1:70">
      <c r="A1154" s="1" t="s">
        <v>1563</v>
      </c>
      <c r="B1154" s="1" t="s">
        <v>1269</v>
      </c>
      <c r="C1154" s="1" t="s">
        <v>20447</v>
      </c>
      <c r="D1154" s="1" t="s">
        <v>20448</v>
      </c>
      <c r="E1154" s="1" t="s">
        <v>3575</v>
      </c>
      <c r="F1154" s="1" t="s">
        <v>2655</v>
      </c>
      <c r="G1154" s="1" t="s">
        <v>20449</v>
      </c>
      <c r="H1154" s="1" t="s">
        <v>20450</v>
      </c>
      <c r="I1154" s="1" t="s">
        <v>20451</v>
      </c>
      <c r="J1154" s="1">
        <v>8086277999</v>
      </c>
      <c r="K1154" s="1" t="s">
        <v>148</v>
      </c>
      <c r="L1154" s="1" t="s">
        <v>20452</v>
      </c>
      <c r="M1154" s="1" t="s">
        <v>81</v>
      </c>
      <c r="N1154" s="1" t="s">
        <v>20453</v>
      </c>
      <c r="O1154" s="1"/>
      <c r="P1154" s="1" t="s">
        <v>1323</v>
      </c>
      <c r="Q1154" s="1" t="s">
        <v>20454</v>
      </c>
      <c r="R1154" s="1" t="s">
        <v>20455</v>
      </c>
      <c r="S1154" s="1">
        <v>8086777999</v>
      </c>
      <c r="T1154" s="1" t="s">
        <v>5637</v>
      </c>
      <c r="U1154" s="1" t="s">
        <v>20456</v>
      </c>
      <c r="V1154" s="1">
        <v>9946086565</v>
      </c>
      <c r="W1154" s="1" t="s">
        <v>273</v>
      </c>
      <c r="X1154" s="1" t="s">
        <v>20457</v>
      </c>
      <c r="Y1154" s="1" t="s">
        <v>1260</v>
      </c>
      <c r="Z1154" s="1" t="s">
        <v>125</v>
      </c>
      <c r="AA1154" s="1" t="s">
        <v>20457</v>
      </c>
      <c r="AB1154" s="1" t="s">
        <v>1260</v>
      </c>
      <c r="AC1154" s="1" t="s">
        <v>125</v>
      </c>
      <c r="AD1154" s="1">
        <v>8.97</v>
      </c>
      <c r="AE1154" s="1" t="s">
        <v>93</v>
      </c>
      <c r="AF1154" s="1" t="s">
        <v>20458</v>
      </c>
      <c r="AG1154" s="1" t="s">
        <v>19132</v>
      </c>
      <c r="AH1154" s="1" t="s">
        <v>162</v>
      </c>
      <c r="AI1154" s="1" t="s">
        <v>479</v>
      </c>
      <c r="AJ1154" s="1">
        <v>90.83</v>
      </c>
      <c r="AK1154" s="1"/>
      <c r="AL1154" s="1" t="s">
        <v>20459</v>
      </c>
      <c r="AM1154" s="1" t="s">
        <v>894</v>
      </c>
      <c r="AN1154" s="1" t="s">
        <v>101</v>
      </c>
      <c r="AO1154" s="1" t="s">
        <v>308</v>
      </c>
      <c r="AP1154" s="1">
        <v>81.4</v>
      </c>
      <c r="AQ1154" s="1"/>
      <c r="AR1154" s="1"/>
      <c r="AS1154" s="1"/>
      <c r="AT1154" s="1"/>
      <c r="AU1154" s="1"/>
      <c r="AV1154" s="1"/>
      <c r="AW1154" s="1"/>
      <c r="AX1154" s="1" t="s">
        <v>7874</v>
      </c>
      <c r="AY1154" s="1" t="s">
        <v>20460</v>
      </c>
      <c r="AZ1154" s="1" t="s">
        <v>310</v>
      </c>
      <c r="BA1154" s="1" t="s">
        <v>1938</v>
      </c>
      <c r="BB1154" s="1">
        <v>71.6</v>
      </c>
      <c r="BC1154" s="1">
        <v>7.66</v>
      </c>
      <c r="BD1154" s="1"/>
      <c r="BE1154" s="1"/>
      <c r="BF1154" s="1"/>
      <c r="BG1154" s="1"/>
      <c r="BH1154" s="1"/>
      <c r="BI1154" s="1"/>
      <c r="BJ1154" s="1" t="s">
        <v>20461</v>
      </c>
      <c r="BK1154" s="1" t="s">
        <v>20462</v>
      </c>
      <c r="BL1154" s="1" t="s">
        <v>2186</v>
      </c>
      <c r="BM1154" s="1" t="s">
        <v>20463</v>
      </c>
      <c r="BN1154" s="1">
        <v>23</v>
      </c>
      <c r="BO1154" s="1" t="s">
        <v>20464</v>
      </c>
      <c r="BP1154" s="1" t="str">
        <f>HYPERLINK("https://nconnect.nicmar.ac.in/storage/profile/ProfilePhoto_P25701093_486973.jpg","Download")</f>
        <v>0</v>
      </c>
      <c r="BQ1154" s="3"/>
      <c r="BR1154" s="3"/>
    </row>
    <row r="1155" spans="1:70">
      <c r="A1155" s="1" t="s">
        <v>1563</v>
      </c>
      <c r="B1155" s="1" t="s">
        <v>1269</v>
      </c>
      <c r="C1155" s="1" t="s">
        <v>20465</v>
      </c>
      <c r="D1155" s="1" t="s">
        <v>533</v>
      </c>
      <c r="E1155" s="1" t="s">
        <v>7539</v>
      </c>
      <c r="F1155" s="1" t="s">
        <v>20466</v>
      </c>
      <c r="G1155" s="1" t="s">
        <v>20467</v>
      </c>
      <c r="H1155" s="1" t="s">
        <v>20468</v>
      </c>
      <c r="I1155" s="1" t="s">
        <v>20469</v>
      </c>
      <c r="J1155" s="1">
        <v>9730973919</v>
      </c>
      <c r="K1155" s="1" t="s">
        <v>79</v>
      </c>
      <c r="L1155" s="1" t="s">
        <v>17331</v>
      </c>
      <c r="M1155" s="1" t="s">
        <v>81</v>
      </c>
      <c r="N1155" s="1" t="s">
        <v>13951</v>
      </c>
      <c r="O1155" s="1"/>
      <c r="P1155" s="1" t="s">
        <v>1323</v>
      </c>
      <c r="Q1155" s="1" t="s">
        <v>20470</v>
      </c>
      <c r="R1155" s="1" t="s">
        <v>7539</v>
      </c>
      <c r="S1155" s="1">
        <v>9096805125</v>
      </c>
      <c r="T1155" s="1" t="s">
        <v>20471</v>
      </c>
      <c r="U1155" s="1" t="s">
        <v>16209</v>
      </c>
      <c r="V1155" s="1">
        <v>8788885048</v>
      </c>
      <c r="W1155" s="1" t="s">
        <v>156</v>
      </c>
      <c r="X1155" s="1" t="s">
        <v>20472</v>
      </c>
      <c r="Y1155" s="1" t="s">
        <v>219</v>
      </c>
      <c r="Z1155" s="1" t="s">
        <v>92</v>
      </c>
      <c r="AA1155" s="1" t="s">
        <v>20472</v>
      </c>
      <c r="AB1155" s="1" t="s">
        <v>219</v>
      </c>
      <c r="AC1155" s="1" t="s">
        <v>92</v>
      </c>
      <c r="AD1155" s="1">
        <v>8.28</v>
      </c>
      <c r="AE1155" s="1" t="s">
        <v>93</v>
      </c>
      <c r="AF1155" s="1" t="s">
        <v>20473</v>
      </c>
      <c r="AG1155" s="1" t="s">
        <v>3476</v>
      </c>
      <c r="AH1155" s="1" t="s">
        <v>161</v>
      </c>
      <c r="AI1155" s="1" t="s">
        <v>527</v>
      </c>
      <c r="AJ1155" s="1">
        <v>83.6</v>
      </c>
      <c r="AK1155" s="1"/>
      <c r="AL1155" s="1" t="s">
        <v>20474</v>
      </c>
      <c r="AM1155" s="1" t="s">
        <v>3476</v>
      </c>
      <c r="AN1155" s="1" t="s">
        <v>165</v>
      </c>
      <c r="AO1155" s="1" t="s">
        <v>166</v>
      </c>
      <c r="AP1155" s="1">
        <v>65.08</v>
      </c>
      <c r="AQ1155" s="1"/>
      <c r="AR1155" s="1"/>
      <c r="AS1155" s="1"/>
      <c r="AT1155" s="1"/>
      <c r="AU1155" s="1"/>
      <c r="AV1155" s="1"/>
      <c r="AW1155" s="1"/>
      <c r="AX1155" s="1" t="s">
        <v>20475</v>
      </c>
      <c r="AY1155" s="1" t="s">
        <v>20476</v>
      </c>
      <c r="AZ1155" s="1" t="s">
        <v>636</v>
      </c>
      <c r="BA1155" s="1" t="s">
        <v>284</v>
      </c>
      <c r="BB1155" s="1">
        <v>89.58</v>
      </c>
      <c r="BC1155" s="1">
        <v>9.43</v>
      </c>
      <c r="BD1155" s="1"/>
      <c r="BE1155" s="1"/>
      <c r="BF1155" s="1"/>
      <c r="BG1155" s="1"/>
      <c r="BH1155" s="1"/>
      <c r="BI1155" s="1"/>
      <c r="BJ1155" s="1" t="s">
        <v>20477</v>
      </c>
      <c r="BK1155" s="1"/>
      <c r="BL1155" s="1"/>
      <c r="BM1155" s="1" t="s">
        <v>20478</v>
      </c>
      <c r="BN1155" s="1">
        <v>21</v>
      </c>
      <c r="BO1155" s="1" t="s">
        <v>20479</v>
      </c>
      <c r="BP1155" s="1" t="str">
        <f>HYPERLINK("https://nconnect.nicmar.ac.in/storage/profile/ProfilePhoto_P25701094_546218.jpg","Download")</f>
        <v>0</v>
      </c>
      <c r="BQ1155" s="3"/>
      <c r="BR1155" s="3"/>
    </row>
    <row r="1156" spans="1:70">
      <c r="A1156" s="1" t="s">
        <v>1563</v>
      </c>
      <c r="B1156" s="1" t="s">
        <v>1269</v>
      </c>
      <c r="C1156" s="1" t="s">
        <v>20480</v>
      </c>
      <c r="D1156" s="1" t="s">
        <v>20481</v>
      </c>
      <c r="E1156" s="1"/>
      <c r="F1156" s="1" t="s">
        <v>1874</v>
      </c>
      <c r="G1156" s="1" t="s">
        <v>20482</v>
      </c>
      <c r="H1156" s="1" t="s">
        <v>20483</v>
      </c>
      <c r="I1156" s="1" t="s">
        <v>20484</v>
      </c>
      <c r="J1156" s="1">
        <v>9400878285</v>
      </c>
      <c r="K1156" s="1" t="s">
        <v>79</v>
      </c>
      <c r="L1156" s="1" t="s">
        <v>1531</v>
      </c>
      <c r="M1156" s="1" t="s">
        <v>81</v>
      </c>
      <c r="N1156" s="1" t="s">
        <v>116</v>
      </c>
      <c r="O1156" s="1"/>
      <c r="P1156" s="1" t="s">
        <v>1278</v>
      </c>
      <c r="Q1156" s="1" t="s">
        <v>20485</v>
      </c>
      <c r="R1156" s="1" t="s">
        <v>20486</v>
      </c>
      <c r="S1156" s="1">
        <v>9495282885</v>
      </c>
      <c r="T1156" s="1" t="s">
        <v>20487</v>
      </c>
      <c r="U1156" s="1" t="s">
        <v>20488</v>
      </c>
      <c r="V1156" s="1">
        <v>9778750339</v>
      </c>
      <c r="W1156" s="1" t="s">
        <v>273</v>
      </c>
      <c r="X1156" s="1" t="s">
        <v>20489</v>
      </c>
      <c r="Y1156" s="1" t="s">
        <v>1401</v>
      </c>
      <c r="Z1156" s="1" t="s">
        <v>125</v>
      </c>
      <c r="AA1156" s="1" t="s">
        <v>20489</v>
      </c>
      <c r="AB1156" s="1" t="s">
        <v>1401</v>
      </c>
      <c r="AC1156" s="1" t="s">
        <v>125</v>
      </c>
      <c r="AD1156" s="1">
        <v>8.63</v>
      </c>
      <c r="AE1156" s="1" t="s">
        <v>93</v>
      </c>
      <c r="AF1156" s="1" t="s">
        <v>7732</v>
      </c>
      <c r="AG1156" s="1" t="s">
        <v>894</v>
      </c>
      <c r="AH1156" s="1" t="s">
        <v>165</v>
      </c>
      <c r="AI1156" s="1" t="s">
        <v>166</v>
      </c>
      <c r="AJ1156" s="1">
        <v>69.8</v>
      </c>
      <c r="AK1156" s="1"/>
      <c r="AL1156" s="1" t="s">
        <v>20490</v>
      </c>
      <c r="AM1156" s="1" t="s">
        <v>20408</v>
      </c>
      <c r="AN1156" s="1" t="s">
        <v>433</v>
      </c>
      <c r="AO1156" s="1" t="s">
        <v>173</v>
      </c>
      <c r="AP1156" s="1">
        <v>77.1</v>
      </c>
      <c r="AQ1156" s="1"/>
      <c r="AR1156" s="1"/>
      <c r="AS1156" s="1"/>
      <c r="AT1156" s="1"/>
      <c r="AU1156" s="1"/>
      <c r="AV1156" s="1"/>
      <c r="AW1156" s="1"/>
      <c r="AX1156" s="1" t="s">
        <v>20491</v>
      </c>
      <c r="AY1156" s="1" t="s">
        <v>20492</v>
      </c>
      <c r="AZ1156" s="1" t="s">
        <v>2461</v>
      </c>
      <c r="BA1156" s="1" t="s">
        <v>413</v>
      </c>
      <c r="BB1156" s="1">
        <v>69.3</v>
      </c>
      <c r="BC1156" s="1">
        <v>6.93</v>
      </c>
      <c r="BD1156" s="1"/>
      <c r="BE1156" s="1"/>
      <c r="BF1156" s="1"/>
      <c r="BG1156" s="1"/>
      <c r="BH1156" s="1"/>
      <c r="BI1156" s="1"/>
      <c r="BJ1156" s="1" t="s">
        <v>9996</v>
      </c>
      <c r="BK1156" s="1"/>
      <c r="BL1156" s="1"/>
      <c r="BM1156" s="1" t="s">
        <v>20493</v>
      </c>
      <c r="BN1156" s="1">
        <v>56</v>
      </c>
      <c r="BO1156" s="1" t="s">
        <v>20494</v>
      </c>
      <c r="BP1156" s="1" t="str">
        <f>HYPERLINK("https://nconnect.nicmar.ac.in/storage/profile/ProfilePhoto_P25701095_712486.jpg","Download")</f>
        <v>0</v>
      </c>
      <c r="BQ1156" s="3"/>
      <c r="BR1156" s="3"/>
    </row>
    <row r="1157" spans="1:70">
      <c r="A1157" s="1" t="s">
        <v>1563</v>
      </c>
      <c r="B1157" s="1" t="s">
        <v>1269</v>
      </c>
      <c r="C1157" s="1" t="s">
        <v>20495</v>
      </c>
      <c r="D1157" s="1" t="s">
        <v>20496</v>
      </c>
      <c r="E1157" s="1" t="s">
        <v>6466</v>
      </c>
      <c r="F1157" s="1" t="s">
        <v>20497</v>
      </c>
      <c r="G1157" s="1" t="s">
        <v>20498</v>
      </c>
      <c r="H1157" s="1" t="s">
        <v>20499</v>
      </c>
      <c r="I1157" s="1" t="s">
        <v>20500</v>
      </c>
      <c r="J1157" s="1">
        <v>9890631803</v>
      </c>
      <c r="K1157" s="1" t="s">
        <v>148</v>
      </c>
      <c r="L1157" s="1" t="s">
        <v>20501</v>
      </c>
      <c r="M1157" s="1" t="s">
        <v>81</v>
      </c>
      <c r="N1157" s="1" t="s">
        <v>3847</v>
      </c>
      <c r="O1157" s="1"/>
      <c r="P1157" s="1" t="s">
        <v>1323</v>
      </c>
      <c r="Q1157" s="1" t="s">
        <v>20502</v>
      </c>
      <c r="R1157" s="1" t="s">
        <v>20503</v>
      </c>
      <c r="S1157" s="1">
        <v>9890631803</v>
      </c>
      <c r="T1157" s="1" t="s">
        <v>122</v>
      </c>
      <c r="U1157" s="1" t="s">
        <v>20504</v>
      </c>
      <c r="V1157" s="1">
        <v>9890631803</v>
      </c>
      <c r="W1157" s="1" t="s">
        <v>273</v>
      </c>
      <c r="X1157" s="1" t="s">
        <v>20505</v>
      </c>
      <c r="Y1157" s="1" t="s">
        <v>1174</v>
      </c>
      <c r="Z1157" s="1" t="s">
        <v>92</v>
      </c>
      <c r="AA1157" s="1" t="s">
        <v>20505</v>
      </c>
      <c r="AB1157" s="1" t="s">
        <v>1174</v>
      </c>
      <c r="AC1157" s="1" t="s">
        <v>92</v>
      </c>
      <c r="AD1157" s="1">
        <v>8.28</v>
      </c>
      <c r="AE1157" s="1" t="s">
        <v>93</v>
      </c>
      <c r="AF1157" s="1" t="s">
        <v>20506</v>
      </c>
      <c r="AG1157" s="1" t="s">
        <v>544</v>
      </c>
      <c r="AH1157" s="1" t="s">
        <v>1307</v>
      </c>
      <c r="AI1157" s="1" t="s">
        <v>409</v>
      </c>
      <c r="AJ1157" s="1">
        <v>75.6</v>
      </c>
      <c r="AK1157" s="1">
        <v>0</v>
      </c>
      <c r="AL1157" s="1" t="s">
        <v>20507</v>
      </c>
      <c r="AM1157" s="1" t="s">
        <v>5856</v>
      </c>
      <c r="AN1157" s="1" t="s">
        <v>1833</v>
      </c>
      <c r="AO1157" s="1" t="s">
        <v>1712</v>
      </c>
      <c r="AP1157" s="1">
        <v>81.83</v>
      </c>
      <c r="AQ1157" s="1">
        <v>0</v>
      </c>
      <c r="AR1157" s="1"/>
      <c r="AS1157" s="1"/>
      <c r="AT1157" s="1"/>
      <c r="AU1157" s="1"/>
      <c r="AV1157" s="1"/>
      <c r="AW1157" s="1"/>
      <c r="AX1157" s="1" t="s">
        <v>361</v>
      </c>
      <c r="AY1157" s="1" t="s">
        <v>20508</v>
      </c>
      <c r="AZ1157" s="1" t="s">
        <v>436</v>
      </c>
      <c r="BA1157" s="1" t="s">
        <v>1361</v>
      </c>
      <c r="BB1157" s="1">
        <v>68.7</v>
      </c>
      <c r="BC1157" s="1">
        <v>7.62</v>
      </c>
      <c r="BD1157" s="1"/>
      <c r="BE1157" s="1"/>
      <c r="BF1157" s="1"/>
      <c r="BG1157" s="1"/>
      <c r="BH1157" s="1"/>
      <c r="BI1157" s="1"/>
      <c r="BJ1157" s="1" t="s">
        <v>20509</v>
      </c>
      <c r="BK1157" s="1"/>
      <c r="BL1157" s="1"/>
      <c r="BM1157" s="1" t="s">
        <v>20510</v>
      </c>
      <c r="BN1157" s="1">
        <v>3</v>
      </c>
      <c r="BO1157" s="1"/>
      <c r="BP1157" s="1" t="str">
        <f>HYPERLINK("https://nconnect.nicmar.ac.in/storage/profile/ProfilePhoto_P25701097_691845.jpg","Download")</f>
        <v>0</v>
      </c>
      <c r="BQ1157" s="3"/>
      <c r="BR1157" s="3"/>
    </row>
    <row r="1158" spans="1:70">
      <c r="A1158" s="1" t="s">
        <v>1563</v>
      </c>
      <c r="B1158" s="1" t="s">
        <v>1269</v>
      </c>
      <c r="C1158" s="1" t="s">
        <v>20511</v>
      </c>
      <c r="D1158" s="1" t="s">
        <v>20512</v>
      </c>
      <c r="E1158" s="1" t="s">
        <v>6466</v>
      </c>
      <c r="F1158" s="1" t="s">
        <v>20513</v>
      </c>
      <c r="G1158" s="1" t="s">
        <v>20514</v>
      </c>
      <c r="H1158" s="1" t="s">
        <v>20515</v>
      </c>
      <c r="I1158" s="1" t="s">
        <v>20516</v>
      </c>
      <c r="J1158" s="1">
        <v>9152324205</v>
      </c>
      <c r="K1158" s="1" t="s">
        <v>148</v>
      </c>
      <c r="L1158" s="1" t="s">
        <v>20517</v>
      </c>
      <c r="M1158" s="1" t="s">
        <v>81</v>
      </c>
      <c r="N1158" s="1" t="s">
        <v>13603</v>
      </c>
      <c r="O1158" s="1"/>
      <c r="P1158" s="1" t="s">
        <v>1766</v>
      </c>
      <c r="Q1158" s="1" t="s">
        <v>20518</v>
      </c>
      <c r="R1158" s="1" t="s">
        <v>6466</v>
      </c>
      <c r="S1158" s="1">
        <v>9819448052</v>
      </c>
      <c r="T1158" s="1" t="s">
        <v>4672</v>
      </c>
      <c r="U1158" s="1" t="s">
        <v>20519</v>
      </c>
      <c r="V1158" s="1">
        <v>9819448052</v>
      </c>
      <c r="W1158" s="1" t="s">
        <v>156</v>
      </c>
      <c r="X1158" s="1" t="s">
        <v>20520</v>
      </c>
      <c r="Y1158" s="1" t="s">
        <v>995</v>
      </c>
      <c r="Z1158" s="1" t="s">
        <v>92</v>
      </c>
      <c r="AA1158" s="1" t="s">
        <v>20520</v>
      </c>
      <c r="AB1158" s="1" t="s">
        <v>995</v>
      </c>
      <c r="AC1158" s="1" t="s">
        <v>92</v>
      </c>
      <c r="AD1158" s="1">
        <v>9.19</v>
      </c>
      <c r="AE1158" s="1" t="s">
        <v>93</v>
      </c>
      <c r="AF1158" s="1" t="s">
        <v>20521</v>
      </c>
      <c r="AG1158" s="1" t="s">
        <v>5086</v>
      </c>
      <c r="AH1158" s="1" t="s">
        <v>998</v>
      </c>
      <c r="AI1158" s="1" t="s">
        <v>999</v>
      </c>
      <c r="AJ1158" s="1">
        <v>93</v>
      </c>
      <c r="AK1158" s="1">
        <v>0</v>
      </c>
      <c r="AL1158" s="1" t="s">
        <v>20522</v>
      </c>
      <c r="AM1158" s="1" t="s">
        <v>5086</v>
      </c>
      <c r="AN1158" s="1" t="s">
        <v>161</v>
      </c>
      <c r="AO1158" s="1" t="s">
        <v>1001</v>
      </c>
      <c r="AP1158" s="1">
        <v>82.31</v>
      </c>
      <c r="AQ1158" s="1">
        <v>0</v>
      </c>
      <c r="AR1158" s="1"/>
      <c r="AS1158" s="1"/>
      <c r="AT1158" s="1"/>
      <c r="AU1158" s="1"/>
      <c r="AV1158" s="1"/>
      <c r="AW1158" s="1"/>
      <c r="AX1158" s="1" t="s">
        <v>1024</v>
      </c>
      <c r="AY1158" s="1" t="s">
        <v>20523</v>
      </c>
      <c r="AZ1158" s="1" t="s">
        <v>162</v>
      </c>
      <c r="BA1158" s="1" t="s">
        <v>1131</v>
      </c>
      <c r="BB1158" s="1">
        <v>67.72</v>
      </c>
      <c r="BC1158" s="1">
        <v>7.78</v>
      </c>
      <c r="BD1158" s="1"/>
      <c r="BE1158" s="1"/>
      <c r="BF1158" s="1"/>
      <c r="BG1158" s="1"/>
      <c r="BH1158" s="1"/>
      <c r="BI1158" s="1"/>
      <c r="BJ1158" s="1" t="s">
        <v>364</v>
      </c>
      <c r="BK1158" s="1" t="s">
        <v>20524</v>
      </c>
      <c r="BL1158" s="1" t="s">
        <v>1202</v>
      </c>
      <c r="BM1158" s="1" t="s">
        <v>20525</v>
      </c>
      <c r="BN1158" s="1">
        <v>27</v>
      </c>
      <c r="BO1158" s="1" t="s">
        <v>20526</v>
      </c>
      <c r="BP1158" s="1" t="str">
        <f>HYPERLINK("https://nconnect.nicmar.ac.in/storage/profile/ProfilePhoto_P25701098_726394.jpg","Download")</f>
        <v>0</v>
      </c>
      <c r="BQ1158" s="3"/>
      <c r="BR1158" s="3"/>
    </row>
    <row r="1159" spans="1:70">
      <c r="A1159" s="1" t="s">
        <v>1563</v>
      </c>
      <c r="B1159" s="1" t="s">
        <v>1269</v>
      </c>
      <c r="C1159" s="1" t="s">
        <v>20527</v>
      </c>
      <c r="D1159" s="1" t="s">
        <v>2345</v>
      </c>
      <c r="E1159" s="1" t="s">
        <v>8688</v>
      </c>
      <c r="F1159" s="1" t="s">
        <v>16979</v>
      </c>
      <c r="G1159" s="1" t="s">
        <v>20528</v>
      </c>
      <c r="H1159" s="1" t="s">
        <v>20529</v>
      </c>
      <c r="I1159" s="1" t="s">
        <v>20530</v>
      </c>
      <c r="J1159" s="1">
        <v>9405938803</v>
      </c>
      <c r="K1159" s="1" t="s">
        <v>79</v>
      </c>
      <c r="L1159" s="1" t="s">
        <v>4020</v>
      </c>
      <c r="M1159" s="1" t="s">
        <v>81</v>
      </c>
      <c r="N1159" s="1" t="s">
        <v>2008</v>
      </c>
      <c r="O1159" s="1"/>
      <c r="P1159" s="1" t="s">
        <v>1766</v>
      </c>
      <c r="Q1159" s="1" t="s">
        <v>20531</v>
      </c>
      <c r="R1159" s="1" t="s">
        <v>20532</v>
      </c>
      <c r="S1159" s="1">
        <v>9822658872</v>
      </c>
      <c r="T1159" s="1" t="s">
        <v>472</v>
      </c>
      <c r="U1159" s="1" t="s">
        <v>20533</v>
      </c>
      <c r="V1159" s="1">
        <v>9404464961</v>
      </c>
      <c r="W1159" s="1" t="s">
        <v>472</v>
      </c>
      <c r="X1159" s="1" t="s">
        <v>20534</v>
      </c>
      <c r="Y1159" s="1" t="s">
        <v>191</v>
      </c>
      <c r="Z1159" s="1" t="s">
        <v>92</v>
      </c>
      <c r="AA1159" s="1" t="s">
        <v>20535</v>
      </c>
      <c r="AB1159" s="1" t="s">
        <v>5767</v>
      </c>
      <c r="AC1159" s="1" t="s">
        <v>92</v>
      </c>
      <c r="AD1159" s="1">
        <v>8.43</v>
      </c>
      <c r="AE1159" s="1" t="s">
        <v>93</v>
      </c>
      <c r="AF1159" s="1" t="s">
        <v>20536</v>
      </c>
      <c r="AG1159" s="1" t="s">
        <v>544</v>
      </c>
      <c r="AH1159" s="1" t="s">
        <v>279</v>
      </c>
      <c r="AI1159" s="1" t="s">
        <v>195</v>
      </c>
      <c r="AJ1159" s="1">
        <v>88</v>
      </c>
      <c r="AK1159" s="1"/>
      <c r="AL1159" s="1" t="s">
        <v>20537</v>
      </c>
      <c r="AM1159" s="1" t="s">
        <v>544</v>
      </c>
      <c r="AN1159" s="1" t="s">
        <v>281</v>
      </c>
      <c r="AO1159" s="1" t="s">
        <v>198</v>
      </c>
      <c r="AP1159" s="1">
        <v>60.62</v>
      </c>
      <c r="AQ1159" s="1"/>
      <c r="AR1159" s="1"/>
      <c r="AS1159" s="1"/>
      <c r="AT1159" s="1"/>
      <c r="AU1159" s="1"/>
      <c r="AV1159" s="1"/>
      <c r="AW1159" s="1"/>
      <c r="AX1159" s="1" t="s">
        <v>3065</v>
      </c>
      <c r="AY1159" s="1" t="s">
        <v>20538</v>
      </c>
      <c r="AZ1159" s="1" t="s">
        <v>201</v>
      </c>
      <c r="BA1159" s="1" t="s">
        <v>682</v>
      </c>
      <c r="BB1159" s="1">
        <v>79</v>
      </c>
      <c r="BC1159" s="1">
        <v>8.25</v>
      </c>
      <c r="BD1159" s="1"/>
      <c r="BE1159" s="1"/>
      <c r="BF1159" s="1"/>
      <c r="BG1159" s="1"/>
      <c r="BH1159" s="1"/>
      <c r="BI1159" s="1"/>
      <c r="BJ1159" s="1" t="s">
        <v>20539</v>
      </c>
      <c r="BK1159" s="1" t="s">
        <v>20540</v>
      </c>
      <c r="BL1159" s="1" t="s">
        <v>4917</v>
      </c>
      <c r="BM1159" s="1"/>
      <c r="BN1159" s="1"/>
      <c r="BO1159" s="1" t="s">
        <v>20541</v>
      </c>
      <c r="BP1159" s="1" t="str">
        <f>HYPERLINK("https://nconnect.nicmar.ac.in/storage/profile/ProfilePhoto_P25701099_675183.jpg","Download")</f>
        <v>0</v>
      </c>
      <c r="BQ1159" s="3"/>
      <c r="BR1159" s="3"/>
    </row>
    <row r="1160" spans="1:70">
      <c r="A1160" s="1" t="s">
        <v>1563</v>
      </c>
      <c r="B1160" s="1" t="s">
        <v>1269</v>
      </c>
      <c r="C1160" s="1" t="s">
        <v>20542</v>
      </c>
      <c r="D1160" s="1" t="s">
        <v>5778</v>
      </c>
      <c r="E1160" s="1"/>
      <c r="F1160" s="1" t="s">
        <v>20543</v>
      </c>
      <c r="G1160" s="1" t="s">
        <v>20544</v>
      </c>
      <c r="H1160" s="1" t="s">
        <v>20545</v>
      </c>
      <c r="I1160" s="1" t="s">
        <v>20546</v>
      </c>
      <c r="J1160" s="1">
        <v>8744008487</v>
      </c>
      <c r="K1160" s="1" t="s">
        <v>148</v>
      </c>
      <c r="L1160" s="1" t="s">
        <v>20547</v>
      </c>
      <c r="M1160" s="1" t="s">
        <v>81</v>
      </c>
      <c r="N1160" s="1" t="s">
        <v>1950</v>
      </c>
      <c r="O1160" s="1" t="s">
        <v>20548</v>
      </c>
      <c r="P1160" s="1" t="s">
        <v>1323</v>
      </c>
      <c r="Q1160" s="1" t="s">
        <v>20549</v>
      </c>
      <c r="R1160" s="1" t="s">
        <v>20550</v>
      </c>
      <c r="S1160" s="1">
        <v>8527696836</v>
      </c>
      <c r="T1160" s="1" t="s">
        <v>4672</v>
      </c>
      <c r="U1160" s="1" t="s">
        <v>20551</v>
      </c>
      <c r="V1160" s="1">
        <v>9811513381</v>
      </c>
      <c r="W1160" s="1" t="s">
        <v>89</v>
      </c>
      <c r="X1160" s="1" t="s">
        <v>20552</v>
      </c>
      <c r="Y1160" s="1" t="s">
        <v>19660</v>
      </c>
      <c r="Z1160" s="1" t="s">
        <v>722</v>
      </c>
      <c r="AA1160" s="1" t="s">
        <v>20552</v>
      </c>
      <c r="AB1160" s="1" t="s">
        <v>19660</v>
      </c>
      <c r="AC1160" s="1" t="s">
        <v>722</v>
      </c>
      <c r="AD1160" s="1">
        <v>9.11</v>
      </c>
      <c r="AE1160" s="1" t="s">
        <v>93</v>
      </c>
      <c r="AF1160" s="1" t="s">
        <v>20553</v>
      </c>
      <c r="AG1160" s="1" t="s">
        <v>9678</v>
      </c>
      <c r="AH1160" s="1" t="s">
        <v>503</v>
      </c>
      <c r="AI1160" s="1" t="s">
        <v>456</v>
      </c>
      <c r="AJ1160" s="1">
        <v>95</v>
      </c>
      <c r="AK1160" s="1">
        <v>10</v>
      </c>
      <c r="AL1160" s="1" t="s">
        <v>20553</v>
      </c>
      <c r="AM1160" s="1" t="s">
        <v>9678</v>
      </c>
      <c r="AN1160" s="1" t="s">
        <v>678</v>
      </c>
      <c r="AO1160" s="1" t="s">
        <v>281</v>
      </c>
      <c r="AP1160" s="1">
        <v>91.2</v>
      </c>
      <c r="AQ1160" s="1">
        <v>0</v>
      </c>
      <c r="AR1160" s="1"/>
      <c r="AS1160" s="1"/>
      <c r="AT1160" s="1"/>
      <c r="AU1160" s="1"/>
      <c r="AV1160" s="1"/>
      <c r="AW1160" s="1"/>
      <c r="AX1160" s="1" t="s">
        <v>3349</v>
      </c>
      <c r="AY1160" s="1" t="s">
        <v>20554</v>
      </c>
      <c r="AZ1160" s="1" t="s">
        <v>636</v>
      </c>
      <c r="BA1160" s="1" t="s">
        <v>1003</v>
      </c>
      <c r="BB1160" s="1">
        <v>84.3</v>
      </c>
      <c r="BC1160" s="1">
        <v>8.43</v>
      </c>
      <c r="BD1160" s="1"/>
      <c r="BE1160" s="1"/>
      <c r="BF1160" s="1"/>
      <c r="BG1160" s="1"/>
      <c r="BH1160" s="1"/>
      <c r="BI1160" s="1"/>
      <c r="BJ1160" s="1" t="s">
        <v>20555</v>
      </c>
      <c r="BK1160" s="1" t="s">
        <v>20556</v>
      </c>
      <c r="BL1160" s="1" t="s">
        <v>340</v>
      </c>
      <c r="BM1160" s="1" t="s">
        <v>20557</v>
      </c>
      <c r="BN1160" s="1">
        <v>5</v>
      </c>
      <c r="BO1160" s="1"/>
      <c r="BP1160" s="1" t="str">
        <f>HYPERLINK("https://nconnect.nicmar.ac.in/storage/profile/ProfilePhoto_P25701100_954627.jpg","Download")</f>
        <v>0</v>
      </c>
      <c r="BQ1160" s="3"/>
      <c r="BR1160" s="3"/>
    </row>
    <row r="1161" spans="1:70">
      <c r="A1161" s="1" t="s">
        <v>1563</v>
      </c>
      <c r="B1161" s="1" t="s">
        <v>1269</v>
      </c>
      <c r="C1161" s="1" t="s">
        <v>20558</v>
      </c>
      <c r="D1161" s="1" t="s">
        <v>3180</v>
      </c>
      <c r="E1161" s="1" t="s">
        <v>368</v>
      </c>
      <c r="F1161" s="1" t="s">
        <v>20559</v>
      </c>
      <c r="G1161" s="1" t="s">
        <v>20560</v>
      </c>
      <c r="H1161" s="1" t="s">
        <v>20561</v>
      </c>
      <c r="I1161" s="1" t="s">
        <v>20562</v>
      </c>
      <c r="J1161" s="1">
        <v>8693861231</v>
      </c>
      <c r="K1161" s="1" t="s">
        <v>79</v>
      </c>
      <c r="L1161" s="1" t="s">
        <v>20563</v>
      </c>
      <c r="M1161" s="1" t="s">
        <v>81</v>
      </c>
      <c r="N1161" s="1" t="s">
        <v>860</v>
      </c>
      <c r="O1161" s="1"/>
      <c r="P1161" s="1" t="s">
        <v>1323</v>
      </c>
      <c r="Q1161" s="1" t="s">
        <v>20564</v>
      </c>
      <c r="R1161" s="1" t="s">
        <v>20565</v>
      </c>
      <c r="S1161" s="1">
        <v>9833531682</v>
      </c>
      <c r="T1161" s="1" t="s">
        <v>7415</v>
      </c>
      <c r="U1161" s="1" t="s">
        <v>20566</v>
      </c>
      <c r="V1161" s="1">
        <v>9833545101</v>
      </c>
      <c r="W1161" s="1" t="s">
        <v>651</v>
      </c>
      <c r="X1161" s="1" t="s">
        <v>20567</v>
      </c>
      <c r="Y1161" s="1" t="s">
        <v>766</v>
      </c>
      <c r="Z1161" s="1" t="s">
        <v>92</v>
      </c>
      <c r="AA1161" s="1" t="s">
        <v>20567</v>
      </c>
      <c r="AB1161" s="1" t="s">
        <v>766</v>
      </c>
      <c r="AC1161" s="1" t="s">
        <v>92</v>
      </c>
      <c r="AD1161" s="1" t="s">
        <v>93</v>
      </c>
      <c r="AE1161" s="1" t="s">
        <v>93</v>
      </c>
      <c r="AF1161" s="1" t="s">
        <v>20568</v>
      </c>
      <c r="AG1161" s="1" t="s">
        <v>3853</v>
      </c>
      <c r="AH1161" s="1" t="s">
        <v>162</v>
      </c>
      <c r="AI1161" s="1" t="s">
        <v>195</v>
      </c>
      <c r="AJ1161" s="1">
        <v>76.8</v>
      </c>
      <c r="AK1161" s="1">
        <v>0</v>
      </c>
      <c r="AL1161" s="1"/>
      <c r="AM1161" s="1"/>
      <c r="AN1161" s="1"/>
      <c r="AO1161" s="1"/>
      <c r="AP1161" s="1"/>
      <c r="AQ1161" s="1"/>
      <c r="AR1161" s="1" t="s">
        <v>98</v>
      </c>
      <c r="AS1161" s="1" t="s">
        <v>20569</v>
      </c>
      <c r="AT1161" s="1" t="s">
        <v>383</v>
      </c>
      <c r="AU1161" s="1" t="s">
        <v>1833</v>
      </c>
      <c r="AV1161" s="1">
        <v>70.68</v>
      </c>
      <c r="AW1161" s="1">
        <v>0</v>
      </c>
      <c r="AX1161" s="1" t="s">
        <v>253</v>
      </c>
      <c r="AY1161" s="1" t="s">
        <v>20570</v>
      </c>
      <c r="AZ1161" s="1" t="s">
        <v>681</v>
      </c>
      <c r="BA1161" s="1" t="s">
        <v>944</v>
      </c>
      <c r="BB1161" s="1">
        <v>67.18</v>
      </c>
      <c r="BC1161" s="1">
        <v>7.54</v>
      </c>
      <c r="BD1161" s="1"/>
      <c r="BE1161" s="1"/>
      <c r="BF1161" s="1"/>
      <c r="BG1161" s="1"/>
      <c r="BH1161" s="1"/>
      <c r="BI1161" s="1"/>
      <c r="BJ1161" s="1" t="s">
        <v>2631</v>
      </c>
      <c r="BK1161" s="1" t="s">
        <v>20571</v>
      </c>
      <c r="BL1161" s="1" t="s">
        <v>8309</v>
      </c>
      <c r="BM1161" s="1" t="s">
        <v>20572</v>
      </c>
      <c r="BN1161" s="1">
        <v>5</v>
      </c>
      <c r="BO1161" s="1" t="s">
        <v>20573</v>
      </c>
      <c r="BP1161" s="1" t="str">
        <f>HYPERLINK("https://nconnect.nicmar.ac.in/storage/profile/ProfilePhoto_P25701101_637518.jpg","Download")</f>
        <v>0</v>
      </c>
      <c r="BQ1161" s="3"/>
      <c r="BR1161" s="3"/>
    </row>
    <row r="1162" spans="1:70">
      <c r="A1162" s="1" t="s">
        <v>1563</v>
      </c>
      <c r="B1162" s="1" t="s">
        <v>1269</v>
      </c>
      <c r="C1162" s="1" t="s">
        <v>20574</v>
      </c>
      <c r="D1162" s="1" t="s">
        <v>707</v>
      </c>
      <c r="E1162" s="1" t="s">
        <v>8300</v>
      </c>
      <c r="F1162" s="1" t="s">
        <v>20575</v>
      </c>
      <c r="G1162" s="1" t="s">
        <v>20576</v>
      </c>
      <c r="H1162" s="1" t="s">
        <v>20577</v>
      </c>
      <c r="I1162" s="1" t="s">
        <v>20578</v>
      </c>
      <c r="J1162" s="1">
        <v>7218656369</v>
      </c>
      <c r="K1162" s="1" t="s">
        <v>79</v>
      </c>
      <c r="L1162" s="1" t="s">
        <v>20579</v>
      </c>
      <c r="M1162" s="1" t="s">
        <v>81</v>
      </c>
      <c r="N1162" s="1" t="s">
        <v>20580</v>
      </c>
      <c r="O1162" s="1" t="s">
        <v>20581</v>
      </c>
      <c r="P1162" s="1" t="s">
        <v>1766</v>
      </c>
      <c r="Q1162" s="1" t="s">
        <v>20582</v>
      </c>
      <c r="R1162" s="1" t="s">
        <v>20583</v>
      </c>
      <c r="S1162" s="1">
        <v>9922404837</v>
      </c>
      <c r="T1162" s="1" t="s">
        <v>496</v>
      </c>
      <c r="U1162" s="1" t="s">
        <v>20584</v>
      </c>
      <c r="V1162" s="1">
        <v>8669241127</v>
      </c>
      <c r="W1162" s="1" t="s">
        <v>273</v>
      </c>
      <c r="X1162" s="1" t="s">
        <v>20585</v>
      </c>
      <c r="Y1162" s="1" t="s">
        <v>191</v>
      </c>
      <c r="Z1162" s="1" t="s">
        <v>92</v>
      </c>
      <c r="AA1162" s="1" t="s">
        <v>20585</v>
      </c>
      <c r="AB1162" s="1" t="s">
        <v>191</v>
      </c>
      <c r="AC1162" s="1" t="s">
        <v>92</v>
      </c>
      <c r="AD1162" s="1" t="s">
        <v>93</v>
      </c>
      <c r="AE1162" s="1" t="s">
        <v>93</v>
      </c>
      <c r="AF1162" s="1" t="s">
        <v>20586</v>
      </c>
      <c r="AG1162" s="1" t="s">
        <v>4438</v>
      </c>
      <c r="AH1162" s="1" t="s">
        <v>97</v>
      </c>
      <c r="AI1162" s="1" t="s">
        <v>456</v>
      </c>
      <c r="AJ1162" s="1">
        <v>80.6</v>
      </c>
      <c r="AK1162" s="1">
        <v>0</v>
      </c>
      <c r="AL1162" s="1" t="s">
        <v>20587</v>
      </c>
      <c r="AM1162" s="1" t="s">
        <v>4438</v>
      </c>
      <c r="AN1162" s="1" t="s">
        <v>134</v>
      </c>
      <c r="AO1162" s="1" t="s">
        <v>166</v>
      </c>
      <c r="AP1162" s="1">
        <v>61.23</v>
      </c>
      <c r="AQ1162" s="1">
        <v>0</v>
      </c>
      <c r="AR1162" s="1"/>
      <c r="AS1162" s="1"/>
      <c r="AT1162" s="1"/>
      <c r="AU1162" s="1"/>
      <c r="AV1162" s="1"/>
      <c r="AW1162" s="1"/>
      <c r="AX1162" s="1" t="s">
        <v>361</v>
      </c>
      <c r="AY1162" s="1" t="s">
        <v>20588</v>
      </c>
      <c r="AZ1162" s="1" t="s">
        <v>101</v>
      </c>
      <c r="BA1162" s="1" t="s">
        <v>590</v>
      </c>
      <c r="BB1162" s="1">
        <v>79.36</v>
      </c>
      <c r="BC1162" s="1">
        <v>8.68</v>
      </c>
      <c r="BD1162" s="1"/>
      <c r="BE1162" s="1"/>
      <c r="BF1162" s="1"/>
      <c r="BG1162" s="1"/>
      <c r="BH1162" s="1"/>
      <c r="BI1162" s="1"/>
      <c r="BJ1162" s="1" t="s">
        <v>20589</v>
      </c>
      <c r="BK1162" s="1" t="s">
        <v>20590</v>
      </c>
      <c r="BL1162" s="1" t="s">
        <v>4917</v>
      </c>
      <c r="BM1162" s="1" t="s">
        <v>20591</v>
      </c>
      <c r="BN1162" s="1">
        <v>21</v>
      </c>
      <c r="BO1162" s="1"/>
      <c r="BP1162" s="1" t="str">
        <f>HYPERLINK("https://nconnect.nicmar.ac.in/storage/profile/ProfilePhoto_P25701102_496235.jpg","Download")</f>
        <v>0</v>
      </c>
      <c r="BQ1162" s="3"/>
      <c r="BR1162" s="3"/>
    </row>
    <row r="1163" spans="1:70">
      <c r="A1163" s="1" t="s">
        <v>1563</v>
      </c>
      <c r="B1163" s="1" t="s">
        <v>1269</v>
      </c>
      <c r="C1163" s="1" t="s">
        <v>20592</v>
      </c>
      <c r="D1163" s="1" t="s">
        <v>20593</v>
      </c>
      <c r="E1163" s="1"/>
      <c r="F1163" s="1" t="s">
        <v>9950</v>
      </c>
      <c r="G1163" s="1" t="s">
        <v>20594</v>
      </c>
      <c r="H1163" s="1" t="s">
        <v>20595</v>
      </c>
      <c r="I1163" s="1" t="s">
        <v>20596</v>
      </c>
      <c r="J1163" s="1">
        <v>8075609422</v>
      </c>
      <c r="K1163" s="1" t="s">
        <v>148</v>
      </c>
      <c r="L1163" s="1" t="s">
        <v>6842</v>
      </c>
      <c r="M1163" s="1" t="s">
        <v>81</v>
      </c>
      <c r="N1163" s="1" t="s">
        <v>20597</v>
      </c>
      <c r="O1163" s="1"/>
      <c r="P1163" s="1" t="s">
        <v>1323</v>
      </c>
      <c r="Q1163" s="1" t="s">
        <v>20598</v>
      </c>
      <c r="R1163" s="1" t="s">
        <v>20599</v>
      </c>
      <c r="S1163" s="1">
        <v>9895392174</v>
      </c>
      <c r="T1163" s="1" t="s">
        <v>20600</v>
      </c>
      <c r="U1163" s="1" t="s">
        <v>20601</v>
      </c>
      <c r="V1163" s="1">
        <v>9497780012</v>
      </c>
      <c r="W1163" s="1" t="s">
        <v>20602</v>
      </c>
      <c r="X1163" s="1" t="s">
        <v>20603</v>
      </c>
      <c r="Y1163" s="1" t="s">
        <v>6044</v>
      </c>
      <c r="Z1163" s="1" t="s">
        <v>125</v>
      </c>
      <c r="AA1163" s="1" t="s">
        <v>20603</v>
      </c>
      <c r="AB1163" s="1" t="s">
        <v>6044</v>
      </c>
      <c r="AC1163" s="1" t="s">
        <v>125</v>
      </c>
      <c r="AD1163" s="1">
        <v>8.79</v>
      </c>
      <c r="AE1163" s="1" t="s">
        <v>93</v>
      </c>
      <c r="AF1163" s="1" t="s">
        <v>20604</v>
      </c>
      <c r="AG1163" s="1" t="s">
        <v>19626</v>
      </c>
      <c r="AH1163" s="1" t="s">
        <v>1714</v>
      </c>
      <c r="AI1163" s="1" t="s">
        <v>308</v>
      </c>
      <c r="AJ1163" s="1">
        <v>93.8</v>
      </c>
      <c r="AK1163" s="1"/>
      <c r="AL1163" s="1" t="s">
        <v>20605</v>
      </c>
      <c r="AM1163" s="1" t="s">
        <v>19626</v>
      </c>
      <c r="AN1163" s="1" t="s">
        <v>699</v>
      </c>
      <c r="AO1163" s="1" t="s">
        <v>506</v>
      </c>
      <c r="AP1163" s="1">
        <v>94.2</v>
      </c>
      <c r="AQ1163" s="1"/>
      <c r="AR1163" s="1"/>
      <c r="AS1163" s="1"/>
      <c r="AT1163" s="1"/>
      <c r="AU1163" s="1"/>
      <c r="AV1163" s="1"/>
      <c r="AW1163" s="1"/>
      <c r="AX1163" s="1" t="s">
        <v>132</v>
      </c>
      <c r="AY1163" s="1" t="s">
        <v>20606</v>
      </c>
      <c r="AZ1163" s="1" t="s">
        <v>135</v>
      </c>
      <c r="BA1163" s="1" t="s">
        <v>1408</v>
      </c>
      <c r="BB1163" s="1">
        <v>81</v>
      </c>
      <c r="BC1163" s="1">
        <v>8.1</v>
      </c>
      <c r="BD1163" s="1"/>
      <c r="BE1163" s="1"/>
      <c r="BF1163" s="1"/>
      <c r="BG1163" s="1"/>
      <c r="BH1163" s="1"/>
      <c r="BI1163" s="1"/>
      <c r="BJ1163" s="1" t="s">
        <v>364</v>
      </c>
      <c r="BK1163" s="1"/>
      <c r="BL1163" s="1"/>
      <c r="BM1163" s="1" t="s">
        <v>20607</v>
      </c>
      <c r="BN1163" s="1">
        <v>5</v>
      </c>
      <c r="BO1163" s="1"/>
      <c r="BP1163" s="1" t="str">
        <f>HYPERLINK("https://nconnect.nicmar.ac.in/storage/profile/ProfilePhoto_P25701106_756483.jpg","Download")</f>
        <v>0</v>
      </c>
      <c r="BQ1163" s="3"/>
      <c r="BR1163" s="3"/>
    </row>
    <row r="1164" spans="1:70">
      <c r="A1164" s="1" t="s">
        <v>1563</v>
      </c>
      <c r="B1164" s="1" t="s">
        <v>1269</v>
      </c>
      <c r="C1164" s="1" t="s">
        <v>20608</v>
      </c>
      <c r="D1164" s="1" t="s">
        <v>20609</v>
      </c>
      <c r="E1164" s="1"/>
      <c r="F1164" s="1" t="s">
        <v>4035</v>
      </c>
      <c r="G1164" s="1" t="s">
        <v>20610</v>
      </c>
      <c r="H1164" s="1" t="s">
        <v>20611</v>
      </c>
      <c r="I1164" s="1" t="s">
        <v>20612</v>
      </c>
      <c r="J1164" s="1">
        <v>8075544038</v>
      </c>
      <c r="K1164" s="1" t="s">
        <v>148</v>
      </c>
      <c r="L1164" s="1" t="s">
        <v>20613</v>
      </c>
      <c r="M1164" s="1" t="s">
        <v>81</v>
      </c>
      <c r="N1164" s="1" t="s">
        <v>2133</v>
      </c>
      <c r="O1164" s="1"/>
      <c r="P1164" s="1" t="s">
        <v>1298</v>
      </c>
      <c r="Q1164" s="1" t="s">
        <v>20614</v>
      </c>
      <c r="R1164" s="1" t="s">
        <v>20615</v>
      </c>
      <c r="S1164" s="1">
        <v>9497002922</v>
      </c>
      <c r="T1164" s="1" t="s">
        <v>20616</v>
      </c>
      <c r="U1164" s="1" t="s">
        <v>20617</v>
      </c>
      <c r="V1164" s="1">
        <v>9497002921</v>
      </c>
      <c r="W1164" s="1" t="s">
        <v>20618</v>
      </c>
      <c r="X1164" s="1" t="s">
        <v>20619</v>
      </c>
      <c r="Y1164" s="1" t="s">
        <v>3988</v>
      </c>
      <c r="Z1164" s="1" t="s">
        <v>125</v>
      </c>
      <c r="AA1164" s="1" t="s">
        <v>20619</v>
      </c>
      <c r="AB1164" s="1" t="s">
        <v>3988</v>
      </c>
      <c r="AC1164" s="1" t="s">
        <v>125</v>
      </c>
      <c r="AD1164" s="1">
        <v>8.43</v>
      </c>
      <c r="AE1164" s="1" t="s">
        <v>93</v>
      </c>
      <c r="AF1164" s="1" t="s">
        <v>20620</v>
      </c>
      <c r="AG1164" s="1" t="s">
        <v>3953</v>
      </c>
      <c r="AH1164" s="1" t="s">
        <v>101</v>
      </c>
      <c r="AI1164" s="1" t="s">
        <v>308</v>
      </c>
      <c r="AJ1164" s="1">
        <v>94</v>
      </c>
      <c r="AK1164" s="1"/>
      <c r="AL1164" s="1" t="s">
        <v>20620</v>
      </c>
      <c r="AM1164" s="1" t="s">
        <v>3953</v>
      </c>
      <c r="AN1164" s="1" t="s">
        <v>699</v>
      </c>
      <c r="AO1164" s="1" t="s">
        <v>506</v>
      </c>
      <c r="AP1164" s="1">
        <v>91.8</v>
      </c>
      <c r="AQ1164" s="1"/>
      <c r="AR1164" s="1"/>
      <c r="AS1164" s="1"/>
      <c r="AT1164" s="1"/>
      <c r="AU1164" s="1"/>
      <c r="AV1164" s="1"/>
      <c r="AW1164" s="1"/>
      <c r="AX1164" s="1" t="s">
        <v>132</v>
      </c>
      <c r="AY1164" s="1" t="s">
        <v>20621</v>
      </c>
      <c r="AZ1164" s="1" t="s">
        <v>135</v>
      </c>
      <c r="BA1164" s="1" t="s">
        <v>1408</v>
      </c>
      <c r="BB1164" s="1">
        <v>79</v>
      </c>
      <c r="BC1164" s="1">
        <v>7.9</v>
      </c>
      <c r="BD1164" s="1"/>
      <c r="BE1164" s="1"/>
      <c r="BF1164" s="1"/>
      <c r="BG1164" s="1"/>
      <c r="BH1164" s="1"/>
      <c r="BI1164" s="1"/>
      <c r="BJ1164" s="1" t="s">
        <v>20622</v>
      </c>
      <c r="BK1164" s="1"/>
      <c r="BL1164" s="1"/>
      <c r="BM1164" s="1" t="s">
        <v>20623</v>
      </c>
      <c r="BN1164" s="1">
        <v>15</v>
      </c>
      <c r="BO1164" s="1"/>
      <c r="BP1164" s="1" t="str">
        <f>HYPERLINK("https://nconnect.nicmar.ac.in/storage/profile/ProfilePhoto_P25701107_574683.jpg","Download")</f>
        <v>0</v>
      </c>
      <c r="BQ1164" s="3"/>
      <c r="BR1164" s="3"/>
    </row>
    <row r="1165" spans="1:70">
      <c r="A1165" s="1" t="s">
        <v>1563</v>
      </c>
      <c r="B1165" s="1" t="s">
        <v>1269</v>
      </c>
      <c r="C1165" s="1" t="s">
        <v>20624</v>
      </c>
      <c r="D1165" s="1" t="s">
        <v>20625</v>
      </c>
      <c r="E1165" s="1"/>
      <c r="F1165" s="1" t="s">
        <v>1072</v>
      </c>
      <c r="G1165" s="1" t="s">
        <v>20626</v>
      </c>
      <c r="H1165" s="1" t="s">
        <v>20627</v>
      </c>
      <c r="I1165" s="1" t="s">
        <v>20628</v>
      </c>
      <c r="J1165" s="1">
        <v>9032895270</v>
      </c>
      <c r="K1165" s="1" t="s">
        <v>148</v>
      </c>
      <c r="L1165" s="1" t="s">
        <v>20629</v>
      </c>
      <c r="M1165" s="1" t="s">
        <v>81</v>
      </c>
      <c r="N1165" s="1" t="s">
        <v>20630</v>
      </c>
      <c r="O1165" s="1"/>
      <c r="P1165" s="1" t="s">
        <v>1323</v>
      </c>
      <c r="Q1165" s="1" t="s">
        <v>20631</v>
      </c>
      <c r="R1165" s="1" t="s">
        <v>20632</v>
      </c>
      <c r="S1165" s="1">
        <v>9849296415</v>
      </c>
      <c r="T1165" s="1" t="s">
        <v>763</v>
      </c>
      <c r="U1165" s="1" t="s">
        <v>20633</v>
      </c>
      <c r="V1165" s="1">
        <v>7207850120</v>
      </c>
      <c r="W1165" s="1" t="s">
        <v>89</v>
      </c>
      <c r="X1165" s="1" t="s">
        <v>20634</v>
      </c>
      <c r="Y1165" s="1" t="s">
        <v>608</v>
      </c>
      <c r="Z1165" s="1" t="s">
        <v>609</v>
      </c>
      <c r="AA1165" s="1" t="s">
        <v>20634</v>
      </c>
      <c r="AB1165" s="1" t="s">
        <v>608</v>
      </c>
      <c r="AC1165" s="1" t="s">
        <v>609</v>
      </c>
      <c r="AD1165" s="1">
        <v>9.57</v>
      </c>
      <c r="AE1165" s="1" t="s">
        <v>93</v>
      </c>
      <c r="AF1165" s="1" t="s">
        <v>20635</v>
      </c>
      <c r="AG1165" s="1" t="s">
        <v>307</v>
      </c>
      <c r="AH1165" s="1" t="s">
        <v>456</v>
      </c>
      <c r="AI1165" s="1" t="s">
        <v>479</v>
      </c>
      <c r="AJ1165" s="1">
        <v>93.1</v>
      </c>
      <c r="AK1165" s="1">
        <v>9.8</v>
      </c>
      <c r="AL1165" s="1" t="s">
        <v>20635</v>
      </c>
      <c r="AM1165" s="1" t="s">
        <v>1665</v>
      </c>
      <c r="AN1165" s="1" t="s">
        <v>457</v>
      </c>
      <c r="AO1165" s="1" t="s">
        <v>308</v>
      </c>
      <c r="AP1165" s="1">
        <v>73.6</v>
      </c>
      <c r="AQ1165" s="1">
        <v>7.7</v>
      </c>
      <c r="AR1165" s="1"/>
      <c r="AS1165" s="1"/>
      <c r="AT1165" s="1"/>
      <c r="AU1165" s="1"/>
      <c r="AV1165" s="1"/>
      <c r="AW1165" s="1"/>
      <c r="AX1165" s="1" t="s">
        <v>15457</v>
      </c>
      <c r="AY1165" s="1" t="s">
        <v>15457</v>
      </c>
      <c r="AZ1165" s="1" t="s">
        <v>310</v>
      </c>
      <c r="BA1165" s="1" t="s">
        <v>2103</v>
      </c>
      <c r="BB1165" s="1">
        <v>85.01</v>
      </c>
      <c r="BC1165" s="1">
        <v>8.5</v>
      </c>
      <c r="BD1165" s="1"/>
      <c r="BE1165" s="1"/>
      <c r="BF1165" s="1"/>
      <c r="BG1165" s="1"/>
      <c r="BH1165" s="1"/>
      <c r="BI1165" s="1"/>
      <c r="BJ1165" s="1" t="s">
        <v>20636</v>
      </c>
      <c r="BK1165" s="1"/>
      <c r="BL1165" s="1"/>
      <c r="BM1165" s="1" t="s">
        <v>20637</v>
      </c>
      <c r="BN1165" s="1">
        <v>94</v>
      </c>
      <c r="BO1165" s="1" t="s">
        <v>20638</v>
      </c>
      <c r="BP1165" s="1" t="str">
        <f>HYPERLINK("https://nconnect.nicmar.ac.in/storage/profile/ProfilePhoto_P25701108_691235.jpg","Download")</f>
        <v>0</v>
      </c>
      <c r="BQ1165" s="3"/>
      <c r="BR1165" s="3"/>
    </row>
    <row r="1166" spans="1:70">
      <c r="A1166" s="1" t="s">
        <v>1563</v>
      </c>
      <c r="B1166" s="1" t="s">
        <v>1269</v>
      </c>
      <c r="C1166" s="1" t="s">
        <v>20639</v>
      </c>
      <c r="D1166" s="1" t="s">
        <v>14048</v>
      </c>
      <c r="E1166" s="1" t="s">
        <v>5393</v>
      </c>
      <c r="F1166" s="1" t="s">
        <v>20640</v>
      </c>
      <c r="G1166" s="1" t="s">
        <v>20641</v>
      </c>
      <c r="H1166" s="1" t="s">
        <v>20642</v>
      </c>
      <c r="I1166" s="1" t="s">
        <v>20643</v>
      </c>
      <c r="J1166" s="1">
        <v>9175848577</v>
      </c>
      <c r="K1166" s="1" t="s">
        <v>148</v>
      </c>
      <c r="L1166" s="1" t="s">
        <v>8371</v>
      </c>
      <c r="M1166" s="1" t="s">
        <v>81</v>
      </c>
      <c r="N1166" s="1" t="s">
        <v>13603</v>
      </c>
      <c r="O1166" s="1"/>
      <c r="P1166" s="1" t="s">
        <v>1323</v>
      </c>
      <c r="Q1166" s="1" t="s">
        <v>20644</v>
      </c>
      <c r="R1166" s="1" t="s">
        <v>5393</v>
      </c>
      <c r="S1166" s="1">
        <v>9850432962</v>
      </c>
      <c r="T1166" s="1" t="s">
        <v>7415</v>
      </c>
      <c r="U1166" s="1" t="s">
        <v>20645</v>
      </c>
      <c r="V1166" s="1">
        <v>9860304093</v>
      </c>
      <c r="W1166" s="1" t="s">
        <v>156</v>
      </c>
      <c r="X1166" s="1" t="s">
        <v>20646</v>
      </c>
      <c r="Y1166" s="1" t="s">
        <v>191</v>
      </c>
      <c r="Z1166" s="1" t="s">
        <v>92</v>
      </c>
      <c r="AA1166" s="1" t="s">
        <v>20646</v>
      </c>
      <c r="AB1166" s="1" t="s">
        <v>191</v>
      </c>
      <c r="AC1166" s="1" t="s">
        <v>92</v>
      </c>
      <c r="AD1166" s="1">
        <v>8.78</v>
      </c>
      <c r="AE1166" s="1" t="s">
        <v>93</v>
      </c>
      <c r="AF1166" s="1" t="s">
        <v>12376</v>
      </c>
      <c r="AG1166" s="1" t="s">
        <v>20647</v>
      </c>
      <c r="AH1166" s="1" t="s">
        <v>101</v>
      </c>
      <c r="AI1166" s="1" t="s">
        <v>409</v>
      </c>
      <c r="AJ1166" s="1">
        <v>85</v>
      </c>
      <c r="AK1166" s="1">
        <v>0</v>
      </c>
      <c r="AL1166" s="1" t="s">
        <v>11468</v>
      </c>
      <c r="AM1166" s="1" t="s">
        <v>197</v>
      </c>
      <c r="AN1166" s="1" t="s">
        <v>310</v>
      </c>
      <c r="AO1166" s="1" t="s">
        <v>504</v>
      </c>
      <c r="AP1166" s="1">
        <v>89</v>
      </c>
      <c r="AQ1166" s="1">
        <v>0</v>
      </c>
      <c r="AR1166" s="1"/>
      <c r="AS1166" s="1"/>
      <c r="AT1166" s="1"/>
      <c r="AU1166" s="1"/>
      <c r="AV1166" s="1"/>
      <c r="AW1166" s="1"/>
      <c r="AX1166" s="1" t="s">
        <v>20648</v>
      </c>
      <c r="AY1166" s="1" t="s">
        <v>20649</v>
      </c>
      <c r="AZ1166" s="1" t="s">
        <v>436</v>
      </c>
      <c r="BA1166" s="1" t="s">
        <v>1361</v>
      </c>
      <c r="BB1166" s="1">
        <v>73.15</v>
      </c>
      <c r="BC1166" s="1">
        <v>7.92</v>
      </c>
      <c r="BD1166" s="1"/>
      <c r="BE1166" s="1"/>
      <c r="BF1166" s="1"/>
      <c r="BG1166" s="1"/>
      <c r="BH1166" s="1"/>
      <c r="BI1166" s="1"/>
      <c r="BJ1166" s="1" t="s">
        <v>20650</v>
      </c>
      <c r="BK1166" s="1"/>
      <c r="BL1166" s="1"/>
      <c r="BM1166" s="1" t="s">
        <v>20651</v>
      </c>
      <c r="BN1166" s="1">
        <v>85</v>
      </c>
      <c r="BO1166" s="1"/>
      <c r="BP1166" s="1" t="str">
        <f>HYPERLINK("https://nconnect.nicmar.ac.in/storage/profile/ProfilePhoto_P25701109_872635.jpg","Download")</f>
        <v>0</v>
      </c>
      <c r="BQ1166" s="3"/>
      <c r="BR1166" s="3"/>
    </row>
    <row r="1167" spans="1:70">
      <c r="A1167" s="1" t="s">
        <v>1563</v>
      </c>
      <c r="B1167" s="1" t="s">
        <v>1269</v>
      </c>
      <c r="C1167" s="1" t="s">
        <v>20652</v>
      </c>
      <c r="D1167" s="1" t="s">
        <v>9823</v>
      </c>
      <c r="E1167" s="1" t="s">
        <v>20653</v>
      </c>
      <c r="F1167" s="1" t="s">
        <v>4445</v>
      </c>
      <c r="G1167" s="1" t="s">
        <v>20654</v>
      </c>
      <c r="H1167" s="1" t="s">
        <v>20655</v>
      </c>
      <c r="I1167" s="1" t="s">
        <v>20656</v>
      </c>
      <c r="J1167" s="1">
        <v>9892289489</v>
      </c>
      <c r="K1167" s="1" t="s">
        <v>148</v>
      </c>
      <c r="L1167" s="1" t="s">
        <v>6405</v>
      </c>
      <c r="M1167" s="1" t="s">
        <v>81</v>
      </c>
      <c r="N1167" s="1" t="s">
        <v>2029</v>
      </c>
      <c r="O1167" s="1"/>
      <c r="P1167" s="1" t="s">
        <v>1766</v>
      </c>
      <c r="Q1167" s="1" t="s">
        <v>20657</v>
      </c>
      <c r="R1167" s="1" t="s">
        <v>20658</v>
      </c>
      <c r="S1167" s="1">
        <v>9284816870</v>
      </c>
      <c r="T1167" s="1" t="s">
        <v>763</v>
      </c>
      <c r="U1167" s="1" t="s">
        <v>20659</v>
      </c>
      <c r="V1167" s="1">
        <v>7020503464</v>
      </c>
      <c r="W1167" s="1" t="s">
        <v>156</v>
      </c>
      <c r="X1167" s="1" t="s">
        <v>20660</v>
      </c>
      <c r="Y1167" s="1" t="s">
        <v>1018</v>
      </c>
      <c r="Z1167" s="1" t="s">
        <v>92</v>
      </c>
      <c r="AA1167" s="1" t="s">
        <v>20660</v>
      </c>
      <c r="AB1167" s="1" t="s">
        <v>1018</v>
      </c>
      <c r="AC1167" s="1" t="s">
        <v>92</v>
      </c>
      <c r="AD1167" s="1">
        <v>9.69</v>
      </c>
      <c r="AE1167" s="1" t="s">
        <v>93</v>
      </c>
      <c r="AF1167" s="1" t="s">
        <v>20661</v>
      </c>
      <c r="AG1167" s="1" t="s">
        <v>455</v>
      </c>
      <c r="AH1167" s="1" t="s">
        <v>281</v>
      </c>
      <c r="AI1167" s="1" t="s">
        <v>409</v>
      </c>
      <c r="AJ1167" s="1">
        <v>85.2</v>
      </c>
      <c r="AK1167" s="1"/>
      <c r="AL1167" s="1" t="s">
        <v>20662</v>
      </c>
      <c r="AM1167" s="1" t="s">
        <v>455</v>
      </c>
      <c r="AN1167" s="1" t="s">
        <v>699</v>
      </c>
      <c r="AO1167" s="1" t="s">
        <v>1131</v>
      </c>
      <c r="AP1167" s="1">
        <v>88</v>
      </c>
      <c r="AQ1167" s="1"/>
      <c r="AR1167" s="1"/>
      <c r="AS1167" s="1"/>
      <c r="AT1167" s="1"/>
      <c r="AU1167" s="1"/>
      <c r="AV1167" s="1"/>
      <c r="AW1167" s="1"/>
      <c r="AX1167" s="1" t="s">
        <v>253</v>
      </c>
      <c r="AY1167" s="1" t="s">
        <v>20663</v>
      </c>
      <c r="AZ1167" s="1" t="s">
        <v>897</v>
      </c>
      <c r="BA1167" s="1" t="s">
        <v>1714</v>
      </c>
      <c r="BB1167" s="1">
        <v>74.4</v>
      </c>
      <c r="BC1167" s="1">
        <v>8.19</v>
      </c>
      <c r="BD1167" s="1"/>
      <c r="BE1167" s="1"/>
      <c r="BF1167" s="1"/>
      <c r="BG1167" s="1"/>
      <c r="BH1167" s="1"/>
      <c r="BI1167" s="1"/>
      <c r="BJ1167" s="1" t="s">
        <v>20664</v>
      </c>
      <c r="BK1167" s="1"/>
      <c r="BL1167" s="1"/>
      <c r="BM1167" s="1" t="s">
        <v>20665</v>
      </c>
      <c r="BN1167" s="1">
        <v>4</v>
      </c>
      <c r="BO1167" s="1"/>
      <c r="BP1167" s="1" t="str">
        <f>HYPERLINK("https://nconnect.nicmar.ac.in/storage/profile/ProfilePhoto_P25701110_927538.jpg","Download")</f>
        <v>0</v>
      </c>
      <c r="BQ1167" s="3"/>
      <c r="BR1167" s="3"/>
    </row>
    <row r="1168" spans="1:70">
      <c r="A1168" s="1" t="s">
        <v>1563</v>
      </c>
      <c r="B1168" s="1" t="s">
        <v>1269</v>
      </c>
      <c r="C1168" s="1" t="s">
        <v>20666</v>
      </c>
      <c r="D1168" s="1" t="s">
        <v>20667</v>
      </c>
      <c r="E1168" s="1" t="s">
        <v>3201</v>
      </c>
      <c r="F1168" s="1" t="s">
        <v>2024</v>
      </c>
      <c r="G1168" s="1" t="s">
        <v>20668</v>
      </c>
      <c r="H1168" s="1" t="s">
        <v>20669</v>
      </c>
      <c r="I1168" s="1" t="s">
        <v>20670</v>
      </c>
      <c r="J1168" s="1">
        <v>9082014027</v>
      </c>
      <c r="K1168" s="1" t="s">
        <v>148</v>
      </c>
      <c r="L1168" s="1" t="s">
        <v>3091</v>
      </c>
      <c r="M1168" s="1" t="s">
        <v>81</v>
      </c>
      <c r="N1168" s="1" t="s">
        <v>3229</v>
      </c>
      <c r="O1168" s="1"/>
      <c r="P1168" s="1" t="s">
        <v>1278</v>
      </c>
      <c r="Q1168" s="1" t="s">
        <v>20671</v>
      </c>
      <c r="R1168" s="1" t="s">
        <v>20672</v>
      </c>
      <c r="S1168" s="1">
        <v>9967435701</v>
      </c>
      <c r="T1168" s="1" t="s">
        <v>7641</v>
      </c>
      <c r="U1168" s="1" t="s">
        <v>20673</v>
      </c>
      <c r="V1168" s="1">
        <v>9967435703</v>
      </c>
      <c r="W1168" s="1" t="s">
        <v>89</v>
      </c>
      <c r="X1168" s="1" t="s">
        <v>20674</v>
      </c>
      <c r="Y1168" s="1" t="s">
        <v>1623</v>
      </c>
      <c r="Z1168" s="1" t="s">
        <v>92</v>
      </c>
      <c r="AA1168" s="1" t="s">
        <v>20674</v>
      </c>
      <c r="AB1168" s="1" t="s">
        <v>1623</v>
      </c>
      <c r="AC1168" s="1" t="s">
        <v>92</v>
      </c>
      <c r="AD1168" s="1">
        <v>9.81</v>
      </c>
      <c r="AE1168" s="1" t="s">
        <v>93</v>
      </c>
      <c r="AF1168" s="1" t="s">
        <v>20675</v>
      </c>
      <c r="AG1168" s="1" t="s">
        <v>160</v>
      </c>
      <c r="AH1168" s="1" t="s">
        <v>162</v>
      </c>
      <c r="AI1168" s="1" t="s">
        <v>195</v>
      </c>
      <c r="AJ1168" s="1">
        <v>92.8</v>
      </c>
      <c r="AK1168" s="1"/>
      <c r="AL1168" s="1" t="s">
        <v>20676</v>
      </c>
      <c r="AM1168" s="1" t="s">
        <v>160</v>
      </c>
      <c r="AN1168" s="1" t="s">
        <v>101</v>
      </c>
      <c r="AO1168" s="1" t="s">
        <v>198</v>
      </c>
      <c r="AP1168" s="1">
        <v>80.31</v>
      </c>
      <c r="AQ1168" s="1"/>
      <c r="AR1168" s="1"/>
      <c r="AS1168" s="1"/>
      <c r="AT1168" s="1"/>
      <c r="AU1168" s="1"/>
      <c r="AV1168" s="1"/>
      <c r="AW1168" s="1"/>
      <c r="AX1168" s="1" t="s">
        <v>20677</v>
      </c>
      <c r="AY1168" s="1" t="s">
        <v>20678</v>
      </c>
      <c r="AZ1168" s="1" t="s">
        <v>433</v>
      </c>
      <c r="BA1168" s="1" t="s">
        <v>1938</v>
      </c>
      <c r="BB1168" s="1">
        <v>69.28</v>
      </c>
      <c r="BC1168" s="1"/>
      <c r="BD1168" s="1"/>
      <c r="BE1168" s="1"/>
      <c r="BF1168" s="1"/>
      <c r="BG1168" s="1"/>
      <c r="BH1168" s="1"/>
      <c r="BI1168" s="1"/>
      <c r="BJ1168" s="1" t="s">
        <v>20679</v>
      </c>
      <c r="BK1168" s="1" t="s">
        <v>20680</v>
      </c>
      <c r="BL1168" s="1" t="s">
        <v>1475</v>
      </c>
      <c r="BM1168" s="1" t="s">
        <v>20681</v>
      </c>
      <c r="BN1168" s="1">
        <v>11</v>
      </c>
      <c r="BO1168" s="1"/>
      <c r="BP1168" s="1" t="str">
        <f>HYPERLINK("https://nconnect.nicmar.ac.in/storage/profile/ProfilePhoto_P25701111_263478.jpg","Download")</f>
        <v>0</v>
      </c>
      <c r="BQ1168" s="3"/>
      <c r="BR1168" s="3"/>
    </row>
    <row r="1169" spans="1:70">
      <c r="A1169" s="1" t="s">
        <v>1563</v>
      </c>
      <c r="B1169" s="1" t="s">
        <v>1269</v>
      </c>
      <c r="C1169" s="1" t="s">
        <v>20682</v>
      </c>
      <c r="D1169" s="1" t="s">
        <v>417</v>
      </c>
      <c r="E1169" s="1" t="s">
        <v>8418</v>
      </c>
      <c r="F1169" s="1" t="s">
        <v>4789</v>
      </c>
      <c r="G1169" s="1" t="s">
        <v>20683</v>
      </c>
      <c r="H1169" s="1" t="s">
        <v>20684</v>
      </c>
      <c r="I1169" s="1" t="s">
        <v>20685</v>
      </c>
      <c r="J1169" s="1">
        <v>9820704906</v>
      </c>
      <c r="K1169" s="1" t="s">
        <v>148</v>
      </c>
      <c r="L1169" s="1" t="s">
        <v>7763</v>
      </c>
      <c r="M1169" s="1" t="s">
        <v>81</v>
      </c>
      <c r="N1169" s="1" t="s">
        <v>12912</v>
      </c>
      <c r="O1169" s="1" t="s">
        <v>20686</v>
      </c>
      <c r="P1169" s="1" t="s">
        <v>1298</v>
      </c>
      <c r="Q1169" s="1" t="s">
        <v>20687</v>
      </c>
      <c r="R1169" s="1" t="s">
        <v>8418</v>
      </c>
      <c r="S1169" s="1">
        <v>9820704106</v>
      </c>
      <c r="T1169" s="1" t="s">
        <v>842</v>
      </c>
      <c r="U1169" s="1" t="s">
        <v>20688</v>
      </c>
      <c r="V1169" s="1">
        <v>8879295836</v>
      </c>
      <c r="W1169" s="1" t="s">
        <v>20689</v>
      </c>
      <c r="X1169" s="1" t="s">
        <v>20690</v>
      </c>
      <c r="Y1169" s="1" t="s">
        <v>1623</v>
      </c>
      <c r="Z1169" s="1" t="s">
        <v>92</v>
      </c>
      <c r="AA1169" s="1" t="s">
        <v>20690</v>
      </c>
      <c r="AB1169" s="1" t="s">
        <v>1623</v>
      </c>
      <c r="AC1169" s="1" t="s">
        <v>92</v>
      </c>
      <c r="AD1169" s="1">
        <v>7.95</v>
      </c>
      <c r="AE1169" s="1" t="s">
        <v>93</v>
      </c>
      <c r="AF1169" s="1" t="s">
        <v>20691</v>
      </c>
      <c r="AG1169" s="1" t="s">
        <v>160</v>
      </c>
      <c r="AH1169" s="1" t="s">
        <v>161</v>
      </c>
      <c r="AI1169" s="1" t="s">
        <v>456</v>
      </c>
      <c r="AJ1169" s="1">
        <v>84</v>
      </c>
      <c r="AK1169" s="1"/>
      <c r="AL1169" s="1" t="s">
        <v>20692</v>
      </c>
      <c r="AM1169" s="1" t="s">
        <v>4438</v>
      </c>
      <c r="AN1169" s="1" t="s">
        <v>165</v>
      </c>
      <c r="AO1169" s="1" t="s">
        <v>457</v>
      </c>
      <c r="AP1169" s="1">
        <v>64.77</v>
      </c>
      <c r="AQ1169" s="1"/>
      <c r="AR1169" s="1"/>
      <c r="AS1169" s="1"/>
      <c r="AT1169" s="1"/>
      <c r="AU1169" s="1"/>
      <c r="AV1169" s="1"/>
      <c r="AW1169" s="1"/>
      <c r="AX1169" s="1" t="s">
        <v>253</v>
      </c>
      <c r="AY1169" s="1" t="s">
        <v>20693</v>
      </c>
      <c r="AZ1169" s="1" t="s">
        <v>169</v>
      </c>
      <c r="BA1169" s="1" t="s">
        <v>590</v>
      </c>
      <c r="BB1169" s="1">
        <v>67.57</v>
      </c>
      <c r="BC1169" s="1"/>
      <c r="BD1169" s="1"/>
      <c r="BE1169" s="1"/>
      <c r="BF1169" s="1"/>
      <c r="BG1169" s="1"/>
      <c r="BH1169" s="1"/>
      <c r="BI1169" s="1"/>
      <c r="BJ1169" s="1" t="s">
        <v>20694</v>
      </c>
      <c r="BK1169" s="1" t="s">
        <v>20695</v>
      </c>
      <c r="BL1169" s="1" t="s">
        <v>4917</v>
      </c>
      <c r="BM1169" s="1" t="s">
        <v>20696</v>
      </c>
      <c r="BN1169" s="1">
        <v>42</v>
      </c>
      <c r="BO1169" s="1" t="s">
        <v>20697</v>
      </c>
      <c r="BP1169" s="1" t="str">
        <f>HYPERLINK("https://nconnect.nicmar.ac.in/storage/profile/ProfilePhoto_P25701112_923457.jpg","Download")</f>
        <v>0</v>
      </c>
      <c r="BQ1169" s="3"/>
      <c r="BR1169" s="3"/>
    </row>
    <row r="1170" spans="1:70">
      <c r="A1170" s="1" t="s">
        <v>1563</v>
      </c>
      <c r="B1170" s="1" t="s">
        <v>1269</v>
      </c>
      <c r="C1170" s="1" t="s">
        <v>20698</v>
      </c>
      <c r="D1170" s="1" t="s">
        <v>3958</v>
      </c>
      <c r="E1170" s="1" t="s">
        <v>20699</v>
      </c>
      <c r="F1170" s="1" t="s">
        <v>20700</v>
      </c>
      <c r="G1170" s="1" t="s">
        <v>20701</v>
      </c>
      <c r="H1170" s="1" t="s">
        <v>20702</v>
      </c>
      <c r="I1170" s="1" t="s">
        <v>20703</v>
      </c>
      <c r="J1170" s="1">
        <v>8983922594</v>
      </c>
      <c r="K1170" s="1" t="s">
        <v>148</v>
      </c>
      <c r="L1170" s="1" t="s">
        <v>5532</v>
      </c>
      <c r="M1170" s="1" t="s">
        <v>81</v>
      </c>
      <c r="N1170" s="1" t="s">
        <v>20704</v>
      </c>
      <c r="O1170" s="1"/>
      <c r="P1170" s="1" t="s">
        <v>1298</v>
      </c>
      <c r="Q1170" s="1" t="s">
        <v>20705</v>
      </c>
      <c r="R1170" s="1" t="s">
        <v>20699</v>
      </c>
      <c r="S1170" s="1">
        <v>9373247991</v>
      </c>
      <c r="T1170" s="1" t="s">
        <v>14408</v>
      </c>
      <c r="U1170" s="1" t="s">
        <v>20706</v>
      </c>
      <c r="V1170" s="1">
        <v>8767071491</v>
      </c>
      <c r="W1170" s="1" t="s">
        <v>156</v>
      </c>
      <c r="X1170" s="1" t="s">
        <v>20707</v>
      </c>
      <c r="Y1170" s="1" t="s">
        <v>523</v>
      </c>
      <c r="Z1170" s="1" t="s">
        <v>92</v>
      </c>
      <c r="AA1170" s="1" t="s">
        <v>20707</v>
      </c>
      <c r="AB1170" s="1" t="s">
        <v>523</v>
      </c>
      <c r="AC1170" s="1" t="s">
        <v>92</v>
      </c>
      <c r="AD1170" s="1" t="s">
        <v>93</v>
      </c>
      <c r="AE1170" s="1" t="s">
        <v>93</v>
      </c>
      <c r="AF1170" s="1" t="s">
        <v>20708</v>
      </c>
      <c r="AG1170" s="1" t="s">
        <v>20709</v>
      </c>
      <c r="AH1170" s="1" t="s">
        <v>165</v>
      </c>
      <c r="AI1170" s="1" t="s">
        <v>166</v>
      </c>
      <c r="AJ1170" s="1">
        <v>86.4</v>
      </c>
      <c r="AK1170" s="1"/>
      <c r="AL1170" s="1" t="s">
        <v>20710</v>
      </c>
      <c r="AM1170" s="1" t="s">
        <v>20711</v>
      </c>
      <c r="AN1170" s="1" t="s">
        <v>433</v>
      </c>
      <c r="AO1170" s="1" t="s">
        <v>412</v>
      </c>
      <c r="AP1170" s="1">
        <v>69.38</v>
      </c>
      <c r="AQ1170" s="1"/>
      <c r="AR1170" s="1"/>
      <c r="AS1170" s="1"/>
      <c r="AT1170" s="1"/>
      <c r="AU1170" s="1"/>
      <c r="AV1170" s="1"/>
      <c r="AW1170" s="1"/>
      <c r="AX1170" s="1" t="s">
        <v>2705</v>
      </c>
      <c r="AY1170" s="1" t="s">
        <v>20712</v>
      </c>
      <c r="AZ1170" s="1" t="s">
        <v>1131</v>
      </c>
      <c r="BA1170" s="1" t="s">
        <v>202</v>
      </c>
      <c r="BB1170" s="1">
        <v>72.62</v>
      </c>
      <c r="BC1170" s="1">
        <v>8.16</v>
      </c>
      <c r="BD1170" s="1"/>
      <c r="BE1170" s="1"/>
      <c r="BF1170" s="1"/>
      <c r="BG1170" s="1"/>
      <c r="BH1170" s="1"/>
      <c r="BI1170" s="1"/>
      <c r="BJ1170" s="1" t="s">
        <v>20713</v>
      </c>
      <c r="BK1170" s="1" t="s">
        <v>20714</v>
      </c>
      <c r="BL1170" s="1" t="s">
        <v>619</v>
      </c>
      <c r="BM1170" s="1" t="s">
        <v>20715</v>
      </c>
      <c r="BN1170" s="1">
        <v>14</v>
      </c>
      <c r="BO1170" s="1" t="s">
        <v>20716</v>
      </c>
      <c r="BP1170" s="1" t="str">
        <f>HYPERLINK("https://nconnect.nicmar.ac.in/storage/profile/ProfilePhoto_P25701113_867329.jpg","Download")</f>
        <v>0</v>
      </c>
      <c r="BQ1170" s="3"/>
      <c r="BR1170" s="3"/>
    </row>
    <row r="1171" spans="1:70">
      <c r="A1171" s="1" t="s">
        <v>1563</v>
      </c>
      <c r="B1171" s="1" t="s">
        <v>1269</v>
      </c>
      <c r="C1171" s="1" t="s">
        <v>20717</v>
      </c>
      <c r="D1171" s="1" t="s">
        <v>3051</v>
      </c>
      <c r="E1171" s="1" t="s">
        <v>20718</v>
      </c>
      <c r="F1171" s="1" t="s">
        <v>20719</v>
      </c>
      <c r="G1171" s="1" t="s">
        <v>20720</v>
      </c>
      <c r="H1171" s="1" t="s">
        <v>20721</v>
      </c>
      <c r="I1171" s="1" t="s">
        <v>20722</v>
      </c>
      <c r="J1171" s="1">
        <v>9096671532</v>
      </c>
      <c r="K1171" s="1" t="s">
        <v>79</v>
      </c>
      <c r="L1171" s="1" t="s">
        <v>20723</v>
      </c>
      <c r="M1171" s="1" t="s">
        <v>81</v>
      </c>
      <c r="N1171" s="1" t="s">
        <v>3229</v>
      </c>
      <c r="O1171" s="1"/>
      <c r="P1171" s="1" t="s">
        <v>1278</v>
      </c>
      <c r="Q1171" s="1" t="s">
        <v>20724</v>
      </c>
      <c r="R1171" s="1" t="s">
        <v>20725</v>
      </c>
      <c r="S1171" s="1">
        <v>8459962221</v>
      </c>
      <c r="T1171" s="1" t="s">
        <v>842</v>
      </c>
      <c r="U1171" s="1" t="s">
        <v>20726</v>
      </c>
      <c r="V1171" s="1">
        <v>9175309590</v>
      </c>
      <c r="W1171" s="1" t="s">
        <v>2094</v>
      </c>
      <c r="X1171" s="1" t="s">
        <v>20727</v>
      </c>
      <c r="Y1171" s="1" t="s">
        <v>91</v>
      </c>
      <c r="Z1171" s="1" t="s">
        <v>92</v>
      </c>
      <c r="AA1171" s="1" t="s">
        <v>20727</v>
      </c>
      <c r="AB1171" s="1" t="s">
        <v>91</v>
      </c>
      <c r="AC1171" s="1" t="s">
        <v>92</v>
      </c>
      <c r="AD1171" s="1">
        <v>7.83</v>
      </c>
      <c r="AE1171" s="1" t="s">
        <v>93</v>
      </c>
      <c r="AF1171" s="1" t="s">
        <v>20728</v>
      </c>
      <c r="AG1171" s="1" t="s">
        <v>20729</v>
      </c>
      <c r="AH1171" s="1" t="s">
        <v>195</v>
      </c>
      <c r="AI1171" s="1" t="s">
        <v>281</v>
      </c>
      <c r="AJ1171" s="1">
        <v>86</v>
      </c>
      <c r="AK1171" s="1"/>
      <c r="AL1171" s="1" t="s">
        <v>20730</v>
      </c>
      <c r="AM1171" s="1" t="s">
        <v>20729</v>
      </c>
      <c r="AN1171" s="1" t="s">
        <v>433</v>
      </c>
      <c r="AO1171" s="1" t="s">
        <v>173</v>
      </c>
      <c r="AP1171" s="1">
        <v>74.92</v>
      </c>
      <c r="AQ1171" s="1"/>
      <c r="AR1171" s="1"/>
      <c r="AS1171" s="1"/>
      <c r="AT1171" s="1"/>
      <c r="AU1171" s="1"/>
      <c r="AV1171" s="1"/>
      <c r="AW1171" s="1"/>
      <c r="AX1171" s="1" t="s">
        <v>20731</v>
      </c>
      <c r="AY1171" s="1" t="s">
        <v>20732</v>
      </c>
      <c r="AZ1171" s="1" t="s">
        <v>228</v>
      </c>
      <c r="BA1171" s="1" t="s">
        <v>1938</v>
      </c>
      <c r="BB1171" s="1">
        <v>71.7</v>
      </c>
      <c r="BC1171" s="1">
        <v>7.67</v>
      </c>
      <c r="BD1171" s="1"/>
      <c r="BE1171" s="1"/>
      <c r="BF1171" s="1"/>
      <c r="BG1171" s="1"/>
      <c r="BH1171" s="1"/>
      <c r="BI1171" s="1"/>
      <c r="BJ1171" s="1" t="s">
        <v>20733</v>
      </c>
      <c r="BK1171" s="1" t="s">
        <v>20734</v>
      </c>
      <c r="BL1171" s="1" t="s">
        <v>1475</v>
      </c>
      <c r="BM1171" s="1" t="s">
        <v>20735</v>
      </c>
      <c r="BN1171" s="1">
        <v>29</v>
      </c>
      <c r="BO1171" s="1" t="s">
        <v>20736</v>
      </c>
      <c r="BP1171" s="1" t="str">
        <f>HYPERLINK("https://nconnect.nicmar.ac.in/storage/profile/ProfilePhoto_P25701114_583712.jpg","Download")</f>
        <v>0</v>
      </c>
      <c r="BQ1171" s="3"/>
      <c r="BR1171" s="3"/>
    </row>
    <row r="1172" spans="1:70">
      <c r="A1172" s="1" t="s">
        <v>1563</v>
      </c>
      <c r="B1172" s="1" t="s">
        <v>1269</v>
      </c>
      <c r="C1172" s="1" t="s">
        <v>20737</v>
      </c>
      <c r="D1172" s="1" t="s">
        <v>4052</v>
      </c>
      <c r="E1172" s="1"/>
      <c r="F1172" s="1" t="s">
        <v>1316</v>
      </c>
      <c r="G1172" s="1" t="s">
        <v>20738</v>
      </c>
      <c r="H1172" s="1" t="s">
        <v>20739</v>
      </c>
      <c r="I1172" s="1" t="s">
        <v>20740</v>
      </c>
      <c r="J1172" s="1">
        <v>9946022220</v>
      </c>
      <c r="K1172" s="1" t="s">
        <v>148</v>
      </c>
      <c r="L1172" s="1" t="s">
        <v>20741</v>
      </c>
      <c r="M1172" s="1" t="s">
        <v>81</v>
      </c>
      <c r="N1172" s="1" t="s">
        <v>20742</v>
      </c>
      <c r="O1172" s="1"/>
      <c r="P1172" s="1" t="s">
        <v>1278</v>
      </c>
      <c r="Q1172" s="1" t="s">
        <v>20743</v>
      </c>
      <c r="R1172" s="1" t="s">
        <v>20744</v>
      </c>
      <c r="S1172" s="1">
        <v>9447056861</v>
      </c>
      <c r="T1172" s="1" t="s">
        <v>496</v>
      </c>
      <c r="U1172" s="1" t="s">
        <v>20745</v>
      </c>
      <c r="V1172" s="1">
        <v>9495956861</v>
      </c>
      <c r="W1172" s="1" t="s">
        <v>520</v>
      </c>
      <c r="X1172" s="1" t="s">
        <v>20746</v>
      </c>
      <c r="Y1172" s="1" t="s">
        <v>3988</v>
      </c>
      <c r="Z1172" s="1" t="s">
        <v>125</v>
      </c>
      <c r="AA1172" s="1" t="s">
        <v>20746</v>
      </c>
      <c r="AB1172" s="1" t="s">
        <v>3988</v>
      </c>
      <c r="AC1172" s="1" t="s">
        <v>125</v>
      </c>
      <c r="AD1172" s="1">
        <v>8.21</v>
      </c>
      <c r="AE1172" s="1" t="s">
        <v>93</v>
      </c>
      <c r="AF1172" s="1" t="s">
        <v>20747</v>
      </c>
      <c r="AG1172" s="1" t="s">
        <v>1152</v>
      </c>
      <c r="AH1172" s="1" t="s">
        <v>129</v>
      </c>
      <c r="AI1172" s="1" t="s">
        <v>477</v>
      </c>
      <c r="AJ1172" s="1">
        <v>91.83</v>
      </c>
      <c r="AK1172" s="1"/>
      <c r="AL1172" s="1" t="s">
        <v>20747</v>
      </c>
      <c r="AM1172" s="1" t="s">
        <v>1152</v>
      </c>
      <c r="AN1172" s="1" t="s">
        <v>131</v>
      </c>
      <c r="AO1172" s="1" t="s">
        <v>527</v>
      </c>
      <c r="AP1172" s="1">
        <v>89.2</v>
      </c>
      <c r="AQ1172" s="1"/>
      <c r="AR1172" s="1"/>
      <c r="AS1172" s="1"/>
      <c r="AT1172" s="1"/>
      <c r="AU1172" s="1"/>
      <c r="AV1172" s="1"/>
      <c r="AW1172" s="1"/>
      <c r="AX1172" s="1" t="s">
        <v>132</v>
      </c>
      <c r="AY1172" s="1" t="s">
        <v>20748</v>
      </c>
      <c r="AZ1172" s="1" t="s">
        <v>733</v>
      </c>
      <c r="BA1172" s="1" t="s">
        <v>1131</v>
      </c>
      <c r="BB1172" s="1">
        <v>68.25</v>
      </c>
      <c r="BC1172" s="1">
        <v>7.22</v>
      </c>
      <c r="BD1172" s="1"/>
      <c r="BE1172" s="1"/>
      <c r="BF1172" s="1"/>
      <c r="BG1172" s="1"/>
      <c r="BH1172" s="1"/>
      <c r="BI1172" s="1"/>
      <c r="BJ1172" s="1" t="s">
        <v>20749</v>
      </c>
      <c r="BK1172" s="1" t="s">
        <v>20750</v>
      </c>
      <c r="BL1172" s="1" t="s">
        <v>16353</v>
      </c>
      <c r="BM1172" s="1" t="s">
        <v>20751</v>
      </c>
      <c r="BN1172" s="1">
        <v>23</v>
      </c>
      <c r="BO1172" s="1"/>
      <c r="BP1172" s="1" t="str">
        <f>HYPERLINK("https://nconnect.nicmar.ac.in/storage/profile/ProfilePhoto_P25701115_284369.jpg","Download")</f>
        <v>0</v>
      </c>
      <c r="BQ1172" s="3"/>
      <c r="BR1172" s="3"/>
    </row>
    <row r="1173" spans="1:70">
      <c r="A1173" s="1" t="s">
        <v>1563</v>
      </c>
      <c r="B1173" s="1" t="s">
        <v>1269</v>
      </c>
      <c r="C1173" s="1" t="s">
        <v>20752</v>
      </c>
      <c r="D1173" s="1" t="s">
        <v>20753</v>
      </c>
      <c r="E1173" s="1" t="s">
        <v>20754</v>
      </c>
      <c r="F1173" s="1" t="s">
        <v>20755</v>
      </c>
      <c r="G1173" s="1" t="s">
        <v>20756</v>
      </c>
      <c r="H1173" s="1" t="s">
        <v>20757</v>
      </c>
      <c r="I1173" s="1" t="s">
        <v>20758</v>
      </c>
      <c r="J1173" s="1">
        <v>8855054441</v>
      </c>
      <c r="K1173" s="1" t="s">
        <v>148</v>
      </c>
      <c r="L1173" s="1" t="s">
        <v>4350</v>
      </c>
      <c r="M1173" s="1" t="s">
        <v>81</v>
      </c>
      <c r="N1173" s="1" t="s">
        <v>20759</v>
      </c>
      <c r="O1173" s="1"/>
      <c r="P1173" s="1" t="s">
        <v>1323</v>
      </c>
      <c r="Q1173" s="1" t="s">
        <v>20760</v>
      </c>
      <c r="R1173" s="1" t="s">
        <v>20761</v>
      </c>
      <c r="S1173" s="1">
        <v>9422569447</v>
      </c>
      <c r="T1173" s="1" t="s">
        <v>763</v>
      </c>
      <c r="U1173" s="1" t="s">
        <v>20762</v>
      </c>
      <c r="V1173" s="1">
        <v>9823782374</v>
      </c>
      <c r="W1173" s="1" t="s">
        <v>122</v>
      </c>
      <c r="X1173" s="1" t="s">
        <v>20763</v>
      </c>
      <c r="Y1173" s="1" t="s">
        <v>191</v>
      </c>
      <c r="Z1173" s="1" t="s">
        <v>92</v>
      </c>
      <c r="AA1173" s="1" t="s">
        <v>20763</v>
      </c>
      <c r="AB1173" s="1" t="s">
        <v>191</v>
      </c>
      <c r="AC1173" s="1" t="s">
        <v>92</v>
      </c>
      <c r="AD1173" s="1">
        <v>7.64</v>
      </c>
      <c r="AE1173" s="1" t="s">
        <v>93</v>
      </c>
      <c r="AF1173" s="1" t="s">
        <v>20764</v>
      </c>
      <c r="AG1173" s="1" t="s">
        <v>20765</v>
      </c>
      <c r="AH1173" s="1" t="s">
        <v>195</v>
      </c>
      <c r="AI1173" s="1" t="s">
        <v>281</v>
      </c>
      <c r="AJ1173" s="1">
        <v>76</v>
      </c>
      <c r="AK1173" s="1"/>
      <c r="AL1173" s="1" t="s">
        <v>20766</v>
      </c>
      <c r="AM1173" s="1" t="s">
        <v>20765</v>
      </c>
      <c r="AN1173" s="1" t="s">
        <v>198</v>
      </c>
      <c r="AO1173" s="1" t="s">
        <v>360</v>
      </c>
      <c r="AP1173" s="1">
        <v>60</v>
      </c>
      <c r="AQ1173" s="1"/>
      <c r="AR1173" s="1"/>
      <c r="AS1173" s="1"/>
      <c r="AT1173" s="1"/>
      <c r="AU1173" s="1"/>
      <c r="AV1173" s="1"/>
      <c r="AW1173" s="1"/>
      <c r="AX1173" s="1" t="s">
        <v>20767</v>
      </c>
      <c r="AY1173" s="1" t="s">
        <v>20765</v>
      </c>
      <c r="AZ1173" s="1" t="s">
        <v>699</v>
      </c>
      <c r="BA1173" s="1" t="s">
        <v>1714</v>
      </c>
      <c r="BB1173" s="1">
        <v>60.4</v>
      </c>
      <c r="BC1173" s="1">
        <v>6.79</v>
      </c>
      <c r="BD1173" s="1"/>
      <c r="BE1173" s="1"/>
      <c r="BF1173" s="1"/>
      <c r="BG1173" s="1"/>
      <c r="BH1173" s="1"/>
      <c r="BI1173" s="1"/>
      <c r="BJ1173" s="1" t="s">
        <v>20768</v>
      </c>
      <c r="BK1173" s="1"/>
      <c r="BL1173" s="1"/>
      <c r="BM1173" s="1" t="s">
        <v>20769</v>
      </c>
      <c r="BN1173" s="1">
        <v>19</v>
      </c>
      <c r="BO1173" s="1"/>
      <c r="BP1173" s="1" t="str">
        <f>HYPERLINK("https://nconnect.nicmar.ac.in/storage/profile/ProfilePhoto_P25701116_873219.jpg","Download")</f>
        <v>0</v>
      </c>
      <c r="BQ1173" s="3"/>
      <c r="BR1173" s="3"/>
    </row>
    <row r="1174" spans="1:70">
      <c r="A1174" s="1" t="s">
        <v>1563</v>
      </c>
      <c r="B1174" s="1" t="s">
        <v>1269</v>
      </c>
      <c r="C1174" s="1" t="s">
        <v>20770</v>
      </c>
      <c r="D1174" s="1" t="s">
        <v>2149</v>
      </c>
      <c r="E1174" s="1" t="s">
        <v>20771</v>
      </c>
      <c r="F1174" s="1" t="s">
        <v>20772</v>
      </c>
      <c r="G1174" s="1" t="s">
        <v>20773</v>
      </c>
      <c r="H1174" s="1" t="s">
        <v>20774</v>
      </c>
      <c r="I1174" s="1" t="s">
        <v>20775</v>
      </c>
      <c r="J1174" s="1">
        <v>8788412691</v>
      </c>
      <c r="K1174" s="1" t="s">
        <v>79</v>
      </c>
      <c r="L1174" s="1" t="s">
        <v>20776</v>
      </c>
      <c r="M1174" s="1" t="s">
        <v>81</v>
      </c>
      <c r="N1174" s="1" t="s">
        <v>17237</v>
      </c>
      <c r="O1174" s="1"/>
      <c r="P1174" s="1" t="s">
        <v>1298</v>
      </c>
      <c r="Q1174" s="1" t="s">
        <v>20777</v>
      </c>
      <c r="R1174" s="1" t="s">
        <v>20771</v>
      </c>
      <c r="S1174" s="1">
        <v>8788410175</v>
      </c>
      <c r="T1174" s="1" t="s">
        <v>154</v>
      </c>
      <c r="U1174" s="1" t="s">
        <v>20778</v>
      </c>
      <c r="V1174" s="1">
        <v>8830240742</v>
      </c>
      <c r="W1174" s="1" t="s">
        <v>156</v>
      </c>
      <c r="X1174" s="1" t="s">
        <v>20779</v>
      </c>
      <c r="Y1174" s="1" t="s">
        <v>191</v>
      </c>
      <c r="Z1174" s="1" t="s">
        <v>92</v>
      </c>
      <c r="AA1174" s="1" t="s">
        <v>20780</v>
      </c>
      <c r="AB1174" s="1" t="s">
        <v>523</v>
      </c>
      <c r="AC1174" s="1" t="s">
        <v>92</v>
      </c>
      <c r="AD1174" s="1" t="s">
        <v>93</v>
      </c>
      <c r="AE1174" s="1" t="s">
        <v>93</v>
      </c>
      <c r="AF1174" s="1" t="s">
        <v>20781</v>
      </c>
      <c r="AG1174" s="1" t="s">
        <v>3853</v>
      </c>
      <c r="AH1174" s="1" t="s">
        <v>162</v>
      </c>
      <c r="AI1174" s="1" t="s">
        <v>165</v>
      </c>
      <c r="AJ1174" s="1">
        <v>69</v>
      </c>
      <c r="AK1174" s="1">
        <v>7.26</v>
      </c>
      <c r="AL1174" s="1"/>
      <c r="AM1174" s="1"/>
      <c r="AN1174" s="1"/>
      <c r="AO1174" s="1"/>
      <c r="AP1174" s="1"/>
      <c r="AQ1174" s="1"/>
      <c r="AR1174" s="1" t="s">
        <v>434</v>
      </c>
      <c r="AS1174" s="1" t="s">
        <v>20782</v>
      </c>
      <c r="AT1174" s="1" t="s">
        <v>225</v>
      </c>
      <c r="AU1174" s="1" t="s">
        <v>170</v>
      </c>
      <c r="AV1174" s="1">
        <v>75.95</v>
      </c>
      <c r="AW1174" s="1"/>
      <c r="AX1174" s="1" t="s">
        <v>18065</v>
      </c>
      <c r="AY1174" s="1" t="s">
        <v>20783</v>
      </c>
      <c r="AZ1174" s="1" t="s">
        <v>941</v>
      </c>
      <c r="BA1174" s="1" t="s">
        <v>174</v>
      </c>
      <c r="BB1174" s="1">
        <v>73</v>
      </c>
      <c r="BC1174" s="1">
        <v>7.69</v>
      </c>
      <c r="BD1174" s="1"/>
      <c r="BE1174" s="1"/>
      <c r="BF1174" s="1"/>
      <c r="BG1174" s="1"/>
      <c r="BH1174" s="1"/>
      <c r="BI1174" s="1"/>
      <c r="BJ1174" s="1" t="s">
        <v>20784</v>
      </c>
      <c r="BK1174" s="1"/>
      <c r="BL1174" s="1"/>
      <c r="BM1174" s="1"/>
      <c r="BN1174" s="1"/>
      <c r="BO1174" s="1"/>
      <c r="BP1174" s="1" t="str">
        <f>HYPERLINK("https://nconnect.nicmar.ac.in/storage/profile/ProfilePhoto_P25701117_619824.jpg","Download")</f>
        <v>0</v>
      </c>
      <c r="BQ1174" s="3"/>
      <c r="BR1174" s="3"/>
    </row>
    <row r="1175" spans="1:70">
      <c r="A1175" s="1" t="s">
        <v>1563</v>
      </c>
      <c r="B1175" s="1" t="s">
        <v>1269</v>
      </c>
      <c r="C1175" s="1" t="s">
        <v>20785</v>
      </c>
      <c r="D1175" s="1" t="s">
        <v>20786</v>
      </c>
      <c r="E1175" s="1"/>
      <c r="F1175" s="1" t="s">
        <v>2208</v>
      </c>
      <c r="G1175" s="1" t="s">
        <v>20787</v>
      </c>
      <c r="H1175" s="1" t="s">
        <v>20788</v>
      </c>
      <c r="I1175" s="1" t="s">
        <v>20789</v>
      </c>
      <c r="J1175" s="1">
        <v>8250495051</v>
      </c>
      <c r="K1175" s="1" t="s">
        <v>79</v>
      </c>
      <c r="L1175" s="1" t="s">
        <v>3613</v>
      </c>
      <c r="M1175" s="1" t="s">
        <v>81</v>
      </c>
      <c r="N1175" s="1" t="s">
        <v>20790</v>
      </c>
      <c r="O1175" s="1"/>
      <c r="P1175" s="1" t="s">
        <v>1323</v>
      </c>
      <c r="Q1175" s="1" t="s">
        <v>20791</v>
      </c>
      <c r="R1175" s="1" t="s">
        <v>20792</v>
      </c>
      <c r="S1175" s="1">
        <v>9775056818</v>
      </c>
      <c r="T1175" s="1" t="s">
        <v>20793</v>
      </c>
      <c r="U1175" s="1" t="s">
        <v>20794</v>
      </c>
      <c r="V1175" s="1">
        <v>7001637715</v>
      </c>
      <c r="W1175" s="1" t="s">
        <v>651</v>
      </c>
      <c r="X1175" s="1" t="s">
        <v>20795</v>
      </c>
      <c r="Y1175" s="1" t="s">
        <v>3620</v>
      </c>
      <c r="Z1175" s="1" t="s">
        <v>783</v>
      </c>
      <c r="AA1175" s="1" t="s">
        <v>20795</v>
      </c>
      <c r="AB1175" s="1" t="s">
        <v>3620</v>
      </c>
      <c r="AC1175" s="1" t="s">
        <v>783</v>
      </c>
      <c r="AD1175" s="1">
        <v>8.58</v>
      </c>
      <c r="AE1175" s="1" t="s">
        <v>93</v>
      </c>
      <c r="AF1175" s="1" t="s">
        <v>20796</v>
      </c>
      <c r="AG1175" s="1" t="s">
        <v>939</v>
      </c>
      <c r="AH1175" s="1" t="s">
        <v>1197</v>
      </c>
      <c r="AI1175" s="1" t="s">
        <v>131</v>
      </c>
      <c r="AJ1175" s="1">
        <v>83.6</v>
      </c>
      <c r="AK1175" s="1">
        <v>8.8</v>
      </c>
      <c r="AL1175" s="1" t="s">
        <v>20797</v>
      </c>
      <c r="AM1175" s="1" t="s">
        <v>939</v>
      </c>
      <c r="AN1175" s="1" t="s">
        <v>4996</v>
      </c>
      <c r="AO1175" s="1" t="s">
        <v>479</v>
      </c>
      <c r="AP1175" s="1">
        <v>63</v>
      </c>
      <c r="AQ1175" s="1"/>
      <c r="AR1175" s="1"/>
      <c r="AS1175" s="1"/>
      <c r="AT1175" s="1"/>
      <c r="AU1175" s="1"/>
      <c r="AV1175" s="1"/>
      <c r="AW1175" s="1"/>
      <c r="AX1175" s="1" t="s">
        <v>4405</v>
      </c>
      <c r="AY1175" s="1" t="s">
        <v>20798</v>
      </c>
      <c r="AZ1175" s="1" t="s">
        <v>225</v>
      </c>
      <c r="BA1175" s="1" t="s">
        <v>284</v>
      </c>
      <c r="BB1175" s="1">
        <v>73</v>
      </c>
      <c r="BC1175" s="1">
        <v>8.05</v>
      </c>
      <c r="BD1175" s="1"/>
      <c r="BE1175" s="1"/>
      <c r="BF1175" s="1"/>
      <c r="BG1175" s="1"/>
      <c r="BH1175" s="1"/>
      <c r="BI1175" s="1"/>
      <c r="BJ1175" s="1" t="s">
        <v>20799</v>
      </c>
      <c r="BK1175" s="1" t="s">
        <v>20800</v>
      </c>
      <c r="BL1175" s="1" t="s">
        <v>5881</v>
      </c>
      <c r="BM1175" s="1" t="s">
        <v>20801</v>
      </c>
      <c r="BN1175" s="1">
        <v>35</v>
      </c>
      <c r="BO1175" s="1" t="s">
        <v>20802</v>
      </c>
      <c r="BP1175" s="1" t="str">
        <f>HYPERLINK("https://nconnect.nicmar.ac.in/storage/profile/ProfilePhoto_P25701118_392456.jpg","Download")</f>
        <v>0</v>
      </c>
      <c r="BQ1175" s="3"/>
      <c r="BR1175" s="3"/>
    </row>
    <row r="1176" spans="1:70">
      <c r="A1176" s="1" t="s">
        <v>1563</v>
      </c>
      <c r="B1176" s="1" t="s">
        <v>1269</v>
      </c>
      <c r="C1176" s="1" t="s">
        <v>20803</v>
      </c>
      <c r="D1176" s="1" t="s">
        <v>20804</v>
      </c>
      <c r="E1176" s="1" t="s">
        <v>1138</v>
      </c>
      <c r="F1176" s="1" t="s">
        <v>20805</v>
      </c>
      <c r="G1176" s="1" t="s">
        <v>20806</v>
      </c>
      <c r="H1176" s="1" t="s">
        <v>20807</v>
      </c>
      <c r="I1176" s="1" t="s">
        <v>20808</v>
      </c>
      <c r="J1176" s="1">
        <v>8484829112</v>
      </c>
      <c r="K1176" s="1" t="s">
        <v>79</v>
      </c>
      <c r="L1176" s="1" t="s">
        <v>3317</v>
      </c>
      <c r="M1176" s="1" t="s">
        <v>81</v>
      </c>
      <c r="N1176" s="1" t="s">
        <v>4149</v>
      </c>
      <c r="O1176" s="1"/>
      <c r="P1176" s="1" t="s">
        <v>1323</v>
      </c>
      <c r="Q1176" s="1" t="s">
        <v>20809</v>
      </c>
      <c r="R1176" s="1" t="s">
        <v>20810</v>
      </c>
      <c r="S1176" s="1">
        <v>9075079808</v>
      </c>
      <c r="T1176" s="1" t="s">
        <v>5400</v>
      </c>
      <c r="U1176" s="1" t="s">
        <v>20811</v>
      </c>
      <c r="V1176" s="1">
        <v>8999814029</v>
      </c>
      <c r="W1176" s="1" t="s">
        <v>20689</v>
      </c>
      <c r="X1176" s="1" t="s">
        <v>20812</v>
      </c>
      <c r="Y1176" s="1" t="s">
        <v>405</v>
      </c>
      <c r="Z1176" s="1" t="s">
        <v>92</v>
      </c>
      <c r="AA1176" s="1" t="s">
        <v>20812</v>
      </c>
      <c r="AB1176" s="1" t="s">
        <v>405</v>
      </c>
      <c r="AC1176" s="1" t="s">
        <v>92</v>
      </c>
      <c r="AD1176" s="1">
        <v>8.03</v>
      </c>
      <c r="AE1176" s="1" t="s">
        <v>93</v>
      </c>
      <c r="AF1176" s="1" t="s">
        <v>20813</v>
      </c>
      <c r="AG1176" s="1" t="s">
        <v>307</v>
      </c>
      <c r="AH1176" s="1" t="s">
        <v>1307</v>
      </c>
      <c r="AI1176" s="1" t="s">
        <v>1065</v>
      </c>
      <c r="AJ1176" s="1">
        <v>86.8</v>
      </c>
      <c r="AK1176" s="1"/>
      <c r="AL1176" s="1" t="s">
        <v>20814</v>
      </c>
      <c r="AM1176" s="1" t="s">
        <v>307</v>
      </c>
      <c r="AN1176" s="1" t="s">
        <v>1065</v>
      </c>
      <c r="AO1176" s="1" t="s">
        <v>506</v>
      </c>
      <c r="AP1176" s="1">
        <v>70.4</v>
      </c>
      <c r="AQ1176" s="1"/>
      <c r="AR1176" s="1"/>
      <c r="AS1176" s="1"/>
      <c r="AT1176" s="1"/>
      <c r="AU1176" s="1"/>
      <c r="AV1176" s="1"/>
      <c r="AW1176" s="1"/>
      <c r="AX1176" s="1" t="s">
        <v>20815</v>
      </c>
      <c r="AY1176" s="1" t="s">
        <v>20816</v>
      </c>
      <c r="AZ1176" s="1" t="s">
        <v>897</v>
      </c>
      <c r="BA1176" s="1" t="s">
        <v>1408</v>
      </c>
      <c r="BB1176" s="1">
        <v>75</v>
      </c>
      <c r="BC1176" s="1">
        <v>7.5</v>
      </c>
      <c r="BD1176" s="1"/>
      <c r="BE1176" s="1"/>
      <c r="BF1176" s="1"/>
      <c r="BG1176" s="1"/>
      <c r="BH1176" s="1"/>
      <c r="BI1176" s="1"/>
      <c r="BJ1176" s="1" t="s">
        <v>20817</v>
      </c>
      <c r="BK1176" s="1"/>
      <c r="BL1176" s="1"/>
      <c r="BM1176" s="1" t="s">
        <v>20818</v>
      </c>
      <c r="BN1176" s="1">
        <v>8</v>
      </c>
      <c r="BO1176" s="1" t="s">
        <v>20819</v>
      </c>
      <c r="BP1176" s="1" t="str">
        <f>HYPERLINK("https://nconnect.nicmar.ac.in/storage/profile/ProfilePhoto_P25701119_274135.jpg","Download")</f>
        <v>0</v>
      </c>
      <c r="BQ1176" s="3"/>
      <c r="BR1176" s="3"/>
    </row>
    <row r="1177" spans="1:70">
      <c r="A1177" s="1" t="s">
        <v>1563</v>
      </c>
      <c r="B1177" s="1" t="s">
        <v>1269</v>
      </c>
      <c r="C1177" s="1" t="s">
        <v>20820</v>
      </c>
      <c r="D1177" s="1" t="s">
        <v>7939</v>
      </c>
      <c r="E1177" s="1" t="s">
        <v>2763</v>
      </c>
      <c r="F1177" s="1" t="s">
        <v>1680</v>
      </c>
      <c r="G1177" s="1" t="s">
        <v>20821</v>
      </c>
      <c r="H1177" s="1" t="s">
        <v>20822</v>
      </c>
      <c r="I1177" s="1" t="s">
        <v>20823</v>
      </c>
      <c r="J1177" s="1">
        <v>8248911254</v>
      </c>
      <c r="K1177" s="1" t="s">
        <v>79</v>
      </c>
      <c r="L1177" s="1" t="s">
        <v>20824</v>
      </c>
      <c r="M1177" s="1" t="s">
        <v>81</v>
      </c>
      <c r="N1177" s="1" t="s">
        <v>20825</v>
      </c>
      <c r="O1177" s="1"/>
      <c r="P1177" s="1" t="s">
        <v>1462</v>
      </c>
      <c r="Q1177" s="1" t="s">
        <v>20826</v>
      </c>
      <c r="R1177" s="1" t="s">
        <v>20827</v>
      </c>
      <c r="S1177" s="1">
        <v>9842414447</v>
      </c>
      <c r="T1177" s="1" t="s">
        <v>496</v>
      </c>
      <c r="U1177" s="1" t="s">
        <v>20828</v>
      </c>
      <c r="V1177" s="1">
        <v>7695873931</v>
      </c>
      <c r="W1177" s="1" t="s">
        <v>273</v>
      </c>
      <c r="X1177" s="1" t="s">
        <v>20829</v>
      </c>
      <c r="Y1177" s="1" t="s">
        <v>7949</v>
      </c>
      <c r="Z1177" s="1" t="s">
        <v>1377</v>
      </c>
      <c r="AA1177" s="1" t="s">
        <v>20829</v>
      </c>
      <c r="AB1177" s="1" t="s">
        <v>7949</v>
      </c>
      <c r="AC1177" s="1" t="s">
        <v>1377</v>
      </c>
      <c r="AD1177" s="1">
        <v>8.12</v>
      </c>
      <c r="AE1177" s="1" t="s">
        <v>93</v>
      </c>
      <c r="AF1177" s="1" t="s">
        <v>20830</v>
      </c>
      <c r="AG1177" s="1" t="s">
        <v>9269</v>
      </c>
      <c r="AH1177" s="1" t="s">
        <v>162</v>
      </c>
      <c r="AI1177" s="1" t="s">
        <v>195</v>
      </c>
      <c r="AJ1177" s="1">
        <v>87.8</v>
      </c>
      <c r="AK1177" s="1"/>
      <c r="AL1177" s="1" t="s">
        <v>20831</v>
      </c>
      <c r="AM1177" s="1" t="s">
        <v>9269</v>
      </c>
      <c r="AN1177" s="1" t="s">
        <v>101</v>
      </c>
      <c r="AO1177" s="1" t="s">
        <v>1065</v>
      </c>
      <c r="AP1177" s="1">
        <v>73.16</v>
      </c>
      <c r="AQ1177" s="1"/>
      <c r="AR1177" s="1"/>
      <c r="AS1177" s="1"/>
      <c r="AT1177" s="1"/>
      <c r="AU1177" s="1"/>
      <c r="AV1177" s="1"/>
      <c r="AW1177" s="1"/>
      <c r="AX1177" s="1" t="s">
        <v>1381</v>
      </c>
      <c r="AY1177" s="1" t="s">
        <v>20832</v>
      </c>
      <c r="AZ1177" s="1" t="s">
        <v>201</v>
      </c>
      <c r="BA1177" s="1" t="s">
        <v>1584</v>
      </c>
      <c r="BB1177" s="1">
        <v>69.6</v>
      </c>
      <c r="BC1177" s="1">
        <v>6.96</v>
      </c>
      <c r="BD1177" s="1"/>
      <c r="BE1177" s="1"/>
      <c r="BF1177" s="1"/>
      <c r="BG1177" s="1"/>
      <c r="BH1177" s="1"/>
      <c r="BI1177" s="1"/>
      <c r="BJ1177" s="1" t="s">
        <v>20833</v>
      </c>
      <c r="BK1177" s="1"/>
      <c r="BL1177" s="1"/>
      <c r="BM1177" s="1" t="s">
        <v>20834</v>
      </c>
      <c r="BN1177" s="1">
        <v>28</v>
      </c>
      <c r="BO1177" s="1" t="s">
        <v>20835</v>
      </c>
      <c r="BP1177" s="1" t="str">
        <f>HYPERLINK("https://nconnect.nicmar.ac.in/storage/profile/ProfilePhoto_P25701120_461395.jpg","Download")</f>
        <v>0</v>
      </c>
      <c r="BQ1177" s="3"/>
      <c r="BR1177" s="3"/>
    </row>
    <row r="1178" spans="1:70">
      <c r="A1178" s="1" t="s">
        <v>1563</v>
      </c>
      <c r="B1178" s="1" t="s">
        <v>1269</v>
      </c>
      <c r="C1178" s="1" t="s">
        <v>20836</v>
      </c>
      <c r="D1178" s="1" t="s">
        <v>12720</v>
      </c>
      <c r="E1178" s="1" t="s">
        <v>756</v>
      </c>
      <c r="F1178" s="1" t="s">
        <v>20837</v>
      </c>
      <c r="G1178" s="1" t="s">
        <v>20838</v>
      </c>
      <c r="H1178" s="1" t="s">
        <v>20839</v>
      </c>
      <c r="I1178" s="1" t="s">
        <v>20840</v>
      </c>
      <c r="J1178" s="1">
        <v>9967731823</v>
      </c>
      <c r="K1178" s="1" t="s">
        <v>79</v>
      </c>
      <c r="L1178" s="1" t="s">
        <v>20841</v>
      </c>
      <c r="M1178" s="1" t="s">
        <v>81</v>
      </c>
      <c r="N1178" s="1" t="s">
        <v>9154</v>
      </c>
      <c r="O1178" s="1"/>
      <c r="P1178" s="1" t="s">
        <v>1278</v>
      </c>
      <c r="Q1178" s="1" t="s">
        <v>20842</v>
      </c>
      <c r="R1178" s="1" t="s">
        <v>20843</v>
      </c>
      <c r="S1178" s="1">
        <v>9730899942</v>
      </c>
      <c r="T1178" s="1" t="s">
        <v>763</v>
      </c>
      <c r="U1178" s="1" t="s">
        <v>20844</v>
      </c>
      <c r="V1178" s="1">
        <v>8779004469</v>
      </c>
      <c r="W1178" s="1" t="s">
        <v>763</v>
      </c>
      <c r="X1178" s="1" t="s">
        <v>20845</v>
      </c>
      <c r="Y1178" s="1" t="s">
        <v>766</v>
      </c>
      <c r="Z1178" s="1" t="s">
        <v>92</v>
      </c>
      <c r="AA1178" s="1" t="s">
        <v>20845</v>
      </c>
      <c r="AB1178" s="1" t="s">
        <v>766</v>
      </c>
      <c r="AC1178" s="1" t="s">
        <v>92</v>
      </c>
      <c r="AD1178" s="1">
        <v>8.03</v>
      </c>
      <c r="AE1178" s="1" t="s">
        <v>93</v>
      </c>
      <c r="AF1178" s="1" t="s">
        <v>20846</v>
      </c>
      <c r="AG1178" s="1" t="s">
        <v>20847</v>
      </c>
      <c r="AH1178" s="1" t="s">
        <v>1197</v>
      </c>
      <c r="AI1178" s="1" t="s">
        <v>131</v>
      </c>
      <c r="AJ1178" s="1">
        <v>81.16</v>
      </c>
      <c r="AK1178" s="1"/>
      <c r="AL1178" s="1" t="s">
        <v>20848</v>
      </c>
      <c r="AM1178" s="1" t="s">
        <v>4606</v>
      </c>
      <c r="AN1178" s="1" t="s">
        <v>1001</v>
      </c>
      <c r="AO1178" s="1" t="s">
        <v>1332</v>
      </c>
      <c r="AP1178" s="1">
        <v>74.61</v>
      </c>
      <c r="AQ1178" s="1"/>
      <c r="AR1178" s="1"/>
      <c r="AS1178" s="1"/>
      <c r="AT1178" s="1"/>
      <c r="AU1178" s="1"/>
      <c r="AV1178" s="1"/>
      <c r="AW1178" s="1"/>
      <c r="AX1178" s="1" t="s">
        <v>361</v>
      </c>
      <c r="AY1178" s="1" t="s">
        <v>20849</v>
      </c>
      <c r="AZ1178" s="1" t="s">
        <v>479</v>
      </c>
      <c r="BA1178" s="1" t="s">
        <v>481</v>
      </c>
      <c r="BB1178" s="1">
        <v>84.86</v>
      </c>
      <c r="BC1178" s="1">
        <v>9.24</v>
      </c>
      <c r="BD1178" s="1"/>
      <c r="BE1178" s="1"/>
      <c r="BF1178" s="1"/>
      <c r="BG1178" s="1"/>
      <c r="BH1178" s="1"/>
      <c r="BI1178" s="1"/>
      <c r="BJ1178" s="1" t="s">
        <v>20850</v>
      </c>
      <c r="BK1178" s="1" t="s">
        <v>20851</v>
      </c>
      <c r="BL1178" s="1" t="s">
        <v>5625</v>
      </c>
      <c r="BM1178" s="1" t="s">
        <v>20852</v>
      </c>
      <c r="BN1178" s="1">
        <v>40</v>
      </c>
      <c r="BO1178" s="1"/>
      <c r="BP1178" s="1" t="str">
        <f>HYPERLINK("https://nconnect.nicmar.ac.in/storage/profile/ProfilePhoto_P25701121_753814.jpg","Download")</f>
        <v>0</v>
      </c>
      <c r="BQ1178" s="3"/>
      <c r="BR1178" s="3"/>
    </row>
    <row r="1179" spans="1:70">
      <c r="A1179" s="1" t="s">
        <v>1563</v>
      </c>
      <c r="B1179" s="1" t="s">
        <v>1269</v>
      </c>
      <c r="C1179" s="1" t="s">
        <v>20853</v>
      </c>
      <c r="D1179" s="1" t="s">
        <v>2594</v>
      </c>
      <c r="E1179" s="1"/>
      <c r="F1179" s="1" t="s">
        <v>4768</v>
      </c>
      <c r="G1179" s="1" t="s">
        <v>20854</v>
      </c>
      <c r="H1179" s="1" t="s">
        <v>20855</v>
      </c>
      <c r="I1179" s="1" t="s">
        <v>20856</v>
      </c>
      <c r="J1179" s="1">
        <v>8660975315</v>
      </c>
      <c r="K1179" s="1" t="s">
        <v>79</v>
      </c>
      <c r="L1179" s="1" t="s">
        <v>3317</v>
      </c>
      <c r="M1179" s="1" t="s">
        <v>81</v>
      </c>
      <c r="N1179" s="1" t="s">
        <v>2046</v>
      </c>
      <c r="O1179" s="1"/>
      <c r="P1179" s="1" t="s">
        <v>2505</v>
      </c>
      <c r="Q1179" s="1" t="s">
        <v>20857</v>
      </c>
      <c r="R1179" s="1" t="s">
        <v>20858</v>
      </c>
      <c r="S1179" s="1">
        <v>9845167495</v>
      </c>
      <c r="T1179" s="1" t="s">
        <v>5439</v>
      </c>
      <c r="U1179" s="1" t="s">
        <v>20859</v>
      </c>
      <c r="V1179" s="1">
        <v>9019924093</v>
      </c>
      <c r="W1179" s="1" t="s">
        <v>89</v>
      </c>
      <c r="X1179" s="1" t="s">
        <v>20860</v>
      </c>
      <c r="Y1179" s="1" t="s">
        <v>1083</v>
      </c>
      <c r="Z1179" s="1" t="s">
        <v>1084</v>
      </c>
      <c r="AA1179" s="1" t="s">
        <v>20860</v>
      </c>
      <c r="AB1179" s="1" t="s">
        <v>1083</v>
      </c>
      <c r="AC1179" s="1" t="s">
        <v>1084</v>
      </c>
      <c r="AD1179" s="1">
        <v>8.19</v>
      </c>
      <c r="AE1179" s="1" t="s">
        <v>93</v>
      </c>
      <c r="AF1179" s="1" t="s">
        <v>20861</v>
      </c>
      <c r="AG1179" s="1" t="s">
        <v>20862</v>
      </c>
      <c r="AH1179" s="1" t="s">
        <v>165</v>
      </c>
      <c r="AI1179" s="1" t="s">
        <v>101</v>
      </c>
      <c r="AJ1179" s="1">
        <v>85.34</v>
      </c>
      <c r="AK1179" s="1"/>
      <c r="AL1179" s="1" t="s">
        <v>20863</v>
      </c>
      <c r="AM1179" s="1" t="s">
        <v>20864</v>
      </c>
      <c r="AN1179" s="1" t="s">
        <v>101</v>
      </c>
      <c r="AO1179" s="1" t="s">
        <v>699</v>
      </c>
      <c r="AP1179" s="1">
        <v>73.5</v>
      </c>
      <c r="AQ1179" s="1"/>
      <c r="AR1179" s="1"/>
      <c r="AS1179" s="1"/>
      <c r="AT1179" s="1"/>
      <c r="AU1179" s="1"/>
      <c r="AV1179" s="1"/>
      <c r="AW1179" s="1"/>
      <c r="AX1179" s="1" t="s">
        <v>1088</v>
      </c>
      <c r="AY1179" s="1" t="s">
        <v>20865</v>
      </c>
      <c r="AZ1179" s="1" t="s">
        <v>228</v>
      </c>
      <c r="BA1179" s="1" t="s">
        <v>202</v>
      </c>
      <c r="BB1179" s="1">
        <v>69.4</v>
      </c>
      <c r="BC1179" s="1">
        <v>7.69</v>
      </c>
      <c r="BD1179" s="1"/>
      <c r="BE1179" s="1"/>
      <c r="BF1179" s="1"/>
      <c r="BG1179" s="1"/>
      <c r="BH1179" s="1"/>
      <c r="BI1179" s="1"/>
      <c r="BJ1179" s="1" t="s">
        <v>1383</v>
      </c>
      <c r="BK1179" s="1" t="s">
        <v>20866</v>
      </c>
      <c r="BL1179" s="1" t="s">
        <v>2910</v>
      </c>
      <c r="BM1179" s="1" t="s">
        <v>20867</v>
      </c>
      <c r="BN1179" s="1">
        <v>30</v>
      </c>
      <c r="BO1179" s="1"/>
      <c r="BP1179" s="1" t="str">
        <f>HYPERLINK("https://nconnect.nicmar.ac.in/storage/profile/ProfilePhoto_P25701122_936541.jpg","Download")</f>
        <v>0</v>
      </c>
      <c r="BQ1179" s="3"/>
      <c r="BR1179" s="3"/>
    </row>
    <row r="1180" spans="1:70">
      <c r="A1180" s="1" t="s">
        <v>1563</v>
      </c>
      <c r="B1180" s="1" t="s">
        <v>1269</v>
      </c>
      <c r="C1180" s="1" t="s">
        <v>20868</v>
      </c>
      <c r="D1180" s="1" t="s">
        <v>443</v>
      </c>
      <c r="E1180" s="1" t="s">
        <v>3052</v>
      </c>
      <c r="F1180" s="1" t="s">
        <v>20869</v>
      </c>
      <c r="G1180" s="1" t="s">
        <v>20870</v>
      </c>
      <c r="H1180" s="1" t="s">
        <v>20871</v>
      </c>
      <c r="I1180" s="1" t="s">
        <v>20872</v>
      </c>
      <c r="J1180" s="1">
        <v>8208789217</v>
      </c>
      <c r="K1180" s="1" t="s">
        <v>79</v>
      </c>
      <c r="L1180" s="1" t="s">
        <v>3186</v>
      </c>
      <c r="M1180" s="1" t="s">
        <v>81</v>
      </c>
      <c r="N1180" s="1" t="s">
        <v>13651</v>
      </c>
      <c r="O1180" s="1"/>
      <c r="P1180" s="1" t="s">
        <v>2505</v>
      </c>
      <c r="Q1180" s="1" t="s">
        <v>20873</v>
      </c>
      <c r="R1180" s="1" t="s">
        <v>20874</v>
      </c>
      <c r="S1180" s="1">
        <v>9420304648</v>
      </c>
      <c r="T1180" s="1" t="s">
        <v>122</v>
      </c>
      <c r="U1180" s="1" t="s">
        <v>20875</v>
      </c>
      <c r="V1180" s="1">
        <v>9011395779</v>
      </c>
      <c r="W1180" s="1" t="s">
        <v>9740</v>
      </c>
      <c r="X1180" s="1" t="s">
        <v>20876</v>
      </c>
      <c r="Y1180" s="1" t="s">
        <v>1424</v>
      </c>
      <c r="Z1180" s="1" t="s">
        <v>92</v>
      </c>
      <c r="AA1180" s="1" t="s">
        <v>20876</v>
      </c>
      <c r="AB1180" s="1" t="s">
        <v>1424</v>
      </c>
      <c r="AC1180" s="1" t="s">
        <v>92</v>
      </c>
      <c r="AD1180" s="1">
        <v>7.61</v>
      </c>
      <c r="AE1180" s="1" t="s">
        <v>93</v>
      </c>
      <c r="AF1180" s="1" t="s">
        <v>20877</v>
      </c>
      <c r="AG1180" s="1" t="s">
        <v>160</v>
      </c>
      <c r="AH1180" s="1" t="s">
        <v>161</v>
      </c>
      <c r="AI1180" s="1" t="s">
        <v>527</v>
      </c>
      <c r="AJ1180" s="1">
        <v>81.4</v>
      </c>
      <c r="AK1180" s="1"/>
      <c r="AL1180" s="1" t="s">
        <v>20878</v>
      </c>
      <c r="AM1180" s="1" t="s">
        <v>160</v>
      </c>
      <c r="AN1180" s="1" t="s">
        <v>165</v>
      </c>
      <c r="AO1180" s="1" t="s">
        <v>1307</v>
      </c>
      <c r="AP1180" s="1">
        <v>60</v>
      </c>
      <c r="AQ1180" s="1"/>
      <c r="AR1180" s="1"/>
      <c r="AS1180" s="1"/>
      <c r="AT1180" s="1"/>
      <c r="AU1180" s="1"/>
      <c r="AV1180" s="1"/>
      <c r="AW1180" s="1"/>
      <c r="AX1180" s="1" t="s">
        <v>1852</v>
      </c>
      <c r="AY1180" s="1" t="s">
        <v>20879</v>
      </c>
      <c r="AZ1180" s="1" t="s">
        <v>101</v>
      </c>
      <c r="BA1180" s="1" t="s">
        <v>481</v>
      </c>
      <c r="BB1180" s="1">
        <v>85.2</v>
      </c>
      <c r="BC1180" s="1">
        <v>9.27</v>
      </c>
      <c r="BD1180" s="1"/>
      <c r="BE1180" s="1"/>
      <c r="BF1180" s="1"/>
      <c r="BG1180" s="1"/>
      <c r="BH1180" s="1"/>
      <c r="BI1180" s="1"/>
      <c r="BJ1180" s="1" t="s">
        <v>20880</v>
      </c>
      <c r="BK1180" s="1"/>
      <c r="BL1180" s="1"/>
      <c r="BM1180" s="1" t="s">
        <v>20881</v>
      </c>
      <c r="BN1180" s="1">
        <v>16</v>
      </c>
      <c r="BO1180" s="1"/>
      <c r="BP1180" s="1" t="str">
        <f>HYPERLINK("https://nconnect.nicmar.ac.in/storage/profile/ProfilePhoto_P25701123_957821.jpg","Download")</f>
        <v>0</v>
      </c>
      <c r="BQ1180" s="3"/>
      <c r="BR1180" s="3"/>
    </row>
    <row r="1181" spans="1:70">
      <c r="A1181" s="1" t="s">
        <v>1563</v>
      </c>
      <c r="B1181" s="1" t="s">
        <v>1269</v>
      </c>
      <c r="C1181" s="1" t="s">
        <v>20882</v>
      </c>
      <c r="D1181" s="1" t="s">
        <v>6574</v>
      </c>
      <c r="E1181" s="1"/>
      <c r="F1181" s="1" t="s">
        <v>20883</v>
      </c>
      <c r="G1181" s="1" t="s">
        <v>20884</v>
      </c>
      <c r="H1181" s="1" t="s">
        <v>20885</v>
      </c>
      <c r="I1181" s="1" t="s">
        <v>20886</v>
      </c>
      <c r="J1181" s="1">
        <v>8590312588</v>
      </c>
      <c r="K1181" s="1" t="s">
        <v>79</v>
      </c>
      <c r="L1181" s="1" t="s">
        <v>20887</v>
      </c>
      <c r="M1181" s="1" t="s">
        <v>81</v>
      </c>
      <c r="N1181" s="1" t="s">
        <v>5928</v>
      </c>
      <c r="O1181" s="1"/>
      <c r="P1181" s="1" t="s">
        <v>1323</v>
      </c>
      <c r="Q1181" s="1" t="s">
        <v>20888</v>
      </c>
      <c r="R1181" s="1" t="s">
        <v>20889</v>
      </c>
      <c r="S1181" s="1">
        <v>9447601528</v>
      </c>
      <c r="T1181" s="1" t="s">
        <v>496</v>
      </c>
      <c r="U1181" s="1" t="s">
        <v>20890</v>
      </c>
      <c r="V1181" s="1">
        <v>9446015158</v>
      </c>
      <c r="W1181" s="1" t="s">
        <v>20891</v>
      </c>
      <c r="X1181" s="1" t="s">
        <v>20892</v>
      </c>
      <c r="Y1181" s="1" t="s">
        <v>3323</v>
      </c>
      <c r="Z1181" s="1" t="s">
        <v>125</v>
      </c>
      <c r="AA1181" s="1" t="s">
        <v>20892</v>
      </c>
      <c r="AB1181" s="1" t="s">
        <v>3323</v>
      </c>
      <c r="AC1181" s="1" t="s">
        <v>125</v>
      </c>
      <c r="AD1181" s="1">
        <v>8.82</v>
      </c>
      <c r="AE1181" s="1" t="s">
        <v>93</v>
      </c>
      <c r="AF1181" s="1" t="s">
        <v>20893</v>
      </c>
      <c r="AG1181" s="1" t="s">
        <v>939</v>
      </c>
      <c r="AH1181" s="1" t="s">
        <v>162</v>
      </c>
      <c r="AI1181" s="1" t="s">
        <v>165</v>
      </c>
      <c r="AJ1181" s="1">
        <v>95</v>
      </c>
      <c r="AK1181" s="1">
        <v>10</v>
      </c>
      <c r="AL1181" s="1" t="s">
        <v>20893</v>
      </c>
      <c r="AM1181" s="1" t="s">
        <v>939</v>
      </c>
      <c r="AN1181" s="1" t="s">
        <v>166</v>
      </c>
      <c r="AO1181" s="1" t="s">
        <v>308</v>
      </c>
      <c r="AP1181" s="1">
        <v>77</v>
      </c>
      <c r="AQ1181" s="1"/>
      <c r="AR1181" s="1"/>
      <c r="AS1181" s="1"/>
      <c r="AT1181" s="1"/>
      <c r="AU1181" s="1"/>
      <c r="AV1181" s="1"/>
      <c r="AW1181" s="1"/>
      <c r="AX1181" s="1" t="s">
        <v>132</v>
      </c>
      <c r="AY1181" s="1" t="s">
        <v>20894</v>
      </c>
      <c r="AZ1181" s="1" t="s">
        <v>920</v>
      </c>
      <c r="BA1181" s="1" t="s">
        <v>1977</v>
      </c>
      <c r="BB1181" s="1">
        <v>71.7</v>
      </c>
      <c r="BC1181" s="1">
        <v>7.17</v>
      </c>
      <c r="BD1181" s="1"/>
      <c r="BE1181" s="1"/>
      <c r="BF1181" s="1"/>
      <c r="BG1181" s="1"/>
      <c r="BH1181" s="1"/>
      <c r="BI1181" s="1"/>
      <c r="BJ1181" s="1" t="s">
        <v>20895</v>
      </c>
      <c r="BK1181" s="1"/>
      <c r="BL1181" s="1"/>
      <c r="BM1181" s="1" t="s">
        <v>20896</v>
      </c>
      <c r="BN1181" s="1">
        <v>39</v>
      </c>
      <c r="BO1181" s="1" t="s">
        <v>20897</v>
      </c>
      <c r="BP1181" s="1" t="str">
        <f>HYPERLINK("https://nconnect.nicmar.ac.in/storage/profile/ProfilePhoto_P25701124_429365.jpg","Download")</f>
        <v>0</v>
      </c>
      <c r="BQ1181" s="3"/>
      <c r="BR1181" s="3"/>
    </row>
    <row r="1182" spans="1:70">
      <c r="A1182" s="1" t="s">
        <v>1563</v>
      </c>
      <c r="B1182" s="1" t="s">
        <v>1269</v>
      </c>
      <c r="C1182" s="1" t="s">
        <v>20898</v>
      </c>
      <c r="D1182" s="1" t="s">
        <v>3799</v>
      </c>
      <c r="E1182" s="1" t="s">
        <v>513</v>
      </c>
      <c r="F1182" s="1" t="s">
        <v>20899</v>
      </c>
      <c r="G1182" s="1" t="s">
        <v>20900</v>
      </c>
      <c r="H1182" s="1" t="s">
        <v>20901</v>
      </c>
      <c r="I1182" s="1" t="s">
        <v>20902</v>
      </c>
      <c r="J1182" s="1">
        <v>8850501926</v>
      </c>
      <c r="K1182" s="1" t="s">
        <v>148</v>
      </c>
      <c r="L1182" s="1" t="s">
        <v>3924</v>
      </c>
      <c r="M1182" s="1" t="s">
        <v>81</v>
      </c>
      <c r="N1182" s="1" t="s">
        <v>2008</v>
      </c>
      <c r="O1182" s="1"/>
      <c r="P1182" s="1" t="s">
        <v>1323</v>
      </c>
      <c r="Q1182" s="1" t="s">
        <v>20903</v>
      </c>
      <c r="R1182" s="1" t="s">
        <v>20904</v>
      </c>
      <c r="S1182" s="1">
        <v>9323194754</v>
      </c>
      <c r="T1182" s="1" t="s">
        <v>763</v>
      </c>
      <c r="U1182" s="1" t="s">
        <v>20905</v>
      </c>
      <c r="V1182" s="1">
        <v>9322609892</v>
      </c>
      <c r="W1182" s="1" t="s">
        <v>763</v>
      </c>
      <c r="X1182" s="1" t="s">
        <v>20906</v>
      </c>
      <c r="Y1182" s="1" t="s">
        <v>766</v>
      </c>
      <c r="Z1182" s="1" t="s">
        <v>92</v>
      </c>
      <c r="AA1182" s="1" t="s">
        <v>20906</v>
      </c>
      <c r="AB1182" s="1" t="s">
        <v>766</v>
      </c>
      <c r="AC1182" s="1" t="s">
        <v>92</v>
      </c>
      <c r="AD1182" s="1">
        <v>9.49</v>
      </c>
      <c r="AE1182" s="1" t="s">
        <v>93</v>
      </c>
      <c r="AF1182" s="1" t="s">
        <v>20907</v>
      </c>
      <c r="AG1182" s="1" t="s">
        <v>160</v>
      </c>
      <c r="AH1182" s="1" t="s">
        <v>161</v>
      </c>
      <c r="AI1182" s="1" t="s">
        <v>456</v>
      </c>
      <c r="AJ1182" s="1">
        <v>74.2</v>
      </c>
      <c r="AK1182" s="1"/>
      <c r="AL1182" s="1" t="s">
        <v>20908</v>
      </c>
      <c r="AM1182" s="1" t="s">
        <v>160</v>
      </c>
      <c r="AN1182" s="1" t="s">
        <v>165</v>
      </c>
      <c r="AO1182" s="1" t="s">
        <v>457</v>
      </c>
      <c r="AP1182" s="1">
        <v>68.92</v>
      </c>
      <c r="AQ1182" s="1"/>
      <c r="AR1182" s="1"/>
      <c r="AS1182" s="1"/>
      <c r="AT1182" s="1"/>
      <c r="AU1182" s="1"/>
      <c r="AV1182" s="1"/>
      <c r="AW1182" s="1"/>
      <c r="AX1182" s="1" t="s">
        <v>1024</v>
      </c>
      <c r="AY1182" s="1" t="s">
        <v>20909</v>
      </c>
      <c r="AZ1182" s="1" t="s">
        <v>101</v>
      </c>
      <c r="BA1182" s="1" t="s">
        <v>590</v>
      </c>
      <c r="BB1182" s="1">
        <v>68.53</v>
      </c>
      <c r="BC1182" s="1"/>
      <c r="BD1182" s="1"/>
      <c r="BE1182" s="1"/>
      <c r="BF1182" s="1"/>
      <c r="BG1182" s="1"/>
      <c r="BH1182" s="1"/>
      <c r="BI1182" s="1"/>
      <c r="BJ1182" s="1" t="s">
        <v>20910</v>
      </c>
      <c r="BK1182" s="1" t="s">
        <v>20911</v>
      </c>
      <c r="BL1182" s="1" t="s">
        <v>2186</v>
      </c>
      <c r="BM1182" s="1" t="s">
        <v>20912</v>
      </c>
      <c r="BN1182" s="1">
        <v>16</v>
      </c>
      <c r="BO1182" s="1" t="s">
        <v>20913</v>
      </c>
      <c r="BP1182" s="1" t="str">
        <f>HYPERLINK("https://nconnect.nicmar.ac.in/storage/profile/ProfilePhoto_P25701125_465728.jpg","Download")</f>
        <v>0</v>
      </c>
      <c r="BQ1182" s="3"/>
      <c r="BR1182" s="3"/>
    </row>
    <row r="1183" spans="1:70">
      <c r="A1183" s="1" t="s">
        <v>1563</v>
      </c>
      <c r="B1183" s="1" t="s">
        <v>1269</v>
      </c>
      <c r="C1183" s="1" t="s">
        <v>20914</v>
      </c>
      <c r="D1183" s="1" t="s">
        <v>1465</v>
      </c>
      <c r="E1183" s="1" t="s">
        <v>1874</v>
      </c>
      <c r="F1183" s="1" t="s">
        <v>16131</v>
      </c>
      <c r="G1183" s="1" t="s">
        <v>20915</v>
      </c>
      <c r="H1183" s="1" t="s">
        <v>20916</v>
      </c>
      <c r="I1183" s="1" t="s">
        <v>20917</v>
      </c>
      <c r="J1183" s="1">
        <v>9082686887</v>
      </c>
      <c r="K1183" s="1" t="s">
        <v>148</v>
      </c>
      <c r="L1183" s="1" t="s">
        <v>9197</v>
      </c>
      <c r="M1183" s="1" t="s">
        <v>81</v>
      </c>
      <c r="N1183" s="1" t="s">
        <v>1418</v>
      </c>
      <c r="O1183" s="1"/>
      <c r="P1183" s="1" t="s">
        <v>1278</v>
      </c>
      <c r="Q1183" s="1" t="s">
        <v>20918</v>
      </c>
      <c r="R1183" s="1" t="s">
        <v>1874</v>
      </c>
      <c r="S1183" s="1">
        <v>9821478286</v>
      </c>
      <c r="T1183" s="1" t="s">
        <v>377</v>
      </c>
      <c r="U1183" s="1" t="s">
        <v>17250</v>
      </c>
      <c r="V1183" s="1">
        <v>9167117909</v>
      </c>
      <c r="W1183" s="1" t="s">
        <v>651</v>
      </c>
      <c r="X1183" s="1" t="s">
        <v>20919</v>
      </c>
      <c r="Y1183" s="1" t="s">
        <v>995</v>
      </c>
      <c r="Z1183" s="1" t="s">
        <v>92</v>
      </c>
      <c r="AA1183" s="1" t="s">
        <v>20919</v>
      </c>
      <c r="AB1183" s="1" t="s">
        <v>995</v>
      </c>
      <c r="AC1183" s="1" t="s">
        <v>92</v>
      </c>
      <c r="AD1183" s="1">
        <v>9.79</v>
      </c>
      <c r="AE1183" s="1" t="s">
        <v>93</v>
      </c>
      <c r="AF1183" s="1" t="s">
        <v>20920</v>
      </c>
      <c r="AG1183" s="1" t="s">
        <v>160</v>
      </c>
      <c r="AH1183" s="1" t="s">
        <v>162</v>
      </c>
      <c r="AI1183" s="1" t="s">
        <v>195</v>
      </c>
      <c r="AJ1183" s="1">
        <v>91.2</v>
      </c>
      <c r="AK1183" s="1"/>
      <c r="AL1183" s="1" t="s">
        <v>20921</v>
      </c>
      <c r="AM1183" s="1" t="s">
        <v>160</v>
      </c>
      <c r="AN1183" s="1" t="s">
        <v>101</v>
      </c>
      <c r="AO1183" s="1" t="s">
        <v>198</v>
      </c>
      <c r="AP1183" s="1">
        <v>73.85</v>
      </c>
      <c r="AQ1183" s="1"/>
      <c r="AR1183" s="1"/>
      <c r="AS1183" s="1"/>
      <c r="AT1183" s="1"/>
      <c r="AU1183" s="1"/>
      <c r="AV1183" s="1"/>
      <c r="AW1183" s="1"/>
      <c r="AX1183" s="1" t="s">
        <v>253</v>
      </c>
      <c r="AY1183" s="1" t="s">
        <v>1472</v>
      </c>
      <c r="AZ1183" s="1" t="s">
        <v>201</v>
      </c>
      <c r="BA1183" s="1" t="s">
        <v>413</v>
      </c>
      <c r="BB1183" s="1">
        <v>74.23</v>
      </c>
      <c r="BC1183" s="1">
        <v>8.41</v>
      </c>
      <c r="BD1183" s="1"/>
      <c r="BE1183" s="1"/>
      <c r="BF1183" s="1"/>
      <c r="BG1183" s="1"/>
      <c r="BH1183" s="1"/>
      <c r="BI1183" s="1"/>
      <c r="BJ1183" s="1" t="s">
        <v>20922</v>
      </c>
      <c r="BK1183" s="1"/>
      <c r="BL1183" s="1"/>
      <c r="BM1183" s="1" t="s">
        <v>20923</v>
      </c>
      <c r="BN1183" s="1">
        <v>77</v>
      </c>
      <c r="BO1183" s="1"/>
      <c r="BP1183" s="1" t="str">
        <f>HYPERLINK("https://nconnect.nicmar.ac.in/storage/profile/ProfilePhoto_P25701126_826341.jpg","Download")</f>
        <v>0</v>
      </c>
      <c r="BQ1183" s="3"/>
      <c r="BR1183" s="3"/>
    </row>
    <row r="1184" spans="1:70">
      <c r="A1184" s="1" t="s">
        <v>1563</v>
      </c>
      <c r="B1184" s="1" t="s">
        <v>1269</v>
      </c>
      <c r="C1184" s="1" t="s">
        <v>20924</v>
      </c>
      <c r="D1184" s="1" t="s">
        <v>20925</v>
      </c>
      <c r="E1184" s="1" t="s">
        <v>2229</v>
      </c>
      <c r="F1184" s="1" t="s">
        <v>1139</v>
      </c>
      <c r="G1184" s="1" t="s">
        <v>20926</v>
      </c>
      <c r="H1184" s="1" t="s">
        <v>20927</v>
      </c>
      <c r="I1184" s="1" t="s">
        <v>20928</v>
      </c>
      <c r="J1184" s="1">
        <v>7991021702</v>
      </c>
      <c r="K1184" s="1" t="s">
        <v>79</v>
      </c>
      <c r="L1184" s="1" t="s">
        <v>20929</v>
      </c>
      <c r="M1184" s="1" t="s">
        <v>81</v>
      </c>
      <c r="N1184" s="1" t="s">
        <v>20930</v>
      </c>
      <c r="O1184" s="1"/>
      <c r="P1184" s="1" t="s">
        <v>1278</v>
      </c>
      <c r="Q1184" s="1" t="s">
        <v>20931</v>
      </c>
      <c r="R1184" s="1" t="s">
        <v>20932</v>
      </c>
      <c r="S1184" s="1">
        <v>9437003236</v>
      </c>
      <c r="T1184" s="1" t="s">
        <v>842</v>
      </c>
      <c r="U1184" s="1" t="s">
        <v>20933</v>
      </c>
      <c r="V1184" s="1">
        <v>7008466585</v>
      </c>
      <c r="W1184" s="1" t="s">
        <v>156</v>
      </c>
      <c r="X1184" s="1" t="s">
        <v>20934</v>
      </c>
      <c r="Y1184" s="1" t="s">
        <v>20935</v>
      </c>
      <c r="Z1184" s="1" t="s">
        <v>1731</v>
      </c>
      <c r="AA1184" s="1" t="s">
        <v>20934</v>
      </c>
      <c r="AB1184" s="1" t="s">
        <v>20935</v>
      </c>
      <c r="AC1184" s="1" t="s">
        <v>1731</v>
      </c>
      <c r="AD1184" s="1">
        <v>8.08</v>
      </c>
      <c r="AE1184" s="1" t="s">
        <v>93</v>
      </c>
      <c r="AF1184" s="1" t="s">
        <v>11869</v>
      </c>
      <c r="AG1184" s="1" t="s">
        <v>20936</v>
      </c>
      <c r="AH1184" s="1" t="s">
        <v>281</v>
      </c>
      <c r="AI1184" s="1" t="s">
        <v>308</v>
      </c>
      <c r="AJ1184" s="1">
        <v>92.3</v>
      </c>
      <c r="AK1184" s="1">
        <v>0</v>
      </c>
      <c r="AL1184" s="1" t="s">
        <v>11869</v>
      </c>
      <c r="AM1184" s="1" t="s">
        <v>20936</v>
      </c>
      <c r="AN1184" s="1" t="s">
        <v>941</v>
      </c>
      <c r="AO1184" s="1" t="s">
        <v>504</v>
      </c>
      <c r="AP1184" s="1">
        <v>95.6</v>
      </c>
      <c r="AQ1184" s="1">
        <v>0</v>
      </c>
      <c r="AR1184" s="1"/>
      <c r="AS1184" s="1"/>
      <c r="AT1184" s="1"/>
      <c r="AU1184" s="1"/>
      <c r="AV1184" s="1"/>
      <c r="AW1184" s="1"/>
      <c r="AX1184" s="1" t="s">
        <v>20937</v>
      </c>
      <c r="AY1184" s="1" t="s">
        <v>20938</v>
      </c>
      <c r="AZ1184" s="1" t="s">
        <v>1407</v>
      </c>
      <c r="BA1184" s="1" t="s">
        <v>1714</v>
      </c>
      <c r="BB1184" s="1">
        <v>81.9</v>
      </c>
      <c r="BC1184" s="1">
        <v>8.19</v>
      </c>
      <c r="BD1184" s="1"/>
      <c r="BE1184" s="1"/>
      <c r="BF1184" s="1"/>
      <c r="BG1184" s="1"/>
      <c r="BH1184" s="1"/>
      <c r="BI1184" s="1"/>
      <c r="BJ1184" s="1" t="s">
        <v>20939</v>
      </c>
      <c r="BK1184" s="1"/>
      <c r="BL1184" s="1"/>
      <c r="BM1184" s="1"/>
      <c r="BN1184" s="1"/>
      <c r="BO1184" s="1"/>
      <c r="BP1184" s="1" t="str">
        <f>HYPERLINK("https://nconnect.nicmar.ac.in/storage/profile/ProfilePhoto_P25701127_942376.jpg","Download")</f>
        <v>0</v>
      </c>
      <c r="BQ1184" s="3"/>
      <c r="BR1184" s="3"/>
    </row>
    <row r="1185" spans="1:70">
      <c r="A1185" s="1" t="s">
        <v>1563</v>
      </c>
      <c r="B1185" s="1" t="s">
        <v>1269</v>
      </c>
      <c r="C1185" s="1" t="s">
        <v>20940</v>
      </c>
      <c r="D1185" s="1" t="s">
        <v>20941</v>
      </c>
      <c r="E1185" s="1"/>
      <c r="F1185" s="1" t="s">
        <v>4768</v>
      </c>
      <c r="G1185" s="1" t="s">
        <v>20942</v>
      </c>
      <c r="H1185" s="1" t="s">
        <v>20943</v>
      </c>
      <c r="I1185" s="1" t="s">
        <v>20944</v>
      </c>
      <c r="J1185" s="1">
        <v>6382383935</v>
      </c>
      <c r="K1185" s="1" t="s">
        <v>148</v>
      </c>
      <c r="L1185" s="1" t="s">
        <v>19320</v>
      </c>
      <c r="M1185" s="1" t="s">
        <v>150</v>
      </c>
      <c r="N1185" s="1" t="s">
        <v>19143</v>
      </c>
      <c r="O1185" s="1"/>
      <c r="P1185" s="1" t="s">
        <v>1323</v>
      </c>
      <c r="Q1185" s="1" t="s">
        <v>20945</v>
      </c>
      <c r="R1185" s="1" t="s">
        <v>20946</v>
      </c>
      <c r="S1185" s="1">
        <v>9443618484</v>
      </c>
      <c r="T1185" s="1" t="s">
        <v>649</v>
      </c>
      <c r="U1185" s="1" t="s">
        <v>20947</v>
      </c>
      <c r="V1185" s="1">
        <v>9443617819</v>
      </c>
      <c r="W1185" s="1" t="s">
        <v>651</v>
      </c>
      <c r="X1185" s="1" t="s">
        <v>20948</v>
      </c>
      <c r="Y1185" s="1" t="s">
        <v>10288</v>
      </c>
      <c r="Z1185" s="1" t="s">
        <v>1377</v>
      </c>
      <c r="AA1185" s="1" t="s">
        <v>20948</v>
      </c>
      <c r="AB1185" s="1" t="s">
        <v>10288</v>
      </c>
      <c r="AC1185" s="1" t="s">
        <v>1377</v>
      </c>
      <c r="AD1185" s="1">
        <v>8.72</v>
      </c>
      <c r="AE1185" s="1" t="s">
        <v>93</v>
      </c>
      <c r="AF1185" s="1" t="s">
        <v>20949</v>
      </c>
      <c r="AG1185" s="1" t="s">
        <v>20950</v>
      </c>
      <c r="AH1185" s="1" t="s">
        <v>131</v>
      </c>
      <c r="AI1185" s="1" t="s">
        <v>527</v>
      </c>
      <c r="AJ1185" s="1">
        <v>95</v>
      </c>
      <c r="AK1185" s="1">
        <v>10</v>
      </c>
      <c r="AL1185" s="1" t="s">
        <v>20949</v>
      </c>
      <c r="AM1185" s="1" t="s">
        <v>20950</v>
      </c>
      <c r="AN1185" s="1" t="s">
        <v>479</v>
      </c>
      <c r="AO1185" s="1" t="s">
        <v>166</v>
      </c>
      <c r="AP1185" s="1">
        <v>90.2</v>
      </c>
      <c r="AQ1185" s="1"/>
      <c r="AR1185" s="1"/>
      <c r="AS1185" s="1"/>
      <c r="AT1185" s="1"/>
      <c r="AU1185" s="1"/>
      <c r="AV1185" s="1"/>
      <c r="AW1185" s="1"/>
      <c r="AX1185" s="1" t="s">
        <v>1381</v>
      </c>
      <c r="AY1185" s="1" t="s">
        <v>20951</v>
      </c>
      <c r="AZ1185" s="1" t="s">
        <v>169</v>
      </c>
      <c r="BA1185" s="1" t="s">
        <v>590</v>
      </c>
      <c r="BB1185" s="1">
        <v>76.6</v>
      </c>
      <c r="BC1185" s="1">
        <v>7.66</v>
      </c>
      <c r="BD1185" s="1"/>
      <c r="BE1185" s="1"/>
      <c r="BF1185" s="1"/>
      <c r="BG1185" s="1"/>
      <c r="BH1185" s="1"/>
      <c r="BI1185" s="1"/>
      <c r="BJ1185" s="1" t="s">
        <v>20952</v>
      </c>
      <c r="BK1185" s="1" t="s">
        <v>20953</v>
      </c>
      <c r="BL1185" s="1" t="s">
        <v>484</v>
      </c>
      <c r="BM1185" s="1" t="s">
        <v>20954</v>
      </c>
      <c r="BN1185" s="1">
        <v>70</v>
      </c>
      <c r="BO1185" s="1"/>
      <c r="BP1185" s="1" t="str">
        <f>HYPERLINK("https://nconnect.nicmar.ac.in/storage/profile/ProfilePhoto_P25701128_269574.jpg","Download")</f>
        <v>0</v>
      </c>
      <c r="BQ1185" s="3"/>
      <c r="BR1185" s="3"/>
    </row>
    <row r="1186" spans="1:70">
      <c r="A1186" s="1" t="s">
        <v>1563</v>
      </c>
      <c r="B1186" s="1" t="s">
        <v>1269</v>
      </c>
      <c r="C1186" s="1" t="s">
        <v>20955</v>
      </c>
      <c r="D1186" s="1" t="s">
        <v>14746</v>
      </c>
      <c r="E1186" s="1" t="s">
        <v>8300</v>
      </c>
      <c r="F1186" s="1" t="s">
        <v>2024</v>
      </c>
      <c r="G1186" s="1" t="s">
        <v>20956</v>
      </c>
      <c r="H1186" s="1" t="s">
        <v>20957</v>
      </c>
      <c r="I1186" s="1" t="s">
        <v>20958</v>
      </c>
      <c r="J1186" s="1">
        <v>8591865773</v>
      </c>
      <c r="K1186" s="1" t="s">
        <v>148</v>
      </c>
      <c r="L1186" s="1" t="s">
        <v>1167</v>
      </c>
      <c r="M1186" s="1" t="s">
        <v>81</v>
      </c>
      <c r="N1186" s="1" t="s">
        <v>2293</v>
      </c>
      <c r="O1186" s="1"/>
      <c r="P1186" s="1" t="s">
        <v>1323</v>
      </c>
      <c r="Q1186" s="1" t="s">
        <v>20959</v>
      </c>
      <c r="R1186" s="1" t="s">
        <v>20960</v>
      </c>
      <c r="S1186" s="1">
        <v>9833895560</v>
      </c>
      <c r="T1186" s="1" t="s">
        <v>87</v>
      </c>
      <c r="U1186" s="1" t="s">
        <v>20961</v>
      </c>
      <c r="V1186" s="1">
        <v>9920975560</v>
      </c>
      <c r="W1186" s="1" t="s">
        <v>89</v>
      </c>
      <c r="X1186" s="1" t="s">
        <v>20962</v>
      </c>
      <c r="Y1186" s="1" t="s">
        <v>766</v>
      </c>
      <c r="Z1186" s="1" t="s">
        <v>92</v>
      </c>
      <c r="AA1186" s="1" t="s">
        <v>20962</v>
      </c>
      <c r="AB1186" s="1" t="s">
        <v>766</v>
      </c>
      <c r="AC1186" s="1" t="s">
        <v>92</v>
      </c>
      <c r="AD1186" s="1">
        <v>9.19</v>
      </c>
      <c r="AE1186" s="1" t="s">
        <v>93</v>
      </c>
      <c r="AF1186" s="1" t="s">
        <v>20963</v>
      </c>
      <c r="AG1186" s="1" t="s">
        <v>20964</v>
      </c>
      <c r="AH1186" s="1" t="s">
        <v>503</v>
      </c>
      <c r="AI1186" s="1" t="s">
        <v>527</v>
      </c>
      <c r="AJ1186" s="1">
        <v>90</v>
      </c>
      <c r="AK1186" s="1"/>
      <c r="AL1186" s="1" t="s">
        <v>20965</v>
      </c>
      <c r="AM1186" s="1" t="s">
        <v>20966</v>
      </c>
      <c r="AN1186" s="1" t="s">
        <v>678</v>
      </c>
      <c r="AO1186" s="1" t="s">
        <v>457</v>
      </c>
      <c r="AP1186" s="1">
        <v>79.69</v>
      </c>
      <c r="AQ1186" s="1"/>
      <c r="AR1186" s="1"/>
      <c r="AS1186" s="1"/>
      <c r="AT1186" s="1"/>
      <c r="AU1186" s="1"/>
      <c r="AV1186" s="1"/>
      <c r="AW1186" s="1"/>
      <c r="AX1186" s="1" t="s">
        <v>253</v>
      </c>
      <c r="AY1186" s="1" t="s">
        <v>19470</v>
      </c>
      <c r="AZ1186" s="1" t="s">
        <v>166</v>
      </c>
      <c r="BA1186" s="1" t="s">
        <v>590</v>
      </c>
      <c r="BB1186" s="1">
        <v>72.01</v>
      </c>
      <c r="BC1186" s="1">
        <v>8.11</v>
      </c>
      <c r="BD1186" s="1"/>
      <c r="BE1186" s="1"/>
      <c r="BF1186" s="1"/>
      <c r="BG1186" s="1"/>
      <c r="BH1186" s="1"/>
      <c r="BI1186" s="1"/>
      <c r="BJ1186" s="1" t="s">
        <v>20967</v>
      </c>
      <c r="BK1186" s="1" t="s">
        <v>20968</v>
      </c>
      <c r="BL1186" s="1" t="s">
        <v>1561</v>
      </c>
      <c r="BM1186" s="1" t="s">
        <v>20969</v>
      </c>
      <c r="BN1186" s="1">
        <v>31</v>
      </c>
      <c r="BO1186" s="1"/>
      <c r="BP1186" s="1" t="str">
        <f>HYPERLINK("https://nconnect.nicmar.ac.in/storage/profile/ProfilePhoto_P25701129_129463.jpg","Download")</f>
        <v>0</v>
      </c>
      <c r="BQ1186" s="3"/>
      <c r="BR1186" s="3"/>
    </row>
    <row r="1187" spans="1:70">
      <c r="A1187" s="1" t="s">
        <v>1563</v>
      </c>
      <c r="B1187" s="1" t="s">
        <v>1269</v>
      </c>
      <c r="C1187" s="1" t="s">
        <v>20970</v>
      </c>
      <c r="D1187" s="1" t="s">
        <v>20971</v>
      </c>
      <c r="E1187" s="1"/>
      <c r="F1187" s="1" t="s">
        <v>8418</v>
      </c>
      <c r="G1187" s="1" t="s">
        <v>20972</v>
      </c>
      <c r="H1187" s="1" t="s">
        <v>20973</v>
      </c>
      <c r="I1187" s="1" t="s">
        <v>20974</v>
      </c>
      <c r="J1187" s="1">
        <v>8977175493</v>
      </c>
      <c r="K1187" s="1" t="s">
        <v>79</v>
      </c>
      <c r="L1187" s="1" t="s">
        <v>20975</v>
      </c>
      <c r="M1187" s="1" t="s">
        <v>81</v>
      </c>
      <c r="N1187" s="1" t="s">
        <v>18151</v>
      </c>
      <c r="O1187" s="1" t="s">
        <v>20976</v>
      </c>
      <c r="P1187" s="1" t="s">
        <v>1323</v>
      </c>
      <c r="Q1187" s="1" t="s">
        <v>20977</v>
      </c>
      <c r="R1187" s="1" t="s">
        <v>20978</v>
      </c>
      <c r="S1187" s="1">
        <v>8121205217</v>
      </c>
      <c r="T1187" s="1" t="s">
        <v>20979</v>
      </c>
      <c r="U1187" s="1" t="s">
        <v>20980</v>
      </c>
      <c r="V1187" s="1">
        <v>8121205217</v>
      </c>
      <c r="W1187" s="1" t="s">
        <v>273</v>
      </c>
      <c r="X1187" s="1" t="s">
        <v>20981</v>
      </c>
      <c r="Y1187" s="1" t="s">
        <v>1578</v>
      </c>
      <c r="Z1187" s="1" t="s">
        <v>276</v>
      </c>
      <c r="AA1187" s="1" t="s">
        <v>20981</v>
      </c>
      <c r="AB1187" s="1" t="s">
        <v>1578</v>
      </c>
      <c r="AC1187" s="1" t="s">
        <v>276</v>
      </c>
      <c r="AD1187" s="1" t="s">
        <v>93</v>
      </c>
      <c r="AE1187" s="1" t="s">
        <v>93</v>
      </c>
      <c r="AF1187" s="1" t="s">
        <v>2262</v>
      </c>
      <c r="AG1187" s="1" t="s">
        <v>3118</v>
      </c>
      <c r="AH1187" s="1" t="s">
        <v>165</v>
      </c>
      <c r="AI1187" s="1" t="s">
        <v>281</v>
      </c>
      <c r="AJ1187" s="1">
        <v>97</v>
      </c>
      <c r="AK1187" s="1">
        <v>9.7</v>
      </c>
      <c r="AL1187" s="1" t="s">
        <v>612</v>
      </c>
      <c r="AM1187" s="1" t="s">
        <v>1154</v>
      </c>
      <c r="AN1187" s="1" t="s">
        <v>433</v>
      </c>
      <c r="AO1187" s="1" t="s">
        <v>173</v>
      </c>
      <c r="AP1187" s="1">
        <v>71.53</v>
      </c>
      <c r="AQ1187" s="1">
        <v>7.53</v>
      </c>
      <c r="AR1187" s="1"/>
      <c r="AS1187" s="1"/>
      <c r="AT1187" s="1"/>
      <c r="AU1187" s="1"/>
      <c r="AV1187" s="1"/>
      <c r="AW1187" s="1"/>
      <c r="AX1187" s="1" t="s">
        <v>1310</v>
      </c>
      <c r="AY1187" s="1" t="s">
        <v>20982</v>
      </c>
      <c r="AZ1187" s="1" t="s">
        <v>2016</v>
      </c>
      <c r="BA1187" s="1" t="s">
        <v>702</v>
      </c>
      <c r="BB1187" s="1">
        <v>66.7</v>
      </c>
      <c r="BC1187" s="1">
        <v>7.17</v>
      </c>
      <c r="BD1187" s="1"/>
      <c r="BE1187" s="1"/>
      <c r="BF1187" s="1"/>
      <c r="BG1187" s="1"/>
      <c r="BH1187" s="1"/>
      <c r="BI1187" s="1"/>
      <c r="BJ1187" s="1" t="s">
        <v>1383</v>
      </c>
      <c r="BK1187" s="1"/>
      <c r="BL1187" s="1"/>
      <c r="BM1187" s="1" t="s">
        <v>20983</v>
      </c>
      <c r="BN1187" s="1">
        <v>21</v>
      </c>
      <c r="BO1187" s="1"/>
      <c r="BP1187" s="1" t="str">
        <f>HYPERLINK("https://nconnect.nicmar.ac.in/storage/profile/ProfilePhoto_P25701130_516472.jpg","Download")</f>
        <v>0</v>
      </c>
      <c r="BQ1187" s="3"/>
      <c r="BR1187" s="3"/>
    </row>
    <row r="1188" spans="1:70">
      <c r="A1188" s="1" t="s">
        <v>1563</v>
      </c>
      <c r="B1188" s="1" t="s">
        <v>1269</v>
      </c>
      <c r="C1188" s="1" t="s">
        <v>20984</v>
      </c>
      <c r="D1188" s="1" t="s">
        <v>20985</v>
      </c>
      <c r="E1188" s="1"/>
      <c r="F1188" s="1" t="s">
        <v>7137</v>
      </c>
      <c r="G1188" s="1" t="s">
        <v>20986</v>
      </c>
      <c r="H1188" s="1" t="s">
        <v>20987</v>
      </c>
      <c r="I1188" s="1" t="s">
        <v>20988</v>
      </c>
      <c r="J1188" s="1">
        <v>9894282616</v>
      </c>
      <c r="K1188" s="1" t="s">
        <v>79</v>
      </c>
      <c r="L1188" s="1" t="s">
        <v>9771</v>
      </c>
      <c r="M1188" s="1" t="s">
        <v>81</v>
      </c>
      <c r="N1188" s="1" t="s">
        <v>3132</v>
      </c>
      <c r="O1188" s="1" t="s">
        <v>20989</v>
      </c>
      <c r="P1188" s="1" t="s">
        <v>6615</v>
      </c>
      <c r="Q1188" s="1" t="s">
        <v>20990</v>
      </c>
      <c r="R1188" s="1" t="s">
        <v>20991</v>
      </c>
      <c r="S1188" s="1">
        <v>9443133856</v>
      </c>
      <c r="T1188" s="1" t="s">
        <v>87</v>
      </c>
      <c r="U1188" s="1" t="s">
        <v>20992</v>
      </c>
      <c r="V1188" s="1">
        <v>9486686717</v>
      </c>
      <c r="W1188" s="1" t="s">
        <v>20993</v>
      </c>
      <c r="X1188" s="1" t="s">
        <v>20994</v>
      </c>
      <c r="Y1188" s="1" t="s">
        <v>9642</v>
      </c>
      <c r="Z1188" s="1" t="s">
        <v>1377</v>
      </c>
      <c r="AA1188" s="1" t="s">
        <v>20994</v>
      </c>
      <c r="AB1188" s="1" t="s">
        <v>9642</v>
      </c>
      <c r="AC1188" s="1" t="s">
        <v>1377</v>
      </c>
      <c r="AD1188" s="1">
        <v>7.89</v>
      </c>
      <c r="AE1188" s="1" t="s">
        <v>93</v>
      </c>
      <c r="AF1188" s="1" t="s">
        <v>20995</v>
      </c>
      <c r="AG1188" s="1" t="s">
        <v>20996</v>
      </c>
      <c r="AH1188" s="1" t="s">
        <v>165</v>
      </c>
      <c r="AI1188" s="1" t="s">
        <v>281</v>
      </c>
      <c r="AJ1188" s="1">
        <v>75.4</v>
      </c>
      <c r="AK1188" s="1">
        <v>0</v>
      </c>
      <c r="AL1188" s="1" t="s">
        <v>20995</v>
      </c>
      <c r="AM1188" s="1" t="s">
        <v>20996</v>
      </c>
      <c r="AN1188" s="1" t="s">
        <v>433</v>
      </c>
      <c r="AO1188" s="1" t="s">
        <v>941</v>
      </c>
      <c r="AP1188" s="1">
        <v>63.16</v>
      </c>
      <c r="AQ1188" s="1">
        <v>0</v>
      </c>
      <c r="AR1188" s="1"/>
      <c r="AS1188" s="1"/>
      <c r="AT1188" s="1"/>
      <c r="AU1188" s="1"/>
      <c r="AV1188" s="1"/>
      <c r="AW1188" s="1"/>
      <c r="AX1188" s="1" t="s">
        <v>20997</v>
      </c>
      <c r="AY1188" s="1" t="s">
        <v>20996</v>
      </c>
      <c r="AZ1188" s="1" t="s">
        <v>173</v>
      </c>
      <c r="BA1188" s="1" t="s">
        <v>202</v>
      </c>
      <c r="BB1188" s="1">
        <v>69.43</v>
      </c>
      <c r="BC1188" s="1">
        <v>6.94</v>
      </c>
      <c r="BD1188" s="1"/>
      <c r="BE1188" s="1"/>
      <c r="BF1188" s="1"/>
      <c r="BG1188" s="1"/>
      <c r="BH1188" s="1"/>
      <c r="BI1188" s="1"/>
      <c r="BJ1188" s="1" t="s">
        <v>20998</v>
      </c>
      <c r="BK1188" s="1" t="s">
        <v>20999</v>
      </c>
      <c r="BL1188" s="1" t="s">
        <v>1475</v>
      </c>
      <c r="BM1188" s="1" t="s">
        <v>21000</v>
      </c>
      <c r="BN1188" s="1">
        <v>2</v>
      </c>
      <c r="BO1188" s="1"/>
      <c r="BP1188" s="1" t="str">
        <f>HYPERLINK("https://nconnect.nicmar.ac.in/storage/profile/ProfilePhoto_P25701131_359184.jpg","Download")</f>
        <v>0</v>
      </c>
      <c r="BQ1188" s="3"/>
      <c r="BR1188" s="3"/>
    </row>
    <row r="1189" spans="1:70">
      <c r="A1189" s="1" t="s">
        <v>1563</v>
      </c>
      <c r="B1189" s="1" t="s">
        <v>1269</v>
      </c>
      <c r="C1189" s="1" t="s">
        <v>21001</v>
      </c>
      <c r="D1189" s="1" t="s">
        <v>21002</v>
      </c>
      <c r="E1189" s="1" t="s">
        <v>8173</v>
      </c>
      <c r="F1189" s="1" t="s">
        <v>21003</v>
      </c>
      <c r="G1189" s="1" t="s">
        <v>21004</v>
      </c>
      <c r="H1189" s="1" t="s">
        <v>21005</v>
      </c>
      <c r="I1189" s="1" t="s">
        <v>21006</v>
      </c>
      <c r="J1189" s="1">
        <v>9890351124</v>
      </c>
      <c r="K1189" s="1" t="s">
        <v>79</v>
      </c>
      <c r="L1189" s="1" t="s">
        <v>21007</v>
      </c>
      <c r="M1189" s="1" t="s">
        <v>81</v>
      </c>
      <c r="N1189" s="1" t="s">
        <v>1986</v>
      </c>
      <c r="O1189" s="1" t="s">
        <v>21008</v>
      </c>
      <c r="P1189" s="1" t="s">
        <v>1766</v>
      </c>
      <c r="Q1189" s="1" t="s">
        <v>21009</v>
      </c>
      <c r="R1189" s="1" t="s">
        <v>8173</v>
      </c>
      <c r="S1189" s="1">
        <v>8208822498</v>
      </c>
      <c r="T1189" s="1" t="s">
        <v>87</v>
      </c>
      <c r="U1189" s="1" t="s">
        <v>21010</v>
      </c>
      <c r="V1189" s="1">
        <v>9890351124</v>
      </c>
      <c r="W1189" s="1" t="s">
        <v>273</v>
      </c>
      <c r="X1189" s="1" t="s">
        <v>21011</v>
      </c>
      <c r="Y1189" s="1" t="s">
        <v>405</v>
      </c>
      <c r="Z1189" s="1" t="s">
        <v>92</v>
      </c>
      <c r="AA1189" s="1" t="s">
        <v>21011</v>
      </c>
      <c r="AB1189" s="1" t="s">
        <v>405</v>
      </c>
      <c r="AC1189" s="1" t="s">
        <v>92</v>
      </c>
      <c r="AD1189" s="1">
        <v>8.84</v>
      </c>
      <c r="AE1189" s="1" t="s">
        <v>93</v>
      </c>
      <c r="AF1189" s="1" t="s">
        <v>21012</v>
      </c>
      <c r="AG1189" s="1" t="s">
        <v>21013</v>
      </c>
      <c r="AH1189" s="1" t="s">
        <v>161</v>
      </c>
      <c r="AI1189" s="1" t="s">
        <v>527</v>
      </c>
      <c r="AJ1189" s="1">
        <v>91.2</v>
      </c>
      <c r="AK1189" s="1">
        <v>9.6</v>
      </c>
      <c r="AL1189" s="1" t="s">
        <v>21012</v>
      </c>
      <c r="AM1189" s="1" t="s">
        <v>21013</v>
      </c>
      <c r="AN1189" s="1" t="s">
        <v>165</v>
      </c>
      <c r="AO1189" s="1" t="s">
        <v>101</v>
      </c>
      <c r="AP1189" s="1">
        <v>78.2</v>
      </c>
      <c r="AQ1189" s="1"/>
      <c r="AR1189" s="1"/>
      <c r="AS1189" s="1"/>
      <c r="AT1189" s="1"/>
      <c r="AU1189" s="1"/>
      <c r="AV1189" s="1"/>
      <c r="AW1189" s="1"/>
      <c r="AX1189" s="1" t="s">
        <v>5032</v>
      </c>
      <c r="AY1189" s="1" t="s">
        <v>21014</v>
      </c>
      <c r="AZ1189" s="1" t="s">
        <v>169</v>
      </c>
      <c r="BA1189" s="1" t="s">
        <v>481</v>
      </c>
      <c r="BB1189" s="1">
        <v>79.15</v>
      </c>
      <c r="BC1189" s="1">
        <v>7.91</v>
      </c>
      <c r="BD1189" s="1"/>
      <c r="BE1189" s="1"/>
      <c r="BF1189" s="1"/>
      <c r="BG1189" s="1"/>
      <c r="BH1189" s="1"/>
      <c r="BI1189" s="1"/>
      <c r="BJ1189" s="1" t="s">
        <v>21015</v>
      </c>
      <c r="BK1189" s="1" t="s">
        <v>21016</v>
      </c>
      <c r="BL1189" s="1" t="s">
        <v>3239</v>
      </c>
      <c r="BM1189" s="1" t="s">
        <v>21017</v>
      </c>
      <c r="BN1189" s="1">
        <v>8</v>
      </c>
      <c r="BO1189" s="1"/>
      <c r="BP1189" s="1" t="str">
        <f>HYPERLINK("https://nconnect.nicmar.ac.in/storage/profile/ProfilePhoto_P25701132_857361.jpg","Download")</f>
        <v>0</v>
      </c>
      <c r="BQ1189" s="3"/>
      <c r="BR1189" s="3"/>
    </row>
    <row r="1190" spans="1:70">
      <c r="A1190" s="1" t="s">
        <v>1563</v>
      </c>
      <c r="B1190" s="1" t="s">
        <v>1269</v>
      </c>
      <c r="C1190" s="1" t="s">
        <v>21018</v>
      </c>
      <c r="D1190" s="1" t="s">
        <v>7424</v>
      </c>
      <c r="E1190" s="1" t="s">
        <v>5072</v>
      </c>
      <c r="F1190" s="1" t="s">
        <v>2024</v>
      </c>
      <c r="G1190" s="1" t="s">
        <v>21019</v>
      </c>
      <c r="H1190" s="1" t="s">
        <v>21020</v>
      </c>
      <c r="I1190" s="1" t="s">
        <v>21021</v>
      </c>
      <c r="J1190" s="1">
        <v>6360045973</v>
      </c>
      <c r="K1190" s="1" t="s">
        <v>79</v>
      </c>
      <c r="L1190" s="1" t="s">
        <v>21022</v>
      </c>
      <c r="M1190" s="1" t="s">
        <v>81</v>
      </c>
      <c r="N1190" s="1" t="s">
        <v>21023</v>
      </c>
      <c r="O1190" s="1"/>
      <c r="P1190" s="1" t="s">
        <v>1298</v>
      </c>
      <c r="Q1190" s="1" t="s">
        <v>21024</v>
      </c>
      <c r="R1190" s="1" t="s">
        <v>21025</v>
      </c>
      <c r="S1190" s="1">
        <v>9448141076</v>
      </c>
      <c r="T1190" s="1" t="s">
        <v>21026</v>
      </c>
      <c r="U1190" s="1" t="s">
        <v>6020</v>
      </c>
      <c r="V1190" s="1">
        <v>9449280278</v>
      </c>
      <c r="W1190" s="1" t="s">
        <v>156</v>
      </c>
      <c r="X1190" s="1" t="s">
        <v>21027</v>
      </c>
      <c r="Y1190" s="1" t="s">
        <v>7548</v>
      </c>
      <c r="Z1190" s="1" t="s">
        <v>1084</v>
      </c>
      <c r="AA1190" s="1" t="s">
        <v>21027</v>
      </c>
      <c r="AB1190" s="1" t="s">
        <v>7548</v>
      </c>
      <c r="AC1190" s="1" t="s">
        <v>1084</v>
      </c>
      <c r="AD1190" s="1">
        <v>8.24</v>
      </c>
      <c r="AE1190" s="1" t="s">
        <v>93</v>
      </c>
      <c r="AF1190" s="1" t="s">
        <v>21028</v>
      </c>
      <c r="AG1190" s="1" t="s">
        <v>21029</v>
      </c>
      <c r="AH1190" s="1" t="s">
        <v>169</v>
      </c>
      <c r="AI1190" s="1" t="s">
        <v>409</v>
      </c>
      <c r="AJ1190" s="1">
        <v>78</v>
      </c>
      <c r="AK1190" s="1"/>
      <c r="AL1190" s="1" t="s">
        <v>21028</v>
      </c>
      <c r="AM1190" s="1" t="s">
        <v>21030</v>
      </c>
      <c r="AN1190" s="1" t="s">
        <v>433</v>
      </c>
      <c r="AO1190" s="1" t="s">
        <v>1712</v>
      </c>
      <c r="AP1190" s="1">
        <v>84.4</v>
      </c>
      <c r="AQ1190" s="1"/>
      <c r="AR1190" s="1"/>
      <c r="AS1190" s="1"/>
      <c r="AT1190" s="1"/>
      <c r="AU1190" s="1"/>
      <c r="AV1190" s="1"/>
      <c r="AW1190" s="1"/>
      <c r="AX1190" s="1" t="s">
        <v>21031</v>
      </c>
      <c r="AY1190" s="1" t="s">
        <v>21032</v>
      </c>
      <c r="AZ1190" s="1" t="s">
        <v>506</v>
      </c>
      <c r="BA1190" s="1" t="s">
        <v>507</v>
      </c>
      <c r="BB1190" s="1">
        <v>75.84</v>
      </c>
      <c r="BC1190" s="1">
        <v>3.32</v>
      </c>
      <c r="BD1190" s="1"/>
      <c r="BE1190" s="1"/>
      <c r="BF1190" s="1"/>
      <c r="BG1190" s="1"/>
      <c r="BH1190" s="1"/>
      <c r="BI1190" s="1"/>
      <c r="BJ1190" s="1" t="s">
        <v>21033</v>
      </c>
      <c r="BK1190" s="1" t="s">
        <v>21034</v>
      </c>
      <c r="BL1190" s="1" t="s">
        <v>1028</v>
      </c>
      <c r="BM1190" s="1" t="s">
        <v>21035</v>
      </c>
      <c r="BN1190" s="1">
        <v>34</v>
      </c>
      <c r="BO1190" s="1"/>
      <c r="BP1190" s="1" t="str">
        <f>HYPERLINK("https://nconnect.nicmar.ac.in/storage/profile/ProfilePhoto_P25701133_312596.jpg","Download")</f>
        <v>0</v>
      </c>
      <c r="BQ1190" s="3"/>
      <c r="BR1190" s="3"/>
    </row>
    <row r="1191" spans="1:70">
      <c r="A1191" s="1" t="s">
        <v>1563</v>
      </c>
      <c r="B1191" s="1" t="s">
        <v>1269</v>
      </c>
      <c r="C1191" s="1" t="s">
        <v>21036</v>
      </c>
      <c r="D1191" s="1" t="s">
        <v>18204</v>
      </c>
      <c r="E1191" s="1" t="s">
        <v>21037</v>
      </c>
      <c r="F1191" s="1" t="s">
        <v>21038</v>
      </c>
      <c r="G1191" s="1" t="s">
        <v>21039</v>
      </c>
      <c r="H1191" s="1" t="s">
        <v>21040</v>
      </c>
      <c r="I1191" s="1" t="s">
        <v>21041</v>
      </c>
      <c r="J1191" s="1">
        <v>7620624332</v>
      </c>
      <c r="K1191" s="1" t="s">
        <v>148</v>
      </c>
      <c r="L1191" s="1" t="s">
        <v>10433</v>
      </c>
      <c r="M1191" s="1" t="s">
        <v>81</v>
      </c>
      <c r="N1191" s="1" t="s">
        <v>1046</v>
      </c>
      <c r="O1191" s="1"/>
      <c r="P1191" s="1" t="s">
        <v>1323</v>
      </c>
      <c r="Q1191" s="1" t="s">
        <v>21042</v>
      </c>
      <c r="R1191" s="1" t="s">
        <v>21037</v>
      </c>
      <c r="S1191" s="1">
        <v>9420584437</v>
      </c>
      <c r="T1191" s="1" t="s">
        <v>21043</v>
      </c>
      <c r="U1191" s="1" t="s">
        <v>21044</v>
      </c>
      <c r="V1191" s="1">
        <v>7757064437</v>
      </c>
      <c r="W1191" s="1" t="s">
        <v>273</v>
      </c>
      <c r="X1191" s="1" t="s">
        <v>21045</v>
      </c>
      <c r="Y1191" s="1" t="s">
        <v>2786</v>
      </c>
      <c r="Z1191" s="1" t="s">
        <v>92</v>
      </c>
      <c r="AA1191" s="1" t="s">
        <v>21045</v>
      </c>
      <c r="AB1191" s="1" t="s">
        <v>2786</v>
      </c>
      <c r="AC1191" s="1" t="s">
        <v>92</v>
      </c>
      <c r="AD1191" s="1">
        <v>9.16</v>
      </c>
      <c r="AE1191" s="1" t="s">
        <v>93</v>
      </c>
      <c r="AF1191" s="1" t="s">
        <v>21046</v>
      </c>
      <c r="AG1191" s="1" t="s">
        <v>21047</v>
      </c>
      <c r="AH1191" s="1" t="s">
        <v>165</v>
      </c>
      <c r="AI1191" s="1" t="s">
        <v>101</v>
      </c>
      <c r="AJ1191" s="1">
        <v>94.2</v>
      </c>
      <c r="AK1191" s="1"/>
      <c r="AL1191" s="1"/>
      <c r="AM1191" s="1"/>
      <c r="AN1191" s="1"/>
      <c r="AO1191" s="1"/>
      <c r="AP1191" s="1"/>
      <c r="AQ1191" s="1"/>
      <c r="AR1191" s="1" t="s">
        <v>434</v>
      </c>
      <c r="AS1191" s="1" t="s">
        <v>21048</v>
      </c>
      <c r="AT1191" s="1" t="s">
        <v>101</v>
      </c>
      <c r="AU1191" s="1" t="s">
        <v>1131</v>
      </c>
      <c r="AV1191" s="1">
        <v>95.16</v>
      </c>
      <c r="AW1191" s="1"/>
      <c r="AX1191" s="1" t="s">
        <v>1891</v>
      </c>
      <c r="AY1191" s="1" t="s">
        <v>21049</v>
      </c>
      <c r="AZ1191" s="1" t="s">
        <v>1131</v>
      </c>
      <c r="BA1191" s="1" t="s">
        <v>202</v>
      </c>
      <c r="BB1191" s="1">
        <v>84.1</v>
      </c>
      <c r="BC1191" s="1">
        <v>9.16</v>
      </c>
      <c r="BD1191" s="1"/>
      <c r="BE1191" s="1"/>
      <c r="BF1191" s="1"/>
      <c r="BG1191" s="1"/>
      <c r="BH1191" s="1"/>
      <c r="BI1191" s="1"/>
      <c r="BJ1191" s="1" t="s">
        <v>21050</v>
      </c>
      <c r="BK1191" s="1" t="s">
        <v>21051</v>
      </c>
      <c r="BL1191" s="1" t="s">
        <v>1028</v>
      </c>
      <c r="BM1191" s="1" t="s">
        <v>21052</v>
      </c>
      <c r="BN1191" s="1">
        <v>12</v>
      </c>
      <c r="BO1191" s="1"/>
      <c r="BP1191" s="1" t="str">
        <f>HYPERLINK("https://nconnect.nicmar.ac.in/storage/profile/ProfilePhoto_P25701134_183274.jpg","Download")</f>
        <v>0</v>
      </c>
      <c r="BQ1191" s="3"/>
      <c r="BR1191" s="3"/>
    </row>
    <row r="1192" spans="1:70">
      <c r="A1192" s="1" t="s">
        <v>1563</v>
      </c>
      <c r="B1192" s="1" t="s">
        <v>1269</v>
      </c>
      <c r="C1192" s="1" t="s">
        <v>21053</v>
      </c>
      <c r="D1192" s="1" t="s">
        <v>10400</v>
      </c>
      <c r="E1192" s="1" t="s">
        <v>444</v>
      </c>
      <c r="F1192" s="1" t="s">
        <v>21054</v>
      </c>
      <c r="G1192" s="1" t="s">
        <v>21055</v>
      </c>
      <c r="H1192" s="1" t="s">
        <v>21056</v>
      </c>
      <c r="I1192" s="1" t="s">
        <v>21057</v>
      </c>
      <c r="J1192" s="1">
        <v>7977649274</v>
      </c>
      <c r="K1192" s="1" t="s">
        <v>79</v>
      </c>
      <c r="L1192" s="1" t="s">
        <v>21058</v>
      </c>
      <c r="M1192" s="1" t="s">
        <v>81</v>
      </c>
      <c r="N1192" s="1" t="s">
        <v>21059</v>
      </c>
      <c r="O1192" s="1"/>
      <c r="P1192" s="1" t="s">
        <v>1278</v>
      </c>
      <c r="Q1192" s="1" t="s">
        <v>21060</v>
      </c>
      <c r="R1192" s="1" t="s">
        <v>21061</v>
      </c>
      <c r="S1192" s="1">
        <v>9820284959</v>
      </c>
      <c r="T1192" s="1" t="s">
        <v>7415</v>
      </c>
      <c r="U1192" s="1" t="s">
        <v>21062</v>
      </c>
      <c r="V1192" s="1">
        <v>9322850563</v>
      </c>
      <c r="W1192" s="1" t="s">
        <v>156</v>
      </c>
      <c r="X1192" s="1" t="s">
        <v>21063</v>
      </c>
      <c r="Y1192" s="1" t="s">
        <v>766</v>
      </c>
      <c r="Z1192" s="1" t="s">
        <v>92</v>
      </c>
      <c r="AA1192" s="1" t="s">
        <v>21063</v>
      </c>
      <c r="AB1192" s="1" t="s">
        <v>766</v>
      </c>
      <c r="AC1192" s="1" t="s">
        <v>92</v>
      </c>
      <c r="AD1192" s="1">
        <v>8.54</v>
      </c>
      <c r="AE1192" s="1" t="s">
        <v>93</v>
      </c>
      <c r="AF1192" s="1" t="s">
        <v>10872</v>
      </c>
      <c r="AG1192" s="1" t="s">
        <v>160</v>
      </c>
      <c r="AH1192" s="1" t="s">
        <v>21064</v>
      </c>
      <c r="AI1192" s="1" t="s">
        <v>456</v>
      </c>
      <c r="AJ1192" s="1">
        <v>77.4</v>
      </c>
      <c r="AK1192" s="1">
        <v>0</v>
      </c>
      <c r="AL1192" s="1" t="s">
        <v>21065</v>
      </c>
      <c r="AM1192" s="1" t="s">
        <v>160</v>
      </c>
      <c r="AN1192" s="1" t="s">
        <v>733</v>
      </c>
      <c r="AO1192" s="1" t="s">
        <v>281</v>
      </c>
      <c r="AP1192" s="1">
        <v>62.62</v>
      </c>
      <c r="AQ1192" s="1">
        <v>0</v>
      </c>
      <c r="AR1192" s="1"/>
      <c r="AS1192" s="1"/>
      <c r="AT1192" s="1"/>
      <c r="AU1192" s="1"/>
      <c r="AV1192" s="1"/>
      <c r="AW1192" s="1"/>
      <c r="AX1192" s="1" t="s">
        <v>1024</v>
      </c>
      <c r="AY1192" s="1" t="s">
        <v>21066</v>
      </c>
      <c r="AZ1192" s="1" t="s">
        <v>169</v>
      </c>
      <c r="BA1192" s="1" t="s">
        <v>590</v>
      </c>
      <c r="BB1192" s="1">
        <v>58.78</v>
      </c>
      <c r="BC1192" s="1">
        <v>6.59</v>
      </c>
      <c r="BD1192" s="1"/>
      <c r="BE1192" s="1"/>
      <c r="BF1192" s="1"/>
      <c r="BG1192" s="1"/>
      <c r="BH1192" s="1"/>
      <c r="BI1192" s="1"/>
      <c r="BJ1192" s="1" t="s">
        <v>21067</v>
      </c>
      <c r="BK1192" s="1" t="s">
        <v>21068</v>
      </c>
      <c r="BL1192" s="1" t="s">
        <v>1385</v>
      </c>
      <c r="BM1192" s="1" t="s">
        <v>21069</v>
      </c>
      <c r="BN1192" s="1">
        <v>18</v>
      </c>
      <c r="BO1192" s="1"/>
      <c r="BP1192" s="1" t="str">
        <f>HYPERLINK("https://nconnect.nicmar.ac.in/storage/profile/ProfilePhoto_P25701135_748916.jpg","Download")</f>
        <v>0</v>
      </c>
      <c r="BQ1192" s="3"/>
      <c r="BR1192" s="3"/>
    </row>
    <row r="1193" spans="1:70">
      <c r="A1193" s="1" t="s">
        <v>1563</v>
      </c>
      <c r="B1193" s="1" t="s">
        <v>1269</v>
      </c>
      <c r="C1193" s="1" t="s">
        <v>21070</v>
      </c>
      <c r="D1193" s="1" t="s">
        <v>21071</v>
      </c>
      <c r="E1193" s="1" t="s">
        <v>7555</v>
      </c>
      <c r="F1193" s="1" t="s">
        <v>5886</v>
      </c>
      <c r="G1193" s="1" t="s">
        <v>21072</v>
      </c>
      <c r="H1193" s="1" t="s">
        <v>21073</v>
      </c>
      <c r="I1193" s="1" t="s">
        <v>21074</v>
      </c>
      <c r="J1193" s="1">
        <v>9167756977</v>
      </c>
      <c r="K1193" s="1" t="s">
        <v>148</v>
      </c>
      <c r="L1193" s="1" t="s">
        <v>1013</v>
      </c>
      <c r="M1193" s="1" t="s">
        <v>81</v>
      </c>
      <c r="N1193" s="1" t="s">
        <v>21075</v>
      </c>
      <c r="O1193" s="1"/>
      <c r="P1193" s="1" t="s">
        <v>1323</v>
      </c>
      <c r="Q1193" s="1" t="s">
        <v>21076</v>
      </c>
      <c r="R1193" s="1" t="s">
        <v>21077</v>
      </c>
      <c r="S1193" s="1">
        <v>9819844128</v>
      </c>
      <c r="T1193" s="1" t="s">
        <v>496</v>
      </c>
      <c r="U1193" s="1" t="s">
        <v>21078</v>
      </c>
      <c r="V1193" s="1">
        <v>9819575594</v>
      </c>
      <c r="W1193" s="1" t="s">
        <v>651</v>
      </c>
      <c r="X1193" s="1" t="s">
        <v>21079</v>
      </c>
      <c r="Y1193" s="1" t="s">
        <v>1623</v>
      </c>
      <c r="Z1193" s="1" t="s">
        <v>92</v>
      </c>
      <c r="AA1193" s="1" t="s">
        <v>21079</v>
      </c>
      <c r="AB1193" s="1" t="s">
        <v>1623</v>
      </c>
      <c r="AC1193" s="1" t="s">
        <v>92</v>
      </c>
      <c r="AD1193" s="1">
        <v>9.54</v>
      </c>
      <c r="AE1193" s="1" t="s">
        <v>93</v>
      </c>
      <c r="AF1193" s="1" t="s">
        <v>3041</v>
      </c>
      <c r="AG1193" s="1" t="s">
        <v>160</v>
      </c>
      <c r="AH1193" s="1" t="s">
        <v>97</v>
      </c>
      <c r="AI1193" s="1" t="s">
        <v>456</v>
      </c>
      <c r="AJ1193" s="1">
        <v>86.8</v>
      </c>
      <c r="AK1193" s="1"/>
      <c r="AL1193" s="1" t="s">
        <v>15268</v>
      </c>
      <c r="AM1193" s="1" t="s">
        <v>160</v>
      </c>
      <c r="AN1193" s="1" t="s">
        <v>162</v>
      </c>
      <c r="AO1193" s="1" t="s">
        <v>457</v>
      </c>
      <c r="AP1193" s="1">
        <v>72.31</v>
      </c>
      <c r="AQ1193" s="1"/>
      <c r="AR1193" s="1"/>
      <c r="AS1193" s="1"/>
      <c r="AT1193" s="1"/>
      <c r="AU1193" s="1"/>
      <c r="AV1193" s="1"/>
      <c r="AW1193" s="1"/>
      <c r="AX1193" s="1" t="s">
        <v>253</v>
      </c>
      <c r="AY1193" s="1" t="s">
        <v>20523</v>
      </c>
      <c r="AZ1193" s="1" t="s">
        <v>169</v>
      </c>
      <c r="BA1193" s="1" t="s">
        <v>590</v>
      </c>
      <c r="BB1193" s="1">
        <v>77.86</v>
      </c>
      <c r="BC1193" s="1"/>
      <c r="BD1193" s="1"/>
      <c r="BE1193" s="1"/>
      <c r="BF1193" s="1"/>
      <c r="BG1193" s="1"/>
      <c r="BH1193" s="1"/>
      <c r="BI1193" s="1"/>
      <c r="BJ1193" s="1" t="s">
        <v>21080</v>
      </c>
      <c r="BK1193" s="1" t="s">
        <v>21081</v>
      </c>
      <c r="BL1193" s="1" t="s">
        <v>1385</v>
      </c>
      <c r="BM1193" s="1" t="s">
        <v>21082</v>
      </c>
      <c r="BN1193" s="1">
        <v>27</v>
      </c>
      <c r="BO1193" s="1" t="s">
        <v>21083</v>
      </c>
      <c r="BP1193" s="1" t="str">
        <f>HYPERLINK("https://nconnect.nicmar.ac.in/storage/profile/ProfilePhoto_P25701136_172468.jpg","Download")</f>
        <v>0</v>
      </c>
      <c r="BQ1193" s="3"/>
      <c r="BR1193" s="3"/>
    </row>
    <row r="1194" spans="1:70">
      <c r="A1194" s="1" t="s">
        <v>1563</v>
      </c>
      <c r="B1194" s="1" t="s">
        <v>1269</v>
      </c>
      <c r="C1194" s="1" t="s">
        <v>21084</v>
      </c>
      <c r="D1194" s="1" t="s">
        <v>20754</v>
      </c>
      <c r="E1194" s="1" t="s">
        <v>11698</v>
      </c>
      <c r="F1194" s="1" t="s">
        <v>21085</v>
      </c>
      <c r="G1194" s="1" t="s">
        <v>21086</v>
      </c>
      <c r="H1194" s="1" t="s">
        <v>21087</v>
      </c>
      <c r="I1194" s="1" t="s">
        <v>21088</v>
      </c>
      <c r="J1194" s="1">
        <v>8806600943</v>
      </c>
      <c r="K1194" s="1" t="s">
        <v>148</v>
      </c>
      <c r="L1194" s="1" t="s">
        <v>6126</v>
      </c>
      <c r="M1194" s="1" t="s">
        <v>81</v>
      </c>
      <c r="N1194" s="1" t="s">
        <v>2293</v>
      </c>
      <c r="O1194" s="1" t="s">
        <v>21089</v>
      </c>
      <c r="P1194" s="1" t="s">
        <v>1323</v>
      </c>
      <c r="Q1194" s="1" t="s">
        <v>21090</v>
      </c>
      <c r="R1194" s="1" t="s">
        <v>11698</v>
      </c>
      <c r="S1194" s="1">
        <v>9511821507</v>
      </c>
      <c r="T1194" s="1" t="s">
        <v>496</v>
      </c>
      <c r="U1194" s="1" t="s">
        <v>21091</v>
      </c>
      <c r="V1194" s="1">
        <v>8806223092</v>
      </c>
      <c r="W1194" s="1" t="s">
        <v>651</v>
      </c>
      <c r="X1194" s="1" t="s">
        <v>21092</v>
      </c>
      <c r="Y1194" s="1" t="s">
        <v>5819</v>
      </c>
      <c r="Z1194" s="1" t="s">
        <v>92</v>
      </c>
      <c r="AA1194" s="1" t="s">
        <v>21092</v>
      </c>
      <c r="AB1194" s="1" t="s">
        <v>5819</v>
      </c>
      <c r="AC1194" s="1" t="s">
        <v>92</v>
      </c>
      <c r="AD1194" s="1">
        <v>7.91</v>
      </c>
      <c r="AE1194" s="1" t="s">
        <v>93</v>
      </c>
      <c r="AF1194" s="1" t="s">
        <v>21093</v>
      </c>
      <c r="AG1194" s="1" t="s">
        <v>5604</v>
      </c>
      <c r="AH1194" s="1" t="s">
        <v>456</v>
      </c>
      <c r="AI1194" s="1" t="s">
        <v>195</v>
      </c>
      <c r="AJ1194" s="1">
        <v>89.3</v>
      </c>
      <c r="AK1194" s="1">
        <v>9.4</v>
      </c>
      <c r="AL1194" s="1" t="s">
        <v>21094</v>
      </c>
      <c r="AM1194" s="1" t="s">
        <v>21095</v>
      </c>
      <c r="AN1194" s="1" t="s">
        <v>281</v>
      </c>
      <c r="AO1194" s="1" t="s">
        <v>198</v>
      </c>
      <c r="AP1194" s="1">
        <v>69.23</v>
      </c>
      <c r="AQ1194" s="1"/>
      <c r="AR1194" s="1"/>
      <c r="AS1194" s="1"/>
      <c r="AT1194" s="1"/>
      <c r="AU1194" s="1"/>
      <c r="AV1194" s="1"/>
      <c r="AW1194" s="1"/>
      <c r="AX1194" s="1" t="s">
        <v>361</v>
      </c>
      <c r="AY1194" s="1" t="s">
        <v>21096</v>
      </c>
      <c r="AZ1194" s="1" t="s">
        <v>433</v>
      </c>
      <c r="BA1194" s="1" t="s">
        <v>702</v>
      </c>
      <c r="BB1194" s="1">
        <v>66.48</v>
      </c>
      <c r="BC1194" s="1">
        <v>7.47</v>
      </c>
      <c r="BD1194" s="1"/>
      <c r="BE1194" s="1"/>
      <c r="BF1194" s="1"/>
      <c r="BG1194" s="1"/>
      <c r="BH1194" s="1"/>
      <c r="BI1194" s="1"/>
      <c r="BJ1194" s="1" t="s">
        <v>21097</v>
      </c>
      <c r="BK1194" s="1" t="s">
        <v>21098</v>
      </c>
      <c r="BL1194" s="1" t="s">
        <v>1475</v>
      </c>
      <c r="BM1194" s="1" t="s">
        <v>21099</v>
      </c>
      <c r="BN1194" s="1">
        <v>19</v>
      </c>
      <c r="BO1194" s="1"/>
      <c r="BP1194" s="1" t="str">
        <f>HYPERLINK("https://nconnect.nicmar.ac.in/storage/profile/ProfilePhoto_P25701137_312786.jpg","Download")</f>
        <v>0</v>
      </c>
      <c r="BQ1194" s="3"/>
      <c r="BR1194" s="3"/>
    </row>
    <row r="1195" spans="1:70">
      <c r="A1195" s="1" t="s">
        <v>1563</v>
      </c>
      <c r="B1195" s="1" t="s">
        <v>1269</v>
      </c>
      <c r="C1195" s="1" t="s">
        <v>21100</v>
      </c>
      <c r="D1195" s="1" t="s">
        <v>21101</v>
      </c>
      <c r="E1195" s="1" t="s">
        <v>1875</v>
      </c>
      <c r="F1195" s="1" t="s">
        <v>21102</v>
      </c>
      <c r="G1195" s="1" t="s">
        <v>21103</v>
      </c>
      <c r="H1195" s="1" t="s">
        <v>21104</v>
      </c>
      <c r="I1195" s="1" t="s">
        <v>21105</v>
      </c>
      <c r="J1195" s="1">
        <v>7020585299</v>
      </c>
      <c r="K1195" s="1" t="s">
        <v>148</v>
      </c>
      <c r="L1195" s="1" t="s">
        <v>11739</v>
      </c>
      <c r="M1195" s="1" t="s">
        <v>81</v>
      </c>
      <c r="N1195" s="1" t="s">
        <v>1418</v>
      </c>
      <c r="O1195" s="1"/>
      <c r="P1195" s="1" t="s">
        <v>1766</v>
      </c>
      <c r="Q1195" s="1" t="s">
        <v>21106</v>
      </c>
      <c r="R1195" s="1" t="s">
        <v>1875</v>
      </c>
      <c r="S1195" s="1">
        <v>9822303569</v>
      </c>
      <c r="T1195" s="1" t="s">
        <v>842</v>
      </c>
      <c r="U1195" s="1" t="s">
        <v>21107</v>
      </c>
      <c r="V1195" s="1">
        <v>9822899620</v>
      </c>
      <c r="W1195" s="1" t="s">
        <v>156</v>
      </c>
      <c r="X1195" s="1" t="s">
        <v>21108</v>
      </c>
      <c r="Y1195" s="1" t="s">
        <v>523</v>
      </c>
      <c r="Z1195" s="1" t="s">
        <v>92</v>
      </c>
      <c r="AA1195" s="1" t="s">
        <v>21108</v>
      </c>
      <c r="AB1195" s="1" t="s">
        <v>523</v>
      </c>
      <c r="AC1195" s="1" t="s">
        <v>92</v>
      </c>
      <c r="AD1195" s="1">
        <v>9.86</v>
      </c>
      <c r="AE1195" s="1" t="s">
        <v>93</v>
      </c>
      <c r="AF1195" s="1" t="s">
        <v>21109</v>
      </c>
      <c r="AG1195" s="1" t="s">
        <v>939</v>
      </c>
      <c r="AH1195" s="1" t="s">
        <v>162</v>
      </c>
      <c r="AI1195" s="1" t="s">
        <v>165</v>
      </c>
      <c r="AJ1195" s="1">
        <v>95</v>
      </c>
      <c r="AK1195" s="1">
        <v>10</v>
      </c>
      <c r="AL1195" s="1" t="s">
        <v>21109</v>
      </c>
      <c r="AM1195" s="1" t="s">
        <v>939</v>
      </c>
      <c r="AN1195" s="1" t="s">
        <v>101</v>
      </c>
      <c r="AO1195" s="1" t="s">
        <v>308</v>
      </c>
      <c r="AP1195" s="1">
        <v>90.2</v>
      </c>
      <c r="AQ1195" s="1">
        <v>0</v>
      </c>
      <c r="AR1195" s="1"/>
      <c r="AS1195" s="1"/>
      <c r="AT1195" s="1"/>
      <c r="AU1195" s="1"/>
      <c r="AV1195" s="1"/>
      <c r="AW1195" s="1"/>
      <c r="AX1195" s="1" t="s">
        <v>253</v>
      </c>
      <c r="AY1195" s="1" t="s">
        <v>21110</v>
      </c>
      <c r="AZ1195" s="1" t="s">
        <v>310</v>
      </c>
      <c r="BA1195" s="1" t="s">
        <v>702</v>
      </c>
      <c r="BB1195" s="1">
        <v>71.2</v>
      </c>
      <c r="BC1195" s="1">
        <v>8</v>
      </c>
      <c r="BD1195" s="1"/>
      <c r="BE1195" s="1"/>
      <c r="BF1195" s="1"/>
      <c r="BG1195" s="1"/>
      <c r="BH1195" s="1"/>
      <c r="BI1195" s="1"/>
      <c r="BJ1195" s="1" t="s">
        <v>21111</v>
      </c>
      <c r="BK1195" s="1" t="s">
        <v>21112</v>
      </c>
      <c r="BL1195" s="1" t="s">
        <v>619</v>
      </c>
      <c r="BM1195" s="1" t="s">
        <v>21113</v>
      </c>
      <c r="BN1195" s="1">
        <v>20</v>
      </c>
      <c r="BO1195" s="1"/>
      <c r="BP1195" s="1" t="str">
        <f>HYPERLINK("https://nconnect.nicmar.ac.in/storage/profile/ProfilePhoto_P25701138_614237.jpg","Download")</f>
        <v>0</v>
      </c>
      <c r="BQ1195" s="3"/>
      <c r="BR1195" s="3"/>
    </row>
    <row r="1196" spans="1:70">
      <c r="A1196" s="1" t="s">
        <v>1563</v>
      </c>
      <c r="B1196" s="1" t="s">
        <v>1269</v>
      </c>
      <c r="C1196" s="1" t="s">
        <v>21114</v>
      </c>
      <c r="D1196" s="1" t="s">
        <v>21115</v>
      </c>
      <c r="E1196" s="1" t="s">
        <v>2763</v>
      </c>
      <c r="F1196" s="1" t="s">
        <v>21116</v>
      </c>
      <c r="G1196" s="1" t="s">
        <v>21117</v>
      </c>
      <c r="H1196" s="1" t="s">
        <v>21118</v>
      </c>
      <c r="I1196" s="1" t="s">
        <v>21119</v>
      </c>
      <c r="J1196" s="1">
        <v>9167170423</v>
      </c>
      <c r="K1196" s="1" t="s">
        <v>148</v>
      </c>
      <c r="L1196" s="1" t="s">
        <v>21120</v>
      </c>
      <c r="M1196" s="1" t="s">
        <v>81</v>
      </c>
      <c r="N1196" s="1" t="s">
        <v>21121</v>
      </c>
      <c r="O1196" s="1"/>
      <c r="P1196" s="1" t="s">
        <v>1766</v>
      </c>
      <c r="Q1196" s="1" t="s">
        <v>21122</v>
      </c>
      <c r="R1196" s="1" t="s">
        <v>21116</v>
      </c>
      <c r="S1196" s="1">
        <v>9833703789</v>
      </c>
      <c r="T1196" s="1" t="s">
        <v>21123</v>
      </c>
      <c r="U1196" s="1" t="s">
        <v>21124</v>
      </c>
      <c r="V1196" s="1">
        <v>9769014918</v>
      </c>
      <c r="W1196" s="1" t="s">
        <v>273</v>
      </c>
      <c r="X1196" s="1" t="s">
        <v>21125</v>
      </c>
      <c r="Y1196" s="1" t="s">
        <v>1018</v>
      </c>
      <c r="Z1196" s="1" t="s">
        <v>92</v>
      </c>
      <c r="AA1196" s="1" t="s">
        <v>21126</v>
      </c>
      <c r="AB1196" s="1" t="s">
        <v>995</v>
      </c>
      <c r="AC1196" s="1" t="s">
        <v>92</v>
      </c>
      <c r="AD1196" s="1">
        <v>7.65</v>
      </c>
      <c r="AE1196" s="1" t="s">
        <v>93</v>
      </c>
      <c r="AF1196" s="1" t="s">
        <v>21127</v>
      </c>
      <c r="AG1196" s="1" t="s">
        <v>476</v>
      </c>
      <c r="AH1196" s="1" t="s">
        <v>161</v>
      </c>
      <c r="AI1196" s="1" t="s">
        <v>162</v>
      </c>
      <c r="AJ1196" s="1">
        <v>72.2</v>
      </c>
      <c r="AK1196" s="1"/>
      <c r="AL1196" s="1"/>
      <c r="AM1196" s="1"/>
      <c r="AN1196" s="1"/>
      <c r="AO1196" s="1"/>
      <c r="AP1196" s="1"/>
      <c r="AQ1196" s="1"/>
      <c r="AR1196" s="1" t="s">
        <v>98</v>
      </c>
      <c r="AS1196" s="1" t="s">
        <v>21128</v>
      </c>
      <c r="AT1196" s="1" t="s">
        <v>134</v>
      </c>
      <c r="AU1196" s="1" t="s">
        <v>433</v>
      </c>
      <c r="AV1196" s="1">
        <v>70.06</v>
      </c>
      <c r="AW1196" s="1"/>
      <c r="AX1196" s="1" t="s">
        <v>1024</v>
      </c>
      <c r="AY1196" s="1" t="s">
        <v>21129</v>
      </c>
      <c r="AZ1196" s="1" t="s">
        <v>201</v>
      </c>
      <c r="BA1196" s="1" t="s">
        <v>105</v>
      </c>
      <c r="BB1196" s="1">
        <v>71.01</v>
      </c>
      <c r="BC1196" s="1"/>
      <c r="BD1196" s="1"/>
      <c r="BE1196" s="1" t="s">
        <v>6732</v>
      </c>
      <c r="BF1196" s="1" t="s">
        <v>1584</v>
      </c>
      <c r="BG1196" s="1" t="s">
        <v>21130</v>
      </c>
      <c r="BH1196" s="1">
        <v>0</v>
      </c>
      <c r="BI1196" s="1"/>
      <c r="BJ1196" s="1" t="s">
        <v>21131</v>
      </c>
      <c r="BK1196" s="1" t="s">
        <v>21132</v>
      </c>
      <c r="BL1196" s="1" t="s">
        <v>1028</v>
      </c>
      <c r="BM1196" s="1"/>
      <c r="BN1196" s="1"/>
      <c r="BO1196" s="1" t="s">
        <v>21133</v>
      </c>
      <c r="BP1196" s="1" t="str">
        <f>HYPERLINK("https://nconnect.nicmar.ac.in/storage/profile/ProfilePhoto_P25701139_685329.jpg","Download")</f>
        <v>0</v>
      </c>
      <c r="BQ1196" s="3"/>
      <c r="BR1196" s="3"/>
    </row>
    <row r="1197" spans="1:70">
      <c r="A1197" s="1" t="s">
        <v>1563</v>
      </c>
      <c r="B1197" s="1" t="s">
        <v>1269</v>
      </c>
      <c r="C1197" s="1" t="s">
        <v>21134</v>
      </c>
      <c r="D1197" s="1" t="s">
        <v>970</v>
      </c>
      <c r="E1197" s="1" t="s">
        <v>1981</v>
      </c>
      <c r="F1197" s="1" t="s">
        <v>2024</v>
      </c>
      <c r="G1197" s="1" t="s">
        <v>21135</v>
      </c>
      <c r="H1197" s="1" t="s">
        <v>21136</v>
      </c>
      <c r="I1197" s="1" t="s">
        <v>21137</v>
      </c>
      <c r="J1197" s="1">
        <v>9850059829</v>
      </c>
      <c r="K1197" s="1" t="s">
        <v>148</v>
      </c>
      <c r="L1197" s="1" t="s">
        <v>21138</v>
      </c>
      <c r="M1197" s="1" t="s">
        <v>81</v>
      </c>
      <c r="N1197" s="1" t="s">
        <v>6792</v>
      </c>
      <c r="O1197" s="1"/>
      <c r="P1197" s="1" t="s">
        <v>1298</v>
      </c>
      <c r="Q1197" s="1" t="s">
        <v>21139</v>
      </c>
      <c r="R1197" s="1" t="s">
        <v>1981</v>
      </c>
      <c r="S1197" s="1">
        <v>9272630873</v>
      </c>
      <c r="T1197" s="1" t="s">
        <v>763</v>
      </c>
      <c r="U1197" s="1" t="s">
        <v>21140</v>
      </c>
      <c r="V1197" s="1">
        <v>9822553515</v>
      </c>
      <c r="W1197" s="1" t="s">
        <v>273</v>
      </c>
      <c r="X1197" s="1" t="s">
        <v>21141</v>
      </c>
      <c r="Y1197" s="1" t="s">
        <v>5915</v>
      </c>
      <c r="Z1197" s="1" t="s">
        <v>92</v>
      </c>
      <c r="AA1197" s="1" t="s">
        <v>21141</v>
      </c>
      <c r="AB1197" s="1" t="s">
        <v>5915</v>
      </c>
      <c r="AC1197" s="1" t="s">
        <v>92</v>
      </c>
      <c r="AD1197" s="1">
        <v>7.89</v>
      </c>
      <c r="AE1197" s="1" t="s">
        <v>93</v>
      </c>
      <c r="AF1197" s="1" t="s">
        <v>21142</v>
      </c>
      <c r="AG1197" s="1" t="s">
        <v>160</v>
      </c>
      <c r="AH1197" s="1" t="s">
        <v>165</v>
      </c>
      <c r="AI1197" s="1" t="s">
        <v>101</v>
      </c>
      <c r="AJ1197" s="1">
        <v>84.2</v>
      </c>
      <c r="AK1197" s="1"/>
      <c r="AL1197" s="1" t="s">
        <v>21143</v>
      </c>
      <c r="AM1197" s="1" t="s">
        <v>160</v>
      </c>
      <c r="AN1197" s="1" t="s">
        <v>433</v>
      </c>
      <c r="AO1197" s="1" t="s">
        <v>681</v>
      </c>
      <c r="AP1197" s="1">
        <v>63.85</v>
      </c>
      <c r="AQ1197" s="1"/>
      <c r="AR1197" s="1"/>
      <c r="AS1197" s="1"/>
      <c r="AT1197" s="1"/>
      <c r="AU1197" s="1"/>
      <c r="AV1197" s="1"/>
      <c r="AW1197" s="1"/>
      <c r="AX1197" s="1" t="s">
        <v>361</v>
      </c>
      <c r="AY1197" s="1" t="s">
        <v>21144</v>
      </c>
      <c r="AZ1197" s="1" t="s">
        <v>363</v>
      </c>
      <c r="BA1197" s="1" t="s">
        <v>1714</v>
      </c>
      <c r="BB1197" s="1">
        <v>59.5</v>
      </c>
      <c r="BC1197" s="1">
        <v>6.69</v>
      </c>
      <c r="BD1197" s="1"/>
      <c r="BE1197" s="1"/>
      <c r="BF1197" s="1"/>
      <c r="BG1197" s="1"/>
      <c r="BH1197" s="1"/>
      <c r="BI1197" s="1"/>
      <c r="BJ1197" s="1" t="s">
        <v>21145</v>
      </c>
      <c r="BK1197" s="1"/>
      <c r="BL1197" s="1"/>
      <c r="BM1197" s="1" t="s">
        <v>21146</v>
      </c>
      <c r="BN1197" s="1">
        <v>16</v>
      </c>
      <c r="BO1197" s="1" t="s">
        <v>21147</v>
      </c>
      <c r="BP1197" s="1" t="str">
        <f>HYPERLINK("https://nconnect.nicmar.ac.in/storage/profile/ProfilePhoto_P25701140_987256.jpg","Download")</f>
        <v>0</v>
      </c>
      <c r="BQ1197" s="3"/>
      <c r="BR1197" s="3"/>
    </row>
    <row r="1198" spans="1:70">
      <c r="A1198" s="1" t="s">
        <v>1563</v>
      </c>
      <c r="B1198" s="1" t="s">
        <v>1269</v>
      </c>
      <c r="C1198" s="1" t="s">
        <v>21148</v>
      </c>
      <c r="D1198" s="1" t="s">
        <v>21149</v>
      </c>
      <c r="E1198" s="1" t="s">
        <v>1316</v>
      </c>
      <c r="F1198" s="1" t="s">
        <v>21150</v>
      </c>
      <c r="G1198" s="1" t="s">
        <v>21151</v>
      </c>
      <c r="H1198" s="1" t="s">
        <v>21152</v>
      </c>
      <c r="I1198" s="1" t="s">
        <v>21153</v>
      </c>
      <c r="J1198" s="1">
        <v>9922911601</v>
      </c>
      <c r="K1198" s="1" t="s">
        <v>79</v>
      </c>
      <c r="L1198" s="1" t="s">
        <v>21154</v>
      </c>
      <c r="M1198" s="1" t="s">
        <v>81</v>
      </c>
      <c r="N1198" s="1" t="s">
        <v>1144</v>
      </c>
      <c r="O1198" s="1"/>
      <c r="P1198" s="1" t="s">
        <v>1323</v>
      </c>
      <c r="Q1198" s="1" t="s">
        <v>21155</v>
      </c>
      <c r="R1198" s="1" t="s">
        <v>21156</v>
      </c>
      <c r="S1198" s="1">
        <v>9527601601</v>
      </c>
      <c r="T1198" s="1" t="s">
        <v>5439</v>
      </c>
      <c r="U1198" s="1" t="s">
        <v>21157</v>
      </c>
      <c r="V1198" s="1">
        <v>9850881601</v>
      </c>
      <c r="W1198" s="1" t="s">
        <v>122</v>
      </c>
      <c r="X1198" s="1" t="s">
        <v>21158</v>
      </c>
      <c r="Y1198" s="1" t="s">
        <v>158</v>
      </c>
      <c r="Z1198" s="1" t="s">
        <v>92</v>
      </c>
      <c r="AA1198" s="1" t="s">
        <v>21158</v>
      </c>
      <c r="AB1198" s="1" t="s">
        <v>158</v>
      </c>
      <c r="AC1198" s="1" t="s">
        <v>92</v>
      </c>
      <c r="AD1198" s="1">
        <v>8.8</v>
      </c>
      <c r="AE1198" s="1" t="s">
        <v>93</v>
      </c>
      <c r="AF1198" s="1" t="s">
        <v>21159</v>
      </c>
      <c r="AG1198" s="1" t="s">
        <v>476</v>
      </c>
      <c r="AH1198" s="1" t="s">
        <v>162</v>
      </c>
      <c r="AI1198" s="1" t="s">
        <v>195</v>
      </c>
      <c r="AJ1198" s="1">
        <v>86</v>
      </c>
      <c r="AK1198" s="1"/>
      <c r="AL1198" s="1" t="s">
        <v>21160</v>
      </c>
      <c r="AM1198" s="1" t="s">
        <v>476</v>
      </c>
      <c r="AN1198" s="1" t="s">
        <v>101</v>
      </c>
      <c r="AO1198" s="1" t="s">
        <v>198</v>
      </c>
      <c r="AP1198" s="1">
        <v>65.08</v>
      </c>
      <c r="AQ1198" s="1"/>
      <c r="AR1198" s="1"/>
      <c r="AS1198" s="1"/>
      <c r="AT1198" s="1"/>
      <c r="AU1198" s="1"/>
      <c r="AV1198" s="1"/>
      <c r="AW1198" s="1"/>
      <c r="AX1198" s="1" t="s">
        <v>361</v>
      </c>
      <c r="AY1198" s="1" t="s">
        <v>21161</v>
      </c>
      <c r="AZ1198" s="1" t="s">
        <v>201</v>
      </c>
      <c r="BA1198" s="1" t="s">
        <v>590</v>
      </c>
      <c r="BB1198" s="1">
        <v>72</v>
      </c>
      <c r="BC1198" s="1">
        <v>8.09</v>
      </c>
      <c r="BD1198" s="1"/>
      <c r="BE1198" s="1"/>
      <c r="BF1198" s="1"/>
      <c r="BG1198" s="1"/>
      <c r="BH1198" s="1"/>
      <c r="BI1198" s="1"/>
      <c r="BJ1198" s="1" t="s">
        <v>21162</v>
      </c>
      <c r="BK1198" s="1" t="s">
        <v>21163</v>
      </c>
      <c r="BL1198" s="1" t="s">
        <v>1629</v>
      </c>
      <c r="BM1198" s="1" t="s">
        <v>21164</v>
      </c>
      <c r="BN1198" s="1">
        <v>47</v>
      </c>
      <c r="BO1198" s="1"/>
      <c r="BP1198" s="1" t="str">
        <f>HYPERLINK("https://nconnect.nicmar.ac.in/storage/profile/ProfilePhoto_P25701141_658723.jpg","Download")</f>
        <v>0</v>
      </c>
      <c r="BQ1198" s="3"/>
      <c r="BR1198" s="3"/>
    </row>
    <row r="1199" spans="1:70">
      <c r="A1199" s="1" t="s">
        <v>1563</v>
      </c>
      <c r="B1199" s="1" t="s">
        <v>1269</v>
      </c>
      <c r="C1199" s="1" t="s">
        <v>21165</v>
      </c>
      <c r="D1199" s="1" t="s">
        <v>4328</v>
      </c>
      <c r="E1199" s="1" t="s">
        <v>21166</v>
      </c>
      <c r="F1199" s="1" t="s">
        <v>14251</v>
      </c>
      <c r="G1199" s="1" t="s">
        <v>21167</v>
      </c>
      <c r="H1199" s="1" t="s">
        <v>21168</v>
      </c>
      <c r="I1199" s="1" t="s">
        <v>21169</v>
      </c>
      <c r="J1199" s="1">
        <v>7249631292</v>
      </c>
      <c r="K1199" s="1" t="s">
        <v>79</v>
      </c>
      <c r="L1199" s="1" t="s">
        <v>12891</v>
      </c>
      <c r="M1199" s="1" t="s">
        <v>81</v>
      </c>
      <c r="N1199" s="1" t="s">
        <v>1418</v>
      </c>
      <c r="O1199" s="1"/>
      <c r="P1199" s="1" t="s">
        <v>6615</v>
      </c>
      <c r="Q1199" s="1" t="s">
        <v>21170</v>
      </c>
      <c r="R1199" s="1" t="s">
        <v>21166</v>
      </c>
      <c r="S1199" s="1">
        <v>9552929250</v>
      </c>
      <c r="T1199" s="1" t="s">
        <v>154</v>
      </c>
      <c r="U1199" s="1" t="s">
        <v>21171</v>
      </c>
      <c r="V1199" s="1">
        <v>7249831292</v>
      </c>
      <c r="W1199" s="1" t="s">
        <v>154</v>
      </c>
      <c r="X1199" s="1" t="s">
        <v>21172</v>
      </c>
      <c r="Y1199" s="1" t="s">
        <v>5915</v>
      </c>
      <c r="Z1199" s="1" t="s">
        <v>92</v>
      </c>
      <c r="AA1199" s="1" t="s">
        <v>21172</v>
      </c>
      <c r="AB1199" s="1" t="s">
        <v>5915</v>
      </c>
      <c r="AC1199" s="1" t="s">
        <v>92</v>
      </c>
      <c r="AD1199" s="1">
        <v>7.88</v>
      </c>
      <c r="AE1199" s="1" t="s">
        <v>93</v>
      </c>
      <c r="AF1199" s="1" t="s">
        <v>21173</v>
      </c>
      <c r="AG1199" s="1" t="s">
        <v>2141</v>
      </c>
      <c r="AH1199" s="1" t="s">
        <v>479</v>
      </c>
      <c r="AI1199" s="1" t="s">
        <v>166</v>
      </c>
      <c r="AJ1199" s="1">
        <v>61.17</v>
      </c>
      <c r="AK1199" s="1"/>
      <c r="AL1199" s="1" t="s">
        <v>21174</v>
      </c>
      <c r="AM1199" s="1" t="s">
        <v>19834</v>
      </c>
      <c r="AN1199" s="1" t="s">
        <v>433</v>
      </c>
      <c r="AO1199" s="1" t="s">
        <v>173</v>
      </c>
      <c r="AP1199" s="1">
        <v>70.46</v>
      </c>
      <c r="AQ1199" s="1"/>
      <c r="AR1199" s="1"/>
      <c r="AS1199" s="1"/>
      <c r="AT1199" s="1"/>
      <c r="AU1199" s="1"/>
      <c r="AV1199" s="1"/>
      <c r="AW1199" s="1"/>
      <c r="AX1199" s="1" t="s">
        <v>21175</v>
      </c>
      <c r="AY1199" s="1" t="s">
        <v>3476</v>
      </c>
      <c r="AZ1199" s="1" t="s">
        <v>2016</v>
      </c>
      <c r="BA1199" s="1" t="s">
        <v>1938</v>
      </c>
      <c r="BB1199" s="1">
        <v>79.3</v>
      </c>
      <c r="BC1199" s="1">
        <v>7.93</v>
      </c>
      <c r="BD1199" s="1"/>
      <c r="BE1199" s="1"/>
      <c r="BF1199" s="1"/>
      <c r="BG1199" s="1"/>
      <c r="BH1199" s="1"/>
      <c r="BI1199" s="1"/>
      <c r="BJ1199" s="1" t="s">
        <v>21176</v>
      </c>
      <c r="BK1199" s="1"/>
      <c r="BL1199" s="1"/>
      <c r="BM1199" s="1" t="s">
        <v>21177</v>
      </c>
      <c r="BN1199" s="1">
        <v>8</v>
      </c>
      <c r="BO1199" s="1"/>
      <c r="BP1199" s="1" t="str">
        <f>HYPERLINK("https://nconnect.nicmar.ac.in/storage/profile/ProfilePhoto_P25701142_867349.jpg","Download")</f>
        <v>0</v>
      </c>
      <c r="BQ1199" s="3"/>
      <c r="BR1199" s="3"/>
    </row>
    <row r="1200" spans="1:70">
      <c r="A1200" s="1" t="s">
        <v>1563</v>
      </c>
      <c r="B1200" s="1" t="s">
        <v>1269</v>
      </c>
      <c r="C1200" s="1" t="s">
        <v>21178</v>
      </c>
      <c r="D1200" s="1" t="s">
        <v>2149</v>
      </c>
      <c r="E1200" s="1" t="s">
        <v>144</v>
      </c>
      <c r="F1200" s="1" t="s">
        <v>21179</v>
      </c>
      <c r="G1200" s="1" t="s">
        <v>21180</v>
      </c>
      <c r="H1200" s="1" t="s">
        <v>21181</v>
      </c>
      <c r="I1200" s="1" t="s">
        <v>21182</v>
      </c>
      <c r="J1200" s="1">
        <v>7843092944</v>
      </c>
      <c r="K1200" s="1" t="s">
        <v>79</v>
      </c>
      <c r="L1200" s="1" t="s">
        <v>21183</v>
      </c>
      <c r="M1200" s="1" t="s">
        <v>81</v>
      </c>
      <c r="N1200" s="1" t="s">
        <v>1418</v>
      </c>
      <c r="O1200" s="1"/>
      <c r="P1200" s="1" t="s">
        <v>1323</v>
      </c>
      <c r="Q1200" s="1" t="s">
        <v>21184</v>
      </c>
      <c r="R1200" s="1" t="s">
        <v>144</v>
      </c>
      <c r="S1200" s="1">
        <v>9922811058</v>
      </c>
      <c r="T1200" s="1" t="s">
        <v>7835</v>
      </c>
      <c r="U1200" s="1" t="s">
        <v>7446</v>
      </c>
      <c r="V1200" s="1">
        <v>9730166806</v>
      </c>
      <c r="W1200" s="1" t="s">
        <v>156</v>
      </c>
      <c r="X1200" s="1" t="s">
        <v>21185</v>
      </c>
      <c r="Y1200" s="1" t="s">
        <v>2786</v>
      </c>
      <c r="Z1200" s="1" t="s">
        <v>92</v>
      </c>
      <c r="AA1200" s="1" t="s">
        <v>21185</v>
      </c>
      <c r="AB1200" s="1" t="s">
        <v>2786</v>
      </c>
      <c r="AC1200" s="1" t="s">
        <v>92</v>
      </c>
      <c r="AD1200" s="1">
        <v>7.46</v>
      </c>
      <c r="AE1200" s="1" t="s">
        <v>93</v>
      </c>
      <c r="AF1200" s="1" t="s">
        <v>21186</v>
      </c>
      <c r="AG1200" s="1" t="s">
        <v>160</v>
      </c>
      <c r="AH1200" s="1" t="s">
        <v>96</v>
      </c>
      <c r="AI1200" s="1" t="s">
        <v>97</v>
      </c>
      <c r="AJ1200" s="1">
        <v>77.4</v>
      </c>
      <c r="AK1200" s="1"/>
      <c r="AL1200" s="1" t="s">
        <v>21186</v>
      </c>
      <c r="AM1200" s="1" t="s">
        <v>160</v>
      </c>
      <c r="AN1200" s="1" t="s">
        <v>162</v>
      </c>
      <c r="AO1200" s="1" t="s">
        <v>1332</v>
      </c>
      <c r="AP1200" s="1">
        <v>63.54</v>
      </c>
      <c r="AQ1200" s="1"/>
      <c r="AR1200" s="1" t="s">
        <v>98</v>
      </c>
      <c r="AS1200" s="1" t="s">
        <v>21187</v>
      </c>
      <c r="AT1200" s="1" t="s">
        <v>383</v>
      </c>
      <c r="AU1200" s="1" t="s">
        <v>433</v>
      </c>
      <c r="AV1200" s="1">
        <v>65.45</v>
      </c>
      <c r="AW1200" s="1"/>
      <c r="AX1200" s="1" t="s">
        <v>1891</v>
      </c>
      <c r="AY1200" s="1" t="s">
        <v>21188</v>
      </c>
      <c r="AZ1200" s="1" t="s">
        <v>310</v>
      </c>
      <c r="BA1200" s="1" t="s">
        <v>2687</v>
      </c>
      <c r="BB1200" s="1">
        <v>77.77</v>
      </c>
      <c r="BC1200" s="1">
        <v>8.41</v>
      </c>
      <c r="BD1200" s="1"/>
      <c r="BE1200" s="1"/>
      <c r="BF1200" s="1"/>
      <c r="BG1200" s="1"/>
      <c r="BH1200" s="1"/>
      <c r="BI1200" s="1"/>
      <c r="BJ1200" s="1" t="s">
        <v>255</v>
      </c>
      <c r="BK1200" s="1" t="s">
        <v>21189</v>
      </c>
      <c r="BL1200" s="1" t="s">
        <v>1385</v>
      </c>
      <c r="BM1200" s="1"/>
      <c r="BN1200" s="1"/>
      <c r="BO1200" s="1"/>
      <c r="BP1200" s="1" t="str">
        <f>HYPERLINK("https://nconnect.nicmar.ac.in/storage/profile/ProfilePhoto_P25701143_256148.jpg","Download")</f>
        <v>0</v>
      </c>
      <c r="BQ1200" s="3"/>
      <c r="BR1200" s="3"/>
    </row>
    <row r="1201" spans="1:70">
      <c r="A1201" s="1" t="s">
        <v>1563</v>
      </c>
      <c r="B1201" s="1" t="s">
        <v>1269</v>
      </c>
      <c r="C1201" s="1" t="s">
        <v>21190</v>
      </c>
      <c r="D1201" s="1" t="s">
        <v>8471</v>
      </c>
      <c r="E1201" s="1" t="s">
        <v>21191</v>
      </c>
      <c r="F1201" s="1" t="s">
        <v>21192</v>
      </c>
      <c r="G1201" s="1" t="s">
        <v>21193</v>
      </c>
      <c r="H1201" s="1" t="s">
        <v>21194</v>
      </c>
      <c r="I1201" s="1" t="s">
        <v>21195</v>
      </c>
      <c r="J1201" s="1">
        <v>8767022422</v>
      </c>
      <c r="K1201" s="1" t="s">
        <v>79</v>
      </c>
      <c r="L1201" s="1" t="s">
        <v>12742</v>
      </c>
      <c r="M1201" s="1" t="s">
        <v>81</v>
      </c>
      <c r="N1201" s="1" t="s">
        <v>1881</v>
      </c>
      <c r="O1201" s="1"/>
      <c r="P1201" s="1" t="s">
        <v>1278</v>
      </c>
      <c r="Q1201" s="1" t="s">
        <v>21196</v>
      </c>
      <c r="R1201" s="1" t="s">
        <v>21197</v>
      </c>
      <c r="S1201" s="1">
        <v>9420081217</v>
      </c>
      <c r="T1201" s="1" t="s">
        <v>496</v>
      </c>
      <c r="U1201" s="1" t="s">
        <v>21198</v>
      </c>
      <c r="V1201" s="1">
        <v>9422207681</v>
      </c>
      <c r="W1201" s="1" t="s">
        <v>156</v>
      </c>
      <c r="X1201" s="1" t="s">
        <v>21199</v>
      </c>
      <c r="Y1201" s="1" t="s">
        <v>191</v>
      </c>
      <c r="Z1201" s="1" t="s">
        <v>92</v>
      </c>
      <c r="AA1201" s="1" t="s">
        <v>21199</v>
      </c>
      <c r="AB1201" s="1" t="s">
        <v>191</v>
      </c>
      <c r="AC1201" s="1" t="s">
        <v>92</v>
      </c>
      <c r="AD1201" s="1">
        <v>8.19</v>
      </c>
      <c r="AE1201" s="1" t="s">
        <v>93</v>
      </c>
      <c r="AF1201" s="1" t="s">
        <v>21200</v>
      </c>
      <c r="AG1201" s="1" t="s">
        <v>476</v>
      </c>
      <c r="AH1201" s="1" t="s">
        <v>165</v>
      </c>
      <c r="AI1201" s="1" t="s">
        <v>281</v>
      </c>
      <c r="AJ1201" s="1">
        <v>79.8</v>
      </c>
      <c r="AK1201" s="1"/>
      <c r="AL1201" s="1" t="s">
        <v>21201</v>
      </c>
      <c r="AM1201" s="1" t="s">
        <v>476</v>
      </c>
      <c r="AN1201" s="1" t="s">
        <v>433</v>
      </c>
      <c r="AO1201" s="1" t="s">
        <v>360</v>
      </c>
      <c r="AP1201" s="1">
        <v>61.08</v>
      </c>
      <c r="AQ1201" s="1"/>
      <c r="AR1201" s="1"/>
      <c r="AS1201" s="1"/>
      <c r="AT1201" s="1"/>
      <c r="AU1201" s="1"/>
      <c r="AV1201" s="1"/>
      <c r="AW1201" s="1"/>
      <c r="AX1201" s="1" t="s">
        <v>18065</v>
      </c>
      <c r="AY1201" s="1" t="s">
        <v>21202</v>
      </c>
      <c r="AZ1201" s="1" t="s">
        <v>360</v>
      </c>
      <c r="BA1201" s="1" t="s">
        <v>1714</v>
      </c>
      <c r="BB1201" s="1">
        <v>65.32</v>
      </c>
      <c r="BC1201" s="1">
        <v>7.34</v>
      </c>
      <c r="BD1201" s="1"/>
      <c r="BE1201" s="1"/>
      <c r="BF1201" s="1"/>
      <c r="BG1201" s="1"/>
      <c r="BH1201" s="1"/>
      <c r="BI1201" s="1"/>
      <c r="BJ1201" s="1" t="s">
        <v>21203</v>
      </c>
      <c r="BK1201" s="1"/>
      <c r="BL1201" s="1"/>
      <c r="BM1201" s="1" t="s">
        <v>21204</v>
      </c>
      <c r="BN1201" s="1">
        <v>34</v>
      </c>
      <c r="BO1201" s="1" t="s">
        <v>21205</v>
      </c>
      <c r="BP1201" s="1" t="str">
        <f>HYPERLINK("https://nconnect.nicmar.ac.in/storage/profile/ProfilePhoto_P25701144_961284.jpg","Download")</f>
        <v>0</v>
      </c>
      <c r="BQ1201" s="3"/>
      <c r="BR1201" s="3"/>
    </row>
    <row r="1202" spans="1:70">
      <c r="A1202" s="1" t="s">
        <v>1563</v>
      </c>
      <c r="B1202" s="1" t="s">
        <v>1269</v>
      </c>
      <c r="C1202" s="1" t="s">
        <v>21206</v>
      </c>
      <c r="D1202" s="1" t="s">
        <v>21207</v>
      </c>
      <c r="E1202" s="1"/>
      <c r="F1202" s="1" t="s">
        <v>21208</v>
      </c>
      <c r="G1202" s="1" t="s">
        <v>21209</v>
      </c>
      <c r="H1202" s="1" t="s">
        <v>21210</v>
      </c>
      <c r="I1202" s="1" t="s">
        <v>21211</v>
      </c>
      <c r="J1202" s="1">
        <v>9123170638</v>
      </c>
      <c r="K1202" s="1" t="s">
        <v>79</v>
      </c>
      <c r="L1202" s="1" t="s">
        <v>21212</v>
      </c>
      <c r="M1202" s="1" t="s">
        <v>81</v>
      </c>
      <c r="N1202" s="1" t="s">
        <v>21213</v>
      </c>
      <c r="O1202" s="1"/>
      <c r="P1202" s="1" t="s">
        <v>1766</v>
      </c>
      <c r="Q1202" s="1" t="s">
        <v>21214</v>
      </c>
      <c r="R1202" s="1" t="s">
        <v>21215</v>
      </c>
      <c r="S1202" s="1">
        <v>7004176990</v>
      </c>
      <c r="T1202" s="1" t="s">
        <v>120</v>
      </c>
      <c r="U1202" s="1" t="s">
        <v>21216</v>
      </c>
      <c r="V1202" s="1">
        <v>7004176990</v>
      </c>
      <c r="W1202" s="1" t="s">
        <v>651</v>
      </c>
      <c r="X1202" s="1" t="s">
        <v>21217</v>
      </c>
      <c r="Y1202" s="1" t="s">
        <v>8942</v>
      </c>
      <c r="Z1202" s="1" t="s">
        <v>3765</v>
      </c>
      <c r="AA1202" s="1" t="s">
        <v>21217</v>
      </c>
      <c r="AB1202" s="1" t="s">
        <v>8942</v>
      </c>
      <c r="AC1202" s="1" t="s">
        <v>3765</v>
      </c>
      <c r="AD1202" s="1">
        <v>8.07</v>
      </c>
      <c r="AE1202" s="1" t="s">
        <v>93</v>
      </c>
      <c r="AF1202" s="1" t="s">
        <v>21218</v>
      </c>
      <c r="AG1202" s="1" t="s">
        <v>21219</v>
      </c>
      <c r="AH1202" s="1" t="s">
        <v>17587</v>
      </c>
      <c r="AI1202" s="1" t="s">
        <v>1197</v>
      </c>
      <c r="AJ1202" s="1">
        <v>68.4</v>
      </c>
      <c r="AK1202" s="1">
        <v>7.2</v>
      </c>
      <c r="AL1202" s="1" t="s">
        <v>21220</v>
      </c>
      <c r="AM1202" s="1" t="s">
        <v>21221</v>
      </c>
      <c r="AN1202" s="1" t="s">
        <v>477</v>
      </c>
      <c r="AO1202" s="1" t="s">
        <v>5681</v>
      </c>
      <c r="AP1202" s="1">
        <v>60.19</v>
      </c>
      <c r="AQ1202" s="1"/>
      <c r="AR1202" s="1"/>
      <c r="AS1202" s="1"/>
      <c r="AT1202" s="1"/>
      <c r="AU1202" s="1"/>
      <c r="AV1202" s="1"/>
      <c r="AW1202" s="1"/>
      <c r="AX1202" s="1" t="s">
        <v>2078</v>
      </c>
      <c r="AY1202" s="1" t="s">
        <v>21222</v>
      </c>
      <c r="AZ1202" s="1" t="s">
        <v>383</v>
      </c>
      <c r="BA1202" s="1" t="s">
        <v>506</v>
      </c>
      <c r="BB1202" s="1">
        <v>65.4</v>
      </c>
      <c r="BC1202" s="1">
        <v>7.26</v>
      </c>
      <c r="BD1202" s="1"/>
      <c r="BE1202" s="1"/>
      <c r="BF1202" s="1"/>
      <c r="BG1202" s="1"/>
      <c r="BH1202" s="1"/>
      <c r="BI1202" s="1"/>
      <c r="BJ1202" s="1" t="s">
        <v>21223</v>
      </c>
      <c r="BK1202" s="1"/>
      <c r="BL1202" s="1"/>
      <c r="BM1202" s="1" t="s">
        <v>21224</v>
      </c>
      <c r="BN1202" s="1">
        <v>9</v>
      </c>
      <c r="BO1202" s="1" t="s">
        <v>21225</v>
      </c>
      <c r="BP1202" s="1" t="str">
        <f>HYPERLINK("https://nconnect.nicmar.ac.in/storage/profile/ProfilePhoto_P25701145_172436.jpg","Download")</f>
        <v>0</v>
      </c>
      <c r="BQ1202" s="3"/>
      <c r="BR1202" s="3"/>
    </row>
    <row r="1203" spans="1:70">
      <c r="A1203" s="1" t="s">
        <v>1563</v>
      </c>
      <c r="B1203" s="1" t="s">
        <v>1269</v>
      </c>
      <c r="C1203" s="1" t="s">
        <v>21226</v>
      </c>
      <c r="D1203" s="1" t="s">
        <v>6736</v>
      </c>
      <c r="E1203" s="1" t="s">
        <v>6189</v>
      </c>
      <c r="F1203" s="1" t="s">
        <v>1546</v>
      </c>
      <c r="G1203" s="1" t="s">
        <v>21227</v>
      </c>
      <c r="H1203" s="1" t="s">
        <v>21228</v>
      </c>
      <c r="I1203" s="1" t="s">
        <v>21229</v>
      </c>
      <c r="J1203" s="1">
        <v>9326542755</v>
      </c>
      <c r="K1203" s="1" t="s">
        <v>79</v>
      </c>
      <c r="L1203" s="1" t="s">
        <v>15317</v>
      </c>
      <c r="M1203" s="1" t="s">
        <v>81</v>
      </c>
      <c r="N1203" s="1" t="s">
        <v>1986</v>
      </c>
      <c r="O1203" s="1"/>
      <c r="P1203" s="1" t="s">
        <v>1298</v>
      </c>
      <c r="Q1203" s="1" t="s">
        <v>21230</v>
      </c>
      <c r="R1203" s="1" t="s">
        <v>1546</v>
      </c>
      <c r="S1203" s="1">
        <v>9223394330</v>
      </c>
      <c r="T1203" s="1" t="s">
        <v>763</v>
      </c>
      <c r="U1203" s="1" t="s">
        <v>3060</v>
      </c>
      <c r="V1203" s="1">
        <v>9833954330</v>
      </c>
      <c r="W1203" s="1" t="s">
        <v>716</v>
      </c>
      <c r="X1203" s="1" t="s">
        <v>21231</v>
      </c>
      <c r="Y1203" s="1" t="s">
        <v>766</v>
      </c>
      <c r="Z1203" s="1" t="s">
        <v>92</v>
      </c>
      <c r="AA1203" s="1" t="s">
        <v>21231</v>
      </c>
      <c r="AB1203" s="1" t="s">
        <v>766</v>
      </c>
      <c r="AC1203" s="1" t="s">
        <v>92</v>
      </c>
      <c r="AD1203" s="1">
        <v>8.27</v>
      </c>
      <c r="AE1203" s="1" t="s">
        <v>93</v>
      </c>
      <c r="AF1203" s="1" t="s">
        <v>21232</v>
      </c>
      <c r="AG1203" s="1" t="s">
        <v>160</v>
      </c>
      <c r="AH1203" s="1" t="s">
        <v>165</v>
      </c>
      <c r="AI1203" s="1" t="s">
        <v>101</v>
      </c>
      <c r="AJ1203" s="1">
        <v>92.6</v>
      </c>
      <c r="AK1203" s="1"/>
      <c r="AL1203" s="1" t="s">
        <v>21233</v>
      </c>
      <c r="AM1203" s="1" t="s">
        <v>160</v>
      </c>
      <c r="AN1203" s="1" t="s">
        <v>433</v>
      </c>
      <c r="AO1203" s="1" t="s">
        <v>412</v>
      </c>
      <c r="AP1203" s="1">
        <v>81.38</v>
      </c>
      <c r="AQ1203" s="1"/>
      <c r="AR1203" s="1"/>
      <c r="AS1203" s="1"/>
      <c r="AT1203" s="1"/>
      <c r="AU1203" s="1"/>
      <c r="AV1203" s="1"/>
      <c r="AW1203" s="1"/>
      <c r="AX1203" s="1" t="s">
        <v>253</v>
      </c>
      <c r="AY1203" s="1" t="s">
        <v>21234</v>
      </c>
      <c r="AZ1203" s="1" t="s">
        <v>173</v>
      </c>
      <c r="BA1203" s="1" t="s">
        <v>1938</v>
      </c>
      <c r="BB1203" s="1">
        <v>73.65</v>
      </c>
      <c r="BC1203" s="1">
        <v>8.15</v>
      </c>
      <c r="BD1203" s="1"/>
      <c r="BE1203" s="1"/>
      <c r="BF1203" s="1"/>
      <c r="BG1203" s="1"/>
      <c r="BH1203" s="1"/>
      <c r="BI1203" s="1"/>
      <c r="BJ1203" s="1" t="s">
        <v>21235</v>
      </c>
      <c r="BK1203" s="1" t="s">
        <v>21236</v>
      </c>
      <c r="BL1203" s="1" t="s">
        <v>1220</v>
      </c>
      <c r="BM1203" s="1" t="s">
        <v>21237</v>
      </c>
      <c r="BN1203" s="1">
        <v>6</v>
      </c>
      <c r="BO1203" s="1" t="s">
        <v>21238</v>
      </c>
      <c r="BP1203" s="1" t="str">
        <f>HYPERLINK("https://nconnect.nicmar.ac.in/storage/profile/ProfilePhoto_P25701147_438629.jpg","Download")</f>
        <v>0</v>
      </c>
      <c r="BQ1203" s="3"/>
      <c r="BR1203" s="3"/>
    </row>
    <row r="1204" spans="1:70">
      <c r="A1204" s="1" t="s">
        <v>1563</v>
      </c>
      <c r="B1204" s="1" t="s">
        <v>1269</v>
      </c>
      <c r="C1204" s="1" t="s">
        <v>21239</v>
      </c>
      <c r="D1204" s="1" t="s">
        <v>2892</v>
      </c>
      <c r="E1204" s="1"/>
      <c r="F1204" s="1" t="s">
        <v>234</v>
      </c>
      <c r="G1204" s="1" t="s">
        <v>21240</v>
      </c>
      <c r="H1204" s="1" t="s">
        <v>21241</v>
      </c>
      <c r="I1204" s="1" t="s">
        <v>21242</v>
      </c>
      <c r="J1204" s="1">
        <v>9304045767</v>
      </c>
      <c r="K1204" s="1" t="s">
        <v>79</v>
      </c>
      <c r="L1204" s="1" t="s">
        <v>21243</v>
      </c>
      <c r="M1204" s="1" t="s">
        <v>81</v>
      </c>
      <c r="N1204" s="1" t="s">
        <v>82</v>
      </c>
      <c r="O1204" s="1" t="s">
        <v>21244</v>
      </c>
      <c r="P1204" s="1" t="s">
        <v>1278</v>
      </c>
      <c r="Q1204" s="1" t="s">
        <v>21245</v>
      </c>
      <c r="R1204" s="1" t="s">
        <v>21246</v>
      </c>
      <c r="S1204" s="1">
        <v>9431720013</v>
      </c>
      <c r="T1204" s="1" t="s">
        <v>120</v>
      </c>
      <c r="U1204" s="1" t="s">
        <v>6115</v>
      </c>
      <c r="V1204" s="1">
        <v>7979755542</v>
      </c>
      <c r="W1204" s="1" t="s">
        <v>273</v>
      </c>
      <c r="X1204" s="1" t="s">
        <v>21247</v>
      </c>
      <c r="Y1204" s="1" t="s">
        <v>191</v>
      </c>
      <c r="Z1204" s="1" t="s">
        <v>92</v>
      </c>
      <c r="AA1204" s="1" t="s">
        <v>21248</v>
      </c>
      <c r="AB1204" s="1" t="s">
        <v>8942</v>
      </c>
      <c r="AC1204" s="1" t="s">
        <v>3765</v>
      </c>
      <c r="AD1204" s="1">
        <v>7.64</v>
      </c>
      <c r="AE1204" s="1" t="s">
        <v>93</v>
      </c>
      <c r="AF1204" s="1" t="s">
        <v>21218</v>
      </c>
      <c r="AG1204" s="1" t="s">
        <v>939</v>
      </c>
      <c r="AH1204" s="1" t="s">
        <v>4212</v>
      </c>
      <c r="AI1204" s="1" t="s">
        <v>1197</v>
      </c>
      <c r="AJ1204" s="1">
        <v>64.6</v>
      </c>
      <c r="AK1204" s="1">
        <v>6.8</v>
      </c>
      <c r="AL1204" s="1" t="s">
        <v>21218</v>
      </c>
      <c r="AM1204" s="1" t="s">
        <v>307</v>
      </c>
      <c r="AN1204" s="1" t="s">
        <v>503</v>
      </c>
      <c r="AO1204" s="1" t="s">
        <v>527</v>
      </c>
      <c r="AP1204" s="1">
        <v>65</v>
      </c>
      <c r="AQ1204" s="1">
        <v>6.9</v>
      </c>
      <c r="AR1204" s="1"/>
      <c r="AS1204" s="1"/>
      <c r="AT1204" s="1"/>
      <c r="AU1204" s="1"/>
      <c r="AV1204" s="1"/>
      <c r="AW1204" s="1"/>
      <c r="AX1204" s="1" t="s">
        <v>21249</v>
      </c>
      <c r="AY1204" s="1" t="s">
        <v>21250</v>
      </c>
      <c r="AZ1204" s="1" t="s">
        <v>225</v>
      </c>
      <c r="BA1204" s="1" t="s">
        <v>506</v>
      </c>
      <c r="BB1204" s="1">
        <v>70</v>
      </c>
      <c r="BC1204" s="1">
        <v>7.82</v>
      </c>
      <c r="BD1204" s="1"/>
      <c r="BE1204" s="1"/>
      <c r="BF1204" s="1"/>
      <c r="BG1204" s="1"/>
      <c r="BH1204" s="1"/>
      <c r="BI1204" s="1"/>
      <c r="BJ1204" s="1" t="s">
        <v>14540</v>
      </c>
      <c r="BK1204" s="1"/>
      <c r="BL1204" s="1"/>
      <c r="BM1204" s="1" t="s">
        <v>21251</v>
      </c>
      <c r="BN1204" s="1">
        <v>8</v>
      </c>
      <c r="BO1204" s="1" t="s">
        <v>21252</v>
      </c>
      <c r="BP1204" s="1" t="str">
        <f>HYPERLINK("https://nconnect.nicmar.ac.in/storage/profile/ProfilePhoto_P25701148_372981.jpg","Download")</f>
        <v>0</v>
      </c>
      <c r="BQ1204" s="3"/>
      <c r="BR1204" s="3"/>
    </row>
    <row r="1205" spans="1:70">
      <c r="A1205" s="1" t="s">
        <v>1563</v>
      </c>
      <c r="B1205" s="1" t="s">
        <v>1269</v>
      </c>
      <c r="C1205" s="1" t="s">
        <v>21253</v>
      </c>
      <c r="D1205" s="1" t="s">
        <v>21254</v>
      </c>
      <c r="E1205" s="1"/>
      <c r="F1205" s="1" t="s">
        <v>21255</v>
      </c>
      <c r="G1205" s="1" t="s">
        <v>21256</v>
      </c>
      <c r="H1205" s="1" t="s">
        <v>21257</v>
      </c>
      <c r="I1205" s="1" t="s">
        <v>21258</v>
      </c>
      <c r="J1205" s="1">
        <v>7207535559</v>
      </c>
      <c r="K1205" s="1" t="s">
        <v>148</v>
      </c>
      <c r="L1205" s="1" t="s">
        <v>21259</v>
      </c>
      <c r="M1205" s="1" t="s">
        <v>81</v>
      </c>
      <c r="N1205" s="1" t="s">
        <v>21260</v>
      </c>
      <c r="O1205" s="1" t="s">
        <v>21261</v>
      </c>
      <c r="P1205" s="1" t="s">
        <v>1766</v>
      </c>
      <c r="Q1205" s="1" t="s">
        <v>21262</v>
      </c>
      <c r="R1205" s="1" t="s">
        <v>21263</v>
      </c>
      <c r="S1205" s="1">
        <v>7702615999</v>
      </c>
      <c r="T1205" s="1" t="s">
        <v>154</v>
      </c>
      <c r="U1205" s="1" t="s">
        <v>21264</v>
      </c>
      <c r="V1205" s="1">
        <v>9030888805</v>
      </c>
      <c r="W1205" s="1" t="s">
        <v>156</v>
      </c>
      <c r="X1205" s="1" t="s">
        <v>21265</v>
      </c>
      <c r="Y1205" s="1" t="s">
        <v>2241</v>
      </c>
      <c r="Z1205" s="1" t="s">
        <v>276</v>
      </c>
      <c r="AA1205" s="1" t="s">
        <v>21265</v>
      </c>
      <c r="AB1205" s="1" t="s">
        <v>2241</v>
      </c>
      <c r="AC1205" s="1" t="s">
        <v>276</v>
      </c>
      <c r="AD1205" s="1">
        <v>8.14</v>
      </c>
      <c r="AE1205" s="1" t="s">
        <v>93</v>
      </c>
      <c r="AF1205" s="1" t="s">
        <v>21266</v>
      </c>
      <c r="AG1205" s="1" t="s">
        <v>21267</v>
      </c>
      <c r="AH1205" s="1" t="s">
        <v>165</v>
      </c>
      <c r="AI1205" s="1" t="s">
        <v>281</v>
      </c>
      <c r="AJ1205" s="1">
        <v>92</v>
      </c>
      <c r="AK1205" s="1">
        <v>9.2</v>
      </c>
      <c r="AL1205" s="1" t="s">
        <v>280</v>
      </c>
      <c r="AM1205" s="1" t="s">
        <v>21267</v>
      </c>
      <c r="AN1205" s="1" t="s">
        <v>433</v>
      </c>
      <c r="AO1205" s="1" t="s">
        <v>941</v>
      </c>
      <c r="AP1205" s="1">
        <v>71.6</v>
      </c>
      <c r="AQ1205" s="1">
        <v>7.69</v>
      </c>
      <c r="AR1205" s="1"/>
      <c r="AS1205" s="1"/>
      <c r="AT1205" s="1"/>
      <c r="AU1205" s="1"/>
      <c r="AV1205" s="1"/>
      <c r="AW1205" s="1"/>
      <c r="AX1205" s="1" t="s">
        <v>21268</v>
      </c>
      <c r="AY1205" s="1" t="s">
        <v>21268</v>
      </c>
      <c r="AZ1205" s="1" t="s">
        <v>173</v>
      </c>
      <c r="BA1205" s="1" t="s">
        <v>702</v>
      </c>
      <c r="BB1205" s="1">
        <v>77.9</v>
      </c>
      <c r="BC1205" s="1">
        <v>8.54</v>
      </c>
      <c r="BD1205" s="1"/>
      <c r="BE1205" s="1"/>
      <c r="BF1205" s="1"/>
      <c r="BG1205" s="1"/>
      <c r="BH1205" s="1"/>
      <c r="BI1205" s="1"/>
      <c r="BJ1205" s="1" t="s">
        <v>1383</v>
      </c>
      <c r="BK1205" s="1"/>
      <c r="BL1205" s="1"/>
      <c r="BM1205" s="1" t="s">
        <v>21269</v>
      </c>
      <c r="BN1205" s="1">
        <v>15</v>
      </c>
      <c r="BO1205" s="1" t="s">
        <v>21270</v>
      </c>
      <c r="BP1205" s="1" t="str">
        <f>HYPERLINK("https://nconnect.nicmar.ac.in/storage/profile/ProfilePhoto_P25701149_837291.jpg","Download")</f>
        <v>0</v>
      </c>
      <c r="BQ1205" s="3"/>
      <c r="BR1205" s="3"/>
    </row>
    <row r="1206" spans="1:70">
      <c r="A1206" s="1" t="s">
        <v>1563</v>
      </c>
      <c r="B1206" s="1" t="s">
        <v>1269</v>
      </c>
      <c r="C1206" s="1" t="s">
        <v>21271</v>
      </c>
      <c r="D1206" s="1" t="s">
        <v>21272</v>
      </c>
      <c r="E1206" s="1"/>
      <c r="F1206" s="1" t="s">
        <v>21273</v>
      </c>
      <c r="G1206" s="1" t="s">
        <v>21274</v>
      </c>
      <c r="H1206" s="1" t="s">
        <v>21275</v>
      </c>
      <c r="I1206" s="1" t="s">
        <v>21276</v>
      </c>
      <c r="J1206" s="1">
        <v>9322215902</v>
      </c>
      <c r="K1206" s="1" t="s">
        <v>148</v>
      </c>
      <c r="L1206" s="1" t="s">
        <v>19433</v>
      </c>
      <c r="M1206" s="1" t="s">
        <v>81</v>
      </c>
      <c r="N1206" s="1" t="s">
        <v>21277</v>
      </c>
      <c r="O1206" s="1"/>
      <c r="P1206" s="1" t="s">
        <v>1298</v>
      </c>
      <c r="Q1206" s="1" t="s">
        <v>21278</v>
      </c>
      <c r="R1206" s="1" t="s">
        <v>21279</v>
      </c>
      <c r="S1206" s="1">
        <v>9987085902</v>
      </c>
      <c r="T1206" s="1" t="s">
        <v>763</v>
      </c>
      <c r="U1206" s="1" t="s">
        <v>21280</v>
      </c>
      <c r="V1206" s="1">
        <v>7021805690</v>
      </c>
      <c r="W1206" s="1" t="s">
        <v>156</v>
      </c>
      <c r="X1206" s="1" t="s">
        <v>21281</v>
      </c>
      <c r="Y1206" s="1" t="s">
        <v>766</v>
      </c>
      <c r="Z1206" s="1" t="s">
        <v>92</v>
      </c>
      <c r="AA1206" s="1" t="s">
        <v>21281</v>
      </c>
      <c r="AB1206" s="1" t="s">
        <v>766</v>
      </c>
      <c r="AC1206" s="1" t="s">
        <v>92</v>
      </c>
      <c r="AD1206" s="1">
        <v>8.7</v>
      </c>
      <c r="AE1206" s="1" t="s">
        <v>93</v>
      </c>
      <c r="AF1206" s="1" t="s">
        <v>21282</v>
      </c>
      <c r="AG1206" s="1" t="s">
        <v>307</v>
      </c>
      <c r="AH1206" s="1" t="s">
        <v>162</v>
      </c>
      <c r="AI1206" s="1" t="s">
        <v>165</v>
      </c>
      <c r="AJ1206" s="1">
        <v>91.2</v>
      </c>
      <c r="AK1206" s="1">
        <v>9.6</v>
      </c>
      <c r="AL1206" s="1" t="s">
        <v>21282</v>
      </c>
      <c r="AM1206" s="1" t="s">
        <v>307</v>
      </c>
      <c r="AN1206" s="1" t="s">
        <v>166</v>
      </c>
      <c r="AO1206" s="1" t="s">
        <v>308</v>
      </c>
      <c r="AP1206" s="1">
        <v>87.4</v>
      </c>
      <c r="AQ1206" s="1"/>
      <c r="AR1206" s="1"/>
      <c r="AS1206" s="1"/>
      <c r="AT1206" s="1"/>
      <c r="AU1206" s="1"/>
      <c r="AV1206" s="1"/>
      <c r="AW1206" s="1"/>
      <c r="AX1206" s="1" t="s">
        <v>1024</v>
      </c>
      <c r="AY1206" s="1" t="s">
        <v>21283</v>
      </c>
      <c r="AZ1206" s="1" t="s">
        <v>310</v>
      </c>
      <c r="BA1206" s="1" t="s">
        <v>702</v>
      </c>
      <c r="BB1206" s="1">
        <v>73.79</v>
      </c>
      <c r="BC1206" s="1">
        <v>8.35</v>
      </c>
      <c r="BD1206" s="1"/>
      <c r="BE1206" s="1"/>
      <c r="BF1206" s="1"/>
      <c r="BG1206" s="1"/>
      <c r="BH1206" s="1"/>
      <c r="BI1206" s="1"/>
      <c r="BJ1206" s="1" t="s">
        <v>21284</v>
      </c>
      <c r="BK1206" s="1" t="s">
        <v>21285</v>
      </c>
      <c r="BL1206" s="1" t="s">
        <v>639</v>
      </c>
      <c r="BM1206" s="1" t="s">
        <v>21286</v>
      </c>
      <c r="BN1206" s="1">
        <v>36</v>
      </c>
      <c r="BO1206" s="1" t="s">
        <v>21287</v>
      </c>
      <c r="BP1206" s="1" t="str">
        <f>HYPERLINK("https://nconnect.nicmar.ac.in/storage/profile/ProfilePhoto_P25701151_132857.jpg","Download")</f>
        <v>0</v>
      </c>
      <c r="BQ1206" s="3"/>
      <c r="BR1206" s="3"/>
    </row>
    <row r="1207" spans="1:70">
      <c r="A1207" s="1" t="s">
        <v>1563</v>
      </c>
      <c r="B1207" s="1" t="s">
        <v>1269</v>
      </c>
      <c r="C1207" s="1" t="s">
        <v>21288</v>
      </c>
      <c r="D1207" s="1" t="s">
        <v>8471</v>
      </c>
      <c r="E1207" s="1"/>
      <c r="F1207" s="1" t="s">
        <v>7321</v>
      </c>
      <c r="G1207" s="1" t="s">
        <v>21289</v>
      </c>
      <c r="H1207" s="1" t="s">
        <v>21290</v>
      </c>
      <c r="I1207" s="1" t="s">
        <v>21291</v>
      </c>
      <c r="J1207" s="1">
        <v>9773336261</v>
      </c>
      <c r="K1207" s="1" t="s">
        <v>79</v>
      </c>
      <c r="L1207" s="1" t="s">
        <v>1928</v>
      </c>
      <c r="M1207" s="1" t="s">
        <v>81</v>
      </c>
      <c r="N1207" s="1" t="s">
        <v>5040</v>
      </c>
      <c r="O1207" s="1"/>
      <c r="P1207" s="1" t="s">
        <v>1278</v>
      </c>
      <c r="Q1207" s="1" t="s">
        <v>21292</v>
      </c>
      <c r="R1207" s="1" t="s">
        <v>21293</v>
      </c>
      <c r="S1207" s="1">
        <v>9001992323</v>
      </c>
      <c r="T1207" s="1" t="s">
        <v>496</v>
      </c>
      <c r="U1207" s="1" t="s">
        <v>21294</v>
      </c>
      <c r="V1207" s="1">
        <v>7878100252</v>
      </c>
      <c r="W1207" s="1" t="s">
        <v>156</v>
      </c>
      <c r="X1207" s="1" t="s">
        <v>21295</v>
      </c>
      <c r="Y1207" s="1" t="s">
        <v>19219</v>
      </c>
      <c r="Z1207" s="1" t="s">
        <v>867</v>
      </c>
      <c r="AA1207" s="1" t="s">
        <v>21295</v>
      </c>
      <c r="AB1207" s="1" t="s">
        <v>19219</v>
      </c>
      <c r="AC1207" s="1" t="s">
        <v>867</v>
      </c>
      <c r="AD1207" s="1">
        <v>7.44</v>
      </c>
      <c r="AE1207" s="1" t="s">
        <v>93</v>
      </c>
      <c r="AF1207" s="1" t="s">
        <v>21296</v>
      </c>
      <c r="AG1207" s="1" t="s">
        <v>21297</v>
      </c>
      <c r="AH1207" s="1" t="s">
        <v>678</v>
      </c>
      <c r="AI1207" s="1" t="s">
        <v>281</v>
      </c>
      <c r="AJ1207" s="1">
        <v>82</v>
      </c>
      <c r="AK1207" s="1"/>
      <c r="AL1207" s="1" t="s">
        <v>21296</v>
      </c>
      <c r="AM1207" s="1" t="s">
        <v>21297</v>
      </c>
      <c r="AN1207" s="1" t="s">
        <v>1065</v>
      </c>
      <c r="AO1207" s="1" t="s">
        <v>941</v>
      </c>
      <c r="AP1207" s="1">
        <v>72</v>
      </c>
      <c r="AQ1207" s="1"/>
      <c r="AR1207" s="1"/>
      <c r="AS1207" s="1"/>
      <c r="AT1207" s="1"/>
      <c r="AU1207" s="1"/>
      <c r="AV1207" s="1"/>
      <c r="AW1207" s="1"/>
      <c r="AX1207" s="1" t="s">
        <v>10157</v>
      </c>
      <c r="AY1207" s="1" t="s">
        <v>21298</v>
      </c>
      <c r="AZ1207" s="1" t="s">
        <v>2461</v>
      </c>
      <c r="BA1207" s="1" t="s">
        <v>413</v>
      </c>
      <c r="BB1207" s="1">
        <v>66.48</v>
      </c>
      <c r="BC1207" s="1">
        <v>7.45</v>
      </c>
      <c r="BD1207" s="1"/>
      <c r="BE1207" s="1"/>
      <c r="BF1207" s="1"/>
      <c r="BG1207" s="1"/>
      <c r="BH1207" s="1"/>
      <c r="BI1207" s="1"/>
      <c r="BJ1207" s="1" t="s">
        <v>21299</v>
      </c>
      <c r="BK1207" s="1" t="s">
        <v>21300</v>
      </c>
      <c r="BL1207" s="1" t="s">
        <v>1475</v>
      </c>
      <c r="BM1207" s="1"/>
      <c r="BN1207" s="1"/>
      <c r="BO1207" s="1" t="s">
        <v>21301</v>
      </c>
      <c r="BP1207" s="1" t="str">
        <f>HYPERLINK("https://nconnect.nicmar.ac.in/storage/profile/ProfilePhoto_P25701152_148367.jpg","Download")</f>
        <v>0</v>
      </c>
      <c r="BQ1207" s="3"/>
      <c r="BR1207" s="3"/>
    </row>
    <row r="1208" spans="1:70">
      <c r="A1208" s="1" t="s">
        <v>1563</v>
      </c>
      <c r="B1208" s="1" t="s">
        <v>1269</v>
      </c>
      <c r="C1208" s="1" t="s">
        <v>21302</v>
      </c>
      <c r="D1208" s="1" t="s">
        <v>21303</v>
      </c>
      <c r="E1208" s="1" t="s">
        <v>21304</v>
      </c>
      <c r="F1208" s="1" t="s">
        <v>4016</v>
      </c>
      <c r="G1208" s="1" t="s">
        <v>21305</v>
      </c>
      <c r="H1208" s="1" t="s">
        <v>21306</v>
      </c>
      <c r="I1208" s="1" t="s">
        <v>21307</v>
      </c>
      <c r="J1208" s="1">
        <v>8669796805</v>
      </c>
      <c r="K1208" s="1" t="s">
        <v>79</v>
      </c>
      <c r="L1208" s="1" t="s">
        <v>21308</v>
      </c>
      <c r="M1208" s="1" t="s">
        <v>81</v>
      </c>
      <c r="N1208" s="1" t="s">
        <v>2008</v>
      </c>
      <c r="O1208" s="1" t="s">
        <v>21309</v>
      </c>
      <c r="P1208" s="1" t="s">
        <v>1298</v>
      </c>
      <c r="Q1208" s="1" t="s">
        <v>21310</v>
      </c>
      <c r="R1208" s="1" t="s">
        <v>21311</v>
      </c>
      <c r="S1208" s="1">
        <v>9637282922</v>
      </c>
      <c r="T1208" s="1" t="s">
        <v>1351</v>
      </c>
      <c r="U1208" s="1" t="s">
        <v>21312</v>
      </c>
      <c r="V1208" s="1">
        <v>7385223090</v>
      </c>
      <c r="W1208" s="1" t="s">
        <v>1351</v>
      </c>
      <c r="X1208" s="1" t="s">
        <v>21313</v>
      </c>
      <c r="Y1208" s="1" t="s">
        <v>158</v>
      </c>
      <c r="Z1208" s="1" t="s">
        <v>92</v>
      </c>
      <c r="AA1208" s="1" t="s">
        <v>21313</v>
      </c>
      <c r="AB1208" s="1" t="s">
        <v>158</v>
      </c>
      <c r="AC1208" s="1" t="s">
        <v>92</v>
      </c>
      <c r="AD1208" s="1">
        <v>7.52</v>
      </c>
      <c r="AE1208" s="1" t="s">
        <v>93</v>
      </c>
      <c r="AF1208" s="1" t="s">
        <v>21314</v>
      </c>
      <c r="AG1208" s="1" t="s">
        <v>160</v>
      </c>
      <c r="AH1208" s="1" t="s">
        <v>195</v>
      </c>
      <c r="AI1208" s="1" t="s">
        <v>281</v>
      </c>
      <c r="AJ1208" s="1">
        <v>84.6</v>
      </c>
      <c r="AK1208" s="1"/>
      <c r="AL1208" s="1" t="s">
        <v>21315</v>
      </c>
      <c r="AM1208" s="1" t="s">
        <v>160</v>
      </c>
      <c r="AN1208" s="1" t="s">
        <v>198</v>
      </c>
      <c r="AO1208" s="1" t="s">
        <v>360</v>
      </c>
      <c r="AP1208" s="1">
        <v>68</v>
      </c>
      <c r="AQ1208" s="1"/>
      <c r="AR1208" s="1"/>
      <c r="AS1208" s="1"/>
      <c r="AT1208" s="1"/>
      <c r="AU1208" s="1"/>
      <c r="AV1208" s="1"/>
      <c r="AW1208" s="1"/>
      <c r="AX1208" s="1" t="s">
        <v>102</v>
      </c>
      <c r="AY1208" s="1" t="s">
        <v>21316</v>
      </c>
      <c r="AZ1208" s="1" t="s">
        <v>363</v>
      </c>
      <c r="BA1208" s="1" t="s">
        <v>1938</v>
      </c>
      <c r="BB1208" s="1">
        <v>70.2</v>
      </c>
      <c r="BC1208" s="1">
        <v>7.52</v>
      </c>
      <c r="BD1208" s="1"/>
      <c r="BE1208" s="1"/>
      <c r="BF1208" s="1"/>
      <c r="BG1208" s="1"/>
      <c r="BH1208" s="1"/>
      <c r="BI1208" s="1"/>
      <c r="BJ1208" s="1" t="s">
        <v>21317</v>
      </c>
      <c r="BK1208" s="1"/>
      <c r="BL1208" s="1"/>
      <c r="BM1208" s="1" t="s">
        <v>21318</v>
      </c>
      <c r="BN1208" s="1">
        <v>61</v>
      </c>
      <c r="BO1208" s="1" t="s">
        <v>21319</v>
      </c>
      <c r="BP1208" s="1" t="str">
        <f>HYPERLINK("https://nconnect.nicmar.ac.in/storage/profile/ProfilePhoto_P25701103_576182.jpg","Download")</f>
        <v>0</v>
      </c>
      <c r="BQ1208" s="3"/>
      <c r="BR1208" s="3"/>
    </row>
    <row r="1209" spans="1:70">
      <c r="A1209" s="1" t="s">
        <v>1563</v>
      </c>
      <c r="B1209" s="1" t="s">
        <v>1269</v>
      </c>
      <c r="C1209" s="1" t="s">
        <v>21320</v>
      </c>
      <c r="D1209" s="1" t="s">
        <v>1740</v>
      </c>
      <c r="E1209" s="1"/>
      <c r="F1209" s="1" t="s">
        <v>7321</v>
      </c>
      <c r="G1209" s="1" t="s">
        <v>21321</v>
      </c>
      <c r="H1209" s="1" t="s">
        <v>21322</v>
      </c>
      <c r="I1209" s="1" t="s">
        <v>21323</v>
      </c>
      <c r="J1209" s="1">
        <v>6392907773</v>
      </c>
      <c r="K1209" s="1" t="s">
        <v>79</v>
      </c>
      <c r="L1209" s="1" t="s">
        <v>3673</v>
      </c>
      <c r="M1209" s="1" t="s">
        <v>81</v>
      </c>
      <c r="N1209" s="1" t="s">
        <v>241</v>
      </c>
      <c r="O1209" s="1" t="s">
        <v>21324</v>
      </c>
      <c r="P1209" s="1" t="s">
        <v>1278</v>
      </c>
      <c r="Q1209" s="1" t="s">
        <v>21325</v>
      </c>
      <c r="R1209" s="1" t="s">
        <v>21326</v>
      </c>
      <c r="S1209" s="1">
        <v>9450314853</v>
      </c>
      <c r="T1209" s="1" t="s">
        <v>122</v>
      </c>
      <c r="U1209" s="1" t="s">
        <v>21327</v>
      </c>
      <c r="V1209" s="1">
        <v>9219661019</v>
      </c>
      <c r="W1209" s="1" t="s">
        <v>156</v>
      </c>
      <c r="X1209" s="1" t="s">
        <v>21328</v>
      </c>
      <c r="Y1209" s="1" t="s">
        <v>17908</v>
      </c>
      <c r="Z1209" s="1" t="s">
        <v>1355</v>
      </c>
      <c r="AA1209" s="1" t="s">
        <v>21329</v>
      </c>
      <c r="AB1209" s="1" t="s">
        <v>21330</v>
      </c>
      <c r="AC1209" s="1" t="s">
        <v>1355</v>
      </c>
      <c r="AD1209" s="1">
        <v>8.89</v>
      </c>
      <c r="AE1209" s="1" t="s">
        <v>93</v>
      </c>
      <c r="AF1209" s="1" t="s">
        <v>21331</v>
      </c>
      <c r="AG1209" s="1" t="s">
        <v>21332</v>
      </c>
      <c r="AH1209" s="1" t="s">
        <v>479</v>
      </c>
      <c r="AI1209" s="1" t="s">
        <v>166</v>
      </c>
      <c r="AJ1209" s="1">
        <v>63.2</v>
      </c>
      <c r="AK1209" s="1"/>
      <c r="AL1209" s="1" t="s">
        <v>21333</v>
      </c>
      <c r="AM1209" s="1" t="s">
        <v>21334</v>
      </c>
      <c r="AN1209" s="1" t="s">
        <v>173</v>
      </c>
      <c r="AO1209" s="1" t="s">
        <v>506</v>
      </c>
      <c r="AP1209" s="1">
        <v>86.54</v>
      </c>
      <c r="AQ1209" s="1"/>
      <c r="AR1209" s="1"/>
      <c r="AS1209" s="1"/>
      <c r="AT1209" s="1"/>
      <c r="AU1209" s="1"/>
      <c r="AV1209" s="1"/>
      <c r="AW1209" s="1"/>
      <c r="AX1209" s="1" t="s">
        <v>21335</v>
      </c>
      <c r="AY1209" s="1" t="s">
        <v>21336</v>
      </c>
      <c r="AZ1209" s="1" t="s">
        <v>506</v>
      </c>
      <c r="BA1209" s="1" t="s">
        <v>1714</v>
      </c>
      <c r="BB1209" s="1">
        <v>80.3</v>
      </c>
      <c r="BC1209" s="1">
        <v>8.03</v>
      </c>
      <c r="BD1209" s="1"/>
      <c r="BE1209" s="1"/>
      <c r="BF1209" s="1"/>
      <c r="BG1209" s="1"/>
      <c r="BH1209" s="1"/>
      <c r="BI1209" s="1"/>
      <c r="BJ1209" s="1" t="s">
        <v>21337</v>
      </c>
      <c r="BK1209" s="1"/>
      <c r="BL1209" s="1"/>
      <c r="BM1209" s="1" t="s">
        <v>21338</v>
      </c>
      <c r="BN1209" s="1">
        <v>15</v>
      </c>
      <c r="BO1209" s="1" t="s">
        <v>21339</v>
      </c>
      <c r="BP1209" s="1" t="str">
        <f>HYPERLINK("https://nconnect.nicmar.ac.in/storage/profile/ProfilePhoto_P25701104_261935.jpg","Download")</f>
        <v>0</v>
      </c>
      <c r="BQ1209" s="3"/>
      <c r="BR1209" s="3"/>
    </row>
    <row r="1210" spans="1:70">
      <c r="A1210" s="1" t="s">
        <v>967</v>
      </c>
      <c r="B1210" s="1" t="s">
        <v>1269</v>
      </c>
      <c r="C1210" s="1" t="s">
        <v>21340</v>
      </c>
      <c r="D1210" s="1" t="s">
        <v>21341</v>
      </c>
      <c r="E1210" s="1" t="s">
        <v>3224</v>
      </c>
      <c r="F1210" s="1" t="s">
        <v>15362</v>
      </c>
      <c r="G1210" s="1" t="s">
        <v>21342</v>
      </c>
      <c r="H1210" s="1" t="s">
        <v>21343</v>
      </c>
      <c r="I1210" s="1" t="s">
        <v>21344</v>
      </c>
      <c r="J1210" s="1">
        <v>9049214719</v>
      </c>
      <c r="K1210" s="1" t="s">
        <v>79</v>
      </c>
      <c r="L1210" s="1" t="s">
        <v>21345</v>
      </c>
      <c r="M1210" s="1" t="s">
        <v>81</v>
      </c>
      <c r="N1210" s="1" t="s">
        <v>1418</v>
      </c>
      <c r="O1210" s="1"/>
      <c r="P1210" s="1" t="s">
        <v>1462</v>
      </c>
      <c r="Q1210" s="1" t="s">
        <v>21346</v>
      </c>
      <c r="R1210" s="1" t="s">
        <v>3224</v>
      </c>
      <c r="S1210" s="1">
        <v>9420161893</v>
      </c>
      <c r="T1210" s="1" t="s">
        <v>21347</v>
      </c>
      <c r="U1210" s="1" t="s">
        <v>7488</v>
      </c>
      <c r="V1210" s="1">
        <v>8390011964</v>
      </c>
      <c r="W1210" s="1" t="s">
        <v>89</v>
      </c>
      <c r="X1210" s="1" t="s">
        <v>21348</v>
      </c>
      <c r="Y1210" s="1" t="s">
        <v>499</v>
      </c>
      <c r="Z1210" s="1" t="s">
        <v>500</v>
      </c>
      <c r="AA1210" s="1" t="s">
        <v>21348</v>
      </c>
      <c r="AB1210" s="1" t="s">
        <v>499</v>
      </c>
      <c r="AC1210" s="1" t="s">
        <v>500</v>
      </c>
      <c r="AD1210" s="1" t="s">
        <v>93</v>
      </c>
      <c r="AE1210" s="1" t="s">
        <v>93</v>
      </c>
      <c r="AF1210" s="1" t="s">
        <v>21349</v>
      </c>
      <c r="AG1210" s="1" t="s">
        <v>20024</v>
      </c>
      <c r="AH1210" s="1" t="s">
        <v>1240</v>
      </c>
      <c r="AI1210" s="1" t="s">
        <v>527</v>
      </c>
      <c r="AJ1210" s="1">
        <v>83</v>
      </c>
      <c r="AK1210" s="1"/>
      <c r="AL1210" s="1" t="s">
        <v>21350</v>
      </c>
      <c r="AM1210" s="1" t="s">
        <v>20024</v>
      </c>
      <c r="AN1210" s="1" t="s">
        <v>162</v>
      </c>
      <c r="AO1210" s="1" t="s">
        <v>166</v>
      </c>
      <c r="AP1210" s="1">
        <v>56.5</v>
      </c>
      <c r="AQ1210" s="1"/>
      <c r="AR1210" s="1"/>
      <c r="AS1210" s="1"/>
      <c r="AT1210" s="1"/>
      <c r="AU1210" s="1"/>
      <c r="AV1210" s="1"/>
      <c r="AW1210" s="1"/>
      <c r="AX1210" s="1" t="s">
        <v>11784</v>
      </c>
      <c r="AY1210" s="1" t="s">
        <v>7243</v>
      </c>
      <c r="AZ1210" s="1" t="s">
        <v>169</v>
      </c>
      <c r="BA1210" s="1" t="s">
        <v>874</v>
      </c>
      <c r="BB1210" s="1">
        <v>64</v>
      </c>
      <c r="BC1210" s="1"/>
      <c r="BD1210" s="1"/>
      <c r="BE1210" s="1"/>
      <c r="BF1210" s="1"/>
      <c r="BG1210" s="1"/>
      <c r="BH1210" s="1"/>
      <c r="BI1210" s="1"/>
      <c r="BJ1210" s="1" t="s">
        <v>21351</v>
      </c>
      <c r="BK1210" s="1" t="s">
        <v>21352</v>
      </c>
      <c r="BL1210" s="1" t="s">
        <v>2382</v>
      </c>
      <c r="BM1210" s="1" t="s">
        <v>21353</v>
      </c>
      <c r="BN1210" s="1">
        <v>16</v>
      </c>
      <c r="BO1210" s="1" t="s">
        <v>21354</v>
      </c>
      <c r="BP1210" s="1" t="str">
        <f>HYPERLINK("https://nconnect.nicmar.ac.in/storage/profile/ProfilePhoto_P25704001_327986.jpg","Download")</f>
        <v>0</v>
      </c>
      <c r="BQ1210" s="3"/>
      <c r="BR1210" s="3"/>
    </row>
    <row r="1211" spans="1:70">
      <c r="A1211" s="1" t="s">
        <v>967</v>
      </c>
      <c r="B1211" s="1" t="s">
        <v>1269</v>
      </c>
      <c r="C1211" s="1" t="s">
        <v>21355</v>
      </c>
      <c r="D1211" s="1" t="s">
        <v>8456</v>
      </c>
      <c r="E1211" s="1" t="s">
        <v>21356</v>
      </c>
      <c r="F1211" s="1" t="s">
        <v>21357</v>
      </c>
      <c r="G1211" s="1" t="s">
        <v>21358</v>
      </c>
      <c r="H1211" s="1" t="s">
        <v>21359</v>
      </c>
      <c r="I1211" s="1" t="s">
        <v>21360</v>
      </c>
      <c r="J1211" s="1">
        <v>9606625731</v>
      </c>
      <c r="K1211" s="1" t="s">
        <v>79</v>
      </c>
      <c r="L1211" s="1" t="s">
        <v>12224</v>
      </c>
      <c r="M1211" s="1" t="s">
        <v>81</v>
      </c>
      <c r="N1211" s="1" t="s">
        <v>21361</v>
      </c>
      <c r="O1211" s="1"/>
      <c r="P1211" s="1" t="s">
        <v>1298</v>
      </c>
      <c r="Q1211" s="1" t="s">
        <v>21362</v>
      </c>
      <c r="R1211" s="1" t="s">
        <v>21356</v>
      </c>
      <c r="S1211" s="1">
        <v>9945732643</v>
      </c>
      <c r="T1211" s="1" t="s">
        <v>21363</v>
      </c>
      <c r="U1211" s="1" t="s">
        <v>21364</v>
      </c>
      <c r="V1211" s="1">
        <v>9902479826</v>
      </c>
      <c r="W1211" s="1" t="s">
        <v>1301</v>
      </c>
      <c r="X1211" s="1" t="s">
        <v>21365</v>
      </c>
      <c r="Y1211" s="1" t="s">
        <v>4755</v>
      </c>
      <c r="Z1211" s="1" t="s">
        <v>1084</v>
      </c>
      <c r="AA1211" s="1" t="s">
        <v>21365</v>
      </c>
      <c r="AB1211" s="1" t="s">
        <v>4755</v>
      </c>
      <c r="AC1211" s="1" t="s">
        <v>1084</v>
      </c>
      <c r="AD1211" s="1" t="s">
        <v>93</v>
      </c>
      <c r="AE1211" s="1" t="s">
        <v>93</v>
      </c>
      <c r="AF1211" s="1" t="s">
        <v>21366</v>
      </c>
      <c r="AG1211" s="1" t="s">
        <v>21367</v>
      </c>
      <c r="AH1211" s="1" t="s">
        <v>1001</v>
      </c>
      <c r="AI1211" s="1" t="s">
        <v>479</v>
      </c>
      <c r="AJ1211" s="1">
        <v>86.4</v>
      </c>
      <c r="AK1211" s="1"/>
      <c r="AL1211" s="1" t="s">
        <v>21368</v>
      </c>
      <c r="AM1211" s="1" t="s">
        <v>21369</v>
      </c>
      <c r="AN1211" s="1" t="s">
        <v>21370</v>
      </c>
      <c r="AO1211" s="1" t="s">
        <v>409</v>
      </c>
      <c r="AP1211" s="1">
        <v>59.16</v>
      </c>
      <c r="AQ1211" s="1"/>
      <c r="AR1211" s="1"/>
      <c r="AS1211" s="1"/>
      <c r="AT1211" s="1"/>
      <c r="AU1211" s="1"/>
      <c r="AV1211" s="1"/>
      <c r="AW1211" s="1"/>
      <c r="AX1211" s="1" t="s">
        <v>4953</v>
      </c>
      <c r="AY1211" s="1" t="s">
        <v>21371</v>
      </c>
      <c r="AZ1211" s="1" t="s">
        <v>13575</v>
      </c>
      <c r="BA1211" s="1" t="s">
        <v>229</v>
      </c>
      <c r="BB1211" s="1">
        <v>61.2</v>
      </c>
      <c r="BC1211" s="1"/>
      <c r="BD1211" s="1"/>
      <c r="BE1211" s="1"/>
      <c r="BF1211" s="1"/>
      <c r="BG1211" s="1"/>
      <c r="BH1211" s="1"/>
      <c r="BI1211" s="1"/>
      <c r="BJ1211" s="1" t="s">
        <v>7133</v>
      </c>
      <c r="BK1211" s="1"/>
      <c r="BL1211" s="1"/>
      <c r="BM1211" s="1" t="s">
        <v>21372</v>
      </c>
      <c r="BN1211" s="1">
        <v>8</v>
      </c>
      <c r="BO1211" s="1"/>
      <c r="BP1211" s="1" t="str">
        <f>HYPERLINK("https://nconnect.nicmar.ac.in/storage/profile/ProfilePhoto_P25704004_981675.jpg","Download")</f>
        <v>0</v>
      </c>
      <c r="BQ1211" s="3"/>
      <c r="BR1211" s="3"/>
    </row>
    <row r="1212" spans="1:70">
      <c r="A1212" s="1" t="s">
        <v>967</v>
      </c>
      <c r="B1212" s="1" t="s">
        <v>1269</v>
      </c>
      <c r="C1212" s="1" t="s">
        <v>21373</v>
      </c>
      <c r="D1212" s="1" t="s">
        <v>7555</v>
      </c>
      <c r="E1212" s="1" t="s">
        <v>21374</v>
      </c>
      <c r="F1212" s="1" t="s">
        <v>21375</v>
      </c>
      <c r="G1212" s="1" t="s">
        <v>21376</v>
      </c>
      <c r="H1212" s="1" t="s">
        <v>21377</v>
      </c>
      <c r="I1212" s="1" t="s">
        <v>21378</v>
      </c>
      <c r="J1212" s="1">
        <v>9112166624</v>
      </c>
      <c r="K1212" s="1" t="s">
        <v>79</v>
      </c>
      <c r="L1212" s="1" t="s">
        <v>21379</v>
      </c>
      <c r="M1212" s="1" t="s">
        <v>81</v>
      </c>
      <c r="N1212" s="1" t="s">
        <v>2008</v>
      </c>
      <c r="O1212" s="1"/>
      <c r="P1212" s="1" t="s">
        <v>1298</v>
      </c>
      <c r="Q1212" s="1" t="s">
        <v>21380</v>
      </c>
      <c r="R1212" s="1" t="s">
        <v>21374</v>
      </c>
      <c r="S1212" s="1">
        <v>9527853953</v>
      </c>
      <c r="T1212" s="1" t="s">
        <v>216</v>
      </c>
      <c r="U1212" s="1" t="s">
        <v>21381</v>
      </c>
      <c r="V1212" s="1">
        <v>9527853953</v>
      </c>
      <c r="W1212" s="1" t="s">
        <v>156</v>
      </c>
      <c r="X1212" s="1" t="s">
        <v>21382</v>
      </c>
      <c r="Y1212" s="1" t="s">
        <v>91</v>
      </c>
      <c r="Z1212" s="1" t="s">
        <v>92</v>
      </c>
      <c r="AA1212" s="1" t="s">
        <v>21382</v>
      </c>
      <c r="AB1212" s="1" t="s">
        <v>91</v>
      </c>
      <c r="AC1212" s="1" t="s">
        <v>92</v>
      </c>
      <c r="AD1212" s="1" t="s">
        <v>93</v>
      </c>
      <c r="AE1212" s="1" t="s">
        <v>93</v>
      </c>
      <c r="AF1212" s="1" t="s">
        <v>10307</v>
      </c>
      <c r="AG1212" s="1" t="s">
        <v>5086</v>
      </c>
      <c r="AH1212" s="1" t="s">
        <v>161</v>
      </c>
      <c r="AI1212" s="1" t="s">
        <v>162</v>
      </c>
      <c r="AJ1212" s="1">
        <v>83.6</v>
      </c>
      <c r="AK1212" s="1"/>
      <c r="AL1212" s="1" t="s">
        <v>21383</v>
      </c>
      <c r="AM1212" s="1" t="s">
        <v>5086</v>
      </c>
      <c r="AN1212" s="1" t="s">
        <v>195</v>
      </c>
      <c r="AO1212" s="1" t="s">
        <v>166</v>
      </c>
      <c r="AP1212" s="1">
        <v>58.62</v>
      </c>
      <c r="AQ1212" s="1"/>
      <c r="AR1212" s="1"/>
      <c r="AS1212" s="1"/>
      <c r="AT1212" s="1"/>
      <c r="AU1212" s="1"/>
      <c r="AV1212" s="1"/>
      <c r="AW1212" s="1"/>
      <c r="AX1212" s="1" t="s">
        <v>21384</v>
      </c>
      <c r="AY1212" s="1" t="s">
        <v>19010</v>
      </c>
      <c r="AZ1212" s="1" t="s">
        <v>636</v>
      </c>
      <c r="BA1212" s="1" t="s">
        <v>105</v>
      </c>
      <c r="BB1212" s="1">
        <v>75.5</v>
      </c>
      <c r="BC1212" s="1">
        <v>8.05</v>
      </c>
      <c r="BD1212" s="1"/>
      <c r="BE1212" s="1"/>
      <c r="BF1212" s="1"/>
      <c r="BG1212" s="1"/>
      <c r="BH1212" s="1"/>
      <c r="BI1212" s="1"/>
      <c r="BJ1212" s="1" t="s">
        <v>1715</v>
      </c>
      <c r="BK1212" s="1"/>
      <c r="BL1212" s="1"/>
      <c r="BM1212" s="1" t="s">
        <v>21385</v>
      </c>
      <c r="BN1212" s="1">
        <v>105</v>
      </c>
      <c r="BO1212" s="1"/>
      <c r="BP1212" s="1" t="str">
        <f>HYPERLINK("https://nconnect.nicmar.ac.in/storage/profile/ProfilePhoto_P25704005_592674.jpg","Download")</f>
        <v>0</v>
      </c>
      <c r="BQ1212" s="3"/>
      <c r="BR1212" s="3"/>
    </row>
    <row r="1213" spans="1:70">
      <c r="A1213" s="1" t="s">
        <v>967</v>
      </c>
      <c r="B1213" s="1" t="s">
        <v>1269</v>
      </c>
      <c r="C1213" s="1" t="s">
        <v>21386</v>
      </c>
      <c r="D1213" s="1" t="s">
        <v>21387</v>
      </c>
      <c r="E1213" s="1" t="s">
        <v>12704</v>
      </c>
      <c r="F1213" s="1" t="s">
        <v>21388</v>
      </c>
      <c r="G1213" s="1" t="s">
        <v>21389</v>
      </c>
      <c r="H1213" s="1" t="s">
        <v>21390</v>
      </c>
      <c r="I1213" s="1" t="s">
        <v>21391</v>
      </c>
      <c r="J1213" s="1">
        <v>9352189157</v>
      </c>
      <c r="K1213" s="1" t="s">
        <v>148</v>
      </c>
      <c r="L1213" s="1" t="s">
        <v>2154</v>
      </c>
      <c r="M1213" s="1" t="s">
        <v>81</v>
      </c>
      <c r="N1213" s="1" t="s">
        <v>860</v>
      </c>
      <c r="O1213" s="1"/>
      <c r="P1213" s="1" t="s">
        <v>1766</v>
      </c>
      <c r="Q1213" s="1" t="s">
        <v>21392</v>
      </c>
      <c r="R1213" s="1" t="s">
        <v>21388</v>
      </c>
      <c r="S1213" s="1">
        <v>9922920835</v>
      </c>
      <c r="T1213" s="1" t="s">
        <v>120</v>
      </c>
      <c r="U1213" s="1" t="s">
        <v>13797</v>
      </c>
      <c r="V1213" s="1">
        <v>9022059275</v>
      </c>
      <c r="W1213" s="1" t="s">
        <v>89</v>
      </c>
      <c r="X1213" s="1" t="s">
        <v>21393</v>
      </c>
      <c r="Y1213" s="1" t="s">
        <v>523</v>
      </c>
      <c r="Z1213" s="1" t="s">
        <v>92</v>
      </c>
      <c r="AA1213" s="1" t="s">
        <v>21393</v>
      </c>
      <c r="AB1213" s="1" t="s">
        <v>523</v>
      </c>
      <c r="AC1213" s="1" t="s">
        <v>92</v>
      </c>
      <c r="AD1213" s="1" t="s">
        <v>93</v>
      </c>
      <c r="AE1213" s="1" t="s">
        <v>93</v>
      </c>
      <c r="AF1213" s="1" t="s">
        <v>21394</v>
      </c>
      <c r="AG1213" s="1" t="s">
        <v>21395</v>
      </c>
      <c r="AH1213" s="1" t="s">
        <v>657</v>
      </c>
      <c r="AI1213" s="1" t="s">
        <v>195</v>
      </c>
      <c r="AJ1213" s="1">
        <v>83.4</v>
      </c>
      <c r="AK1213" s="1"/>
      <c r="AL1213" s="1" t="s">
        <v>21396</v>
      </c>
      <c r="AM1213" s="1" t="s">
        <v>21395</v>
      </c>
      <c r="AN1213" s="1" t="s">
        <v>457</v>
      </c>
      <c r="AO1213" s="1" t="s">
        <v>198</v>
      </c>
      <c r="AP1213" s="1">
        <v>62.77</v>
      </c>
      <c r="AQ1213" s="1"/>
      <c r="AR1213" s="1"/>
      <c r="AS1213" s="1"/>
      <c r="AT1213" s="1"/>
      <c r="AU1213" s="1"/>
      <c r="AV1213" s="1"/>
      <c r="AW1213" s="1"/>
      <c r="AX1213" s="1" t="s">
        <v>21397</v>
      </c>
      <c r="AY1213" s="1" t="s">
        <v>21398</v>
      </c>
      <c r="AZ1213" s="1" t="s">
        <v>360</v>
      </c>
      <c r="BA1213" s="1" t="s">
        <v>1714</v>
      </c>
      <c r="BB1213" s="1">
        <v>60.16</v>
      </c>
      <c r="BC1213" s="1">
        <v>6.76</v>
      </c>
      <c r="BD1213" s="1"/>
      <c r="BE1213" s="1"/>
      <c r="BF1213" s="1"/>
      <c r="BG1213" s="1"/>
      <c r="BH1213" s="1"/>
      <c r="BI1213" s="1"/>
      <c r="BJ1213" s="1" t="s">
        <v>21399</v>
      </c>
      <c r="BK1213" s="1"/>
      <c r="BL1213" s="1"/>
      <c r="BM1213" s="1" t="s">
        <v>21400</v>
      </c>
      <c r="BN1213" s="1">
        <v>23</v>
      </c>
      <c r="BO1213" s="1"/>
      <c r="BP1213" s="1" t="str">
        <f>HYPERLINK("https://nconnect.nicmar.ac.in/storage/profile/ProfilePhoto_P25704006_537618.jpg","Download")</f>
        <v>0</v>
      </c>
      <c r="BQ1213" s="3"/>
      <c r="BR1213" s="3"/>
    </row>
    <row r="1214" spans="1:70">
      <c r="A1214" s="1" t="s">
        <v>967</v>
      </c>
      <c r="B1214" s="1" t="s">
        <v>1269</v>
      </c>
      <c r="C1214" s="1" t="s">
        <v>21401</v>
      </c>
      <c r="D1214" s="1" t="s">
        <v>14048</v>
      </c>
      <c r="E1214" s="1" t="s">
        <v>13598</v>
      </c>
      <c r="F1214" s="1" t="s">
        <v>21402</v>
      </c>
      <c r="G1214" s="1" t="s">
        <v>21403</v>
      </c>
      <c r="H1214" s="1" t="s">
        <v>21404</v>
      </c>
      <c r="I1214" s="1" t="s">
        <v>21405</v>
      </c>
      <c r="J1214" s="1">
        <v>9834120809</v>
      </c>
      <c r="K1214" s="1" t="s">
        <v>148</v>
      </c>
      <c r="L1214" s="1" t="s">
        <v>18358</v>
      </c>
      <c r="M1214" s="1" t="s">
        <v>81</v>
      </c>
      <c r="N1214" s="1" t="s">
        <v>11039</v>
      </c>
      <c r="O1214" s="1"/>
      <c r="P1214" s="1" t="s">
        <v>1462</v>
      </c>
      <c r="Q1214" s="1" t="s">
        <v>21406</v>
      </c>
      <c r="R1214" s="1" t="s">
        <v>21407</v>
      </c>
      <c r="S1214" s="1">
        <v>8975639999</v>
      </c>
      <c r="T1214" s="1" t="s">
        <v>564</v>
      </c>
      <c r="U1214" s="1" t="s">
        <v>21408</v>
      </c>
      <c r="V1214" s="1">
        <v>9403119990</v>
      </c>
      <c r="W1214" s="1" t="s">
        <v>89</v>
      </c>
      <c r="X1214" s="1" t="s">
        <v>21409</v>
      </c>
      <c r="Y1214" s="1" t="s">
        <v>405</v>
      </c>
      <c r="Z1214" s="1" t="s">
        <v>92</v>
      </c>
      <c r="AA1214" s="1" t="s">
        <v>21409</v>
      </c>
      <c r="AB1214" s="1" t="s">
        <v>405</v>
      </c>
      <c r="AC1214" s="1" t="s">
        <v>92</v>
      </c>
      <c r="AD1214" s="1" t="s">
        <v>93</v>
      </c>
      <c r="AE1214" s="1" t="s">
        <v>93</v>
      </c>
      <c r="AF1214" s="1" t="s">
        <v>21410</v>
      </c>
      <c r="AG1214" s="1" t="s">
        <v>160</v>
      </c>
      <c r="AH1214" s="1" t="s">
        <v>195</v>
      </c>
      <c r="AI1214" s="1" t="s">
        <v>281</v>
      </c>
      <c r="AJ1214" s="1">
        <v>86.4</v>
      </c>
      <c r="AK1214" s="1"/>
      <c r="AL1214" s="1" t="s">
        <v>21411</v>
      </c>
      <c r="AM1214" s="1" t="s">
        <v>160</v>
      </c>
      <c r="AN1214" s="1" t="s">
        <v>198</v>
      </c>
      <c r="AO1214" s="1" t="s">
        <v>360</v>
      </c>
      <c r="AP1214" s="1">
        <v>73.23</v>
      </c>
      <c r="AQ1214" s="1"/>
      <c r="AR1214" s="1"/>
      <c r="AS1214" s="1"/>
      <c r="AT1214" s="1"/>
      <c r="AU1214" s="1"/>
      <c r="AV1214" s="1"/>
      <c r="AW1214" s="1"/>
      <c r="AX1214" s="1" t="s">
        <v>361</v>
      </c>
      <c r="AY1214" s="1" t="s">
        <v>15564</v>
      </c>
      <c r="AZ1214" s="1" t="s">
        <v>363</v>
      </c>
      <c r="BA1214" s="1" t="s">
        <v>1408</v>
      </c>
      <c r="BB1214" s="1">
        <v>71.8</v>
      </c>
      <c r="BC1214" s="1">
        <v>7.93</v>
      </c>
      <c r="BD1214" s="1"/>
      <c r="BE1214" s="1"/>
      <c r="BF1214" s="1"/>
      <c r="BG1214" s="1"/>
      <c r="BH1214" s="1"/>
      <c r="BI1214" s="1"/>
      <c r="BJ1214" s="1" t="s">
        <v>21412</v>
      </c>
      <c r="BK1214" s="1"/>
      <c r="BL1214" s="1"/>
      <c r="BM1214" s="1" t="s">
        <v>21413</v>
      </c>
      <c r="BN1214" s="1">
        <v>17</v>
      </c>
      <c r="BO1214" s="1" t="s">
        <v>21414</v>
      </c>
      <c r="BP1214" s="1" t="str">
        <f>HYPERLINK("https://nconnect.nicmar.ac.in/storage/profile/ProfilePhoto_P25704007_382496.jpg","Download")</f>
        <v>0</v>
      </c>
      <c r="BQ1214" s="3"/>
      <c r="BR1214" s="3"/>
    </row>
    <row r="1215" spans="1:70">
      <c r="A1215" s="1" t="s">
        <v>967</v>
      </c>
      <c r="B1215" s="1" t="s">
        <v>1269</v>
      </c>
      <c r="C1215" s="1" t="s">
        <v>21415</v>
      </c>
      <c r="D1215" s="1" t="s">
        <v>1923</v>
      </c>
      <c r="E1215" s="1" t="s">
        <v>835</v>
      </c>
      <c r="F1215" s="1" t="s">
        <v>5886</v>
      </c>
      <c r="G1215" s="1" t="s">
        <v>21416</v>
      </c>
      <c r="H1215" s="1" t="s">
        <v>21417</v>
      </c>
      <c r="I1215" s="1" t="s">
        <v>21418</v>
      </c>
      <c r="J1215" s="1">
        <v>9009479090</v>
      </c>
      <c r="K1215" s="1" t="s">
        <v>79</v>
      </c>
      <c r="L1215" s="1" t="s">
        <v>21419</v>
      </c>
      <c r="M1215" s="1" t="s">
        <v>81</v>
      </c>
      <c r="N1215" s="1" t="s">
        <v>21420</v>
      </c>
      <c r="O1215" s="1"/>
      <c r="P1215" s="1" t="s">
        <v>1323</v>
      </c>
      <c r="Q1215" s="1" t="s">
        <v>21421</v>
      </c>
      <c r="R1215" s="1" t="s">
        <v>21422</v>
      </c>
      <c r="S1215" s="1">
        <v>9425185027</v>
      </c>
      <c r="T1215" s="1" t="s">
        <v>910</v>
      </c>
      <c r="U1215" s="1" t="s">
        <v>21423</v>
      </c>
      <c r="V1215" s="1">
        <v>9425184552</v>
      </c>
      <c r="W1215" s="1" t="s">
        <v>156</v>
      </c>
      <c r="X1215" s="1" t="s">
        <v>21424</v>
      </c>
      <c r="Y1215" s="1" t="s">
        <v>21425</v>
      </c>
      <c r="Z1215" s="1" t="s">
        <v>936</v>
      </c>
      <c r="AA1215" s="1" t="s">
        <v>21424</v>
      </c>
      <c r="AB1215" s="1" t="s">
        <v>21425</v>
      </c>
      <c r="AC1215" s="1" t="s">
        <v>936</v>
      </c>
      <c r="AD1215" s="1" t="s">
        <v>93</v>
      </c>
      <c r="AE1215" s="1" t="s">
        <v>93</v>
      </c>
      <c r="AF1215" s="1" t="s">
        <v>21426</v>
      </c>
      <c r="AG1215" s="1" t="s">
        <v>21427</v>
      </c>
      <c r="AH1215" s="1" t="s">
        <v>456</v>
      </c>
      <c r="AI1215" s="1" t="s">
        <v>195</v>
      </c>
      <c r="AJ1215" s="1">
        <v>70.3</v>
      </c>
      <c r="AK1215" s="1">
        <v>7.4</v>
      </c>
      <c r="AL1215" s="1" t="s">
        <v>21428</v>
      </c>
      <c r="AM1215" s="1" t="s">
        <v>21429</v>
      </c>
      <c r="AN1215" s="1" t="s">
        <v>433</v>
      </c>
      <c r="AO1215" s="1" t="s">
        <v>173</v>
      </c>
      <c r="AP1215" s="1">
        <v>60.2</v>
      </c>
      <c r="AQ1215" s="1"/>
      <c r="AR1215" s="1"/>
      <c r="AS1215" s="1"/>
      <c r="AT1215" s="1"/>
      <c r="AU1215" s="1"/>
      <c r="AV1215" s="1"/>
      <c r="AW1215" s="1"/>
      <c r="AX1215" s="1" t="s">
        <v>13921</v>
      </c>
      <c r="AY1215" s="1" t="s">
        <v>21430</v>
      </c>
      <c r="AZ1215" s="1" t="s">
        <v>412</v>
      </c>
      <c r="BA1215" s="1" t="s">
        <v>702</v>
      </c>
      <c r="BB1215" s="1">
        <v>66.5</v>
      </c>
      <c r="BC1215" s="1">
        <v>7.15</v>
      </c>
      <c r="BD1215" s="1"/>
      <c r="BE1215" s="1"/>
      <c r="BF1215" s="1"/>
      <c r="BG1215" s="1"/>
      <c r="BH1215" s="1"/>
      <c r="BI1215" s="1"/>
      <c r="BJ1215" s="1" t="s">
        <v>255</v>
      </c>
      <c r="BK1215" s="1"/>
      <c r="BL1215" s="1"/>
      <c r="BM1215" s="1"/>
      <c r="BN1215" s="1"/>
      <c r="BO1215" s="1" t="s">
        <v>18838</v>
      </c>
      <c r="BP1215" s="1" t="str">
        <f>HYPERLINK("https://nconnect.nicmar.ac.in/storage/profile/ProfilePhoto_P25704008_732964.jpg","Download")</f>
        <v>0</v>
      </c>
      <c r="BQ1215" s="3"/>
      <c r="BR1215" s="3"/>
    </row>
    <row r="1216" spans="1:70">
      <c r="A1216" s="1" t="s">
        <v>967</v>
      </c>
      <c r="B1216" s="1" t="s">
        <v>1269</v>
      </c>
      <c r="C1216" s="1" t="s">
        <v>21431</v>
      </c>
      <c r="D1216" s="1" t="s">
        <v>970</v>
      </c>
      <c r="E1216" s="1" t="s">
        <v>20718</v>
      </c>
      <c r="F1216" s="1" t="s">
        <v>2024</v>
      </c>
      <c r="G1216" s="1" t="s">
        <v>21432</v>
      </c>
      <c r="H1216" s="1" t="s">
        <v>21433</v>
      </c>
      <c r="I1216" s="1" t="s">
        <v>21434</v>
      </c>
      <c r="J1216" s="1">
        <v>9011386465</v>
      </c>
      <c r="K1216" s="1" t="s">
        <v>148</v>
      </c>
      <c r="L1216" s="1" t="s">
        <v>21435</v>
      </c>
      <c r="M1216" s="1" t="s">
        <v>81</v>
      </c>
      <c r="N1216" s="1" t="s">
        <v>3075</v>
      </c>
      <c r="O1216" s="1" t="s">
        <v>21436</v>
      </c>
      <c r="P1216" s="1" t="s">
        <v>1278</v>
      </c>
      <c r="Q1216" s="1" t="s">
        <v>21437</v>
      </c>
      <c r="R1216" s="1" t="s">
        <v>21438</v>
      </c>
      <c r="S1216" s="1">
        <v>9423804388</v>
      </c>
      <c r="T1216" s="1" t="s">
        <v>1147</v>
      </c>
      <c r="U1216" s="1" t="s">
        <v>21439</v>
      </c>
      <c r="V1216" s="1">
        <v>9420674709</v>
      </c>
      <c r="W1216" s="1" t="s">
        <v>1147</v>
      </c>
      <c r="X1216" s="1" t="s">
        <v>21440</v>
      </c>
      <c r="Y1216" s="1" t="s">
        <v>5915</v>
      </c>
      <c r="Z1216" s="1" t="s">
        <v>92</v>
      </c>
      <c r="AA1216" s="1" t="s">
        <v>21441</v>
      </c>
      <c r="AB1216" s="1" t="s">
        <v>1886</v>
      </c>
      <c r="AC1216" s="1" t="s">
        <v>92</v>
      </c>
      <c r="AD1216" s="1" t="s">
        <v>93</v>
      </c>
      <c r="AE1216" s="1" t="s">
        <v>93</v>
      </c>
      <c r="AF1216" s="1" t="s">
        <v>21442</v>
      </c>
      <c r="AG1216" s="1" t="s">
        <v>5086</v>
      </c>
      <c r="AH1216" s="1" t="s">
        <v>162</v>
      </c>
      <c r="AI1216" s="1" t="s">
        <v>165</v>
      </c>
      <c r="AJ1216" s="1">
        <v>91.6</v>
      </c>
      <c r="AK1216" s="1"/>
      <c r="AL1216" s="1" t="s">
        <v>21443</v>
      </c>
      <c r="AM1216" s="1" t="s">
        <v>5086</v>
      </c>
      <c r="AN1216" s="1" t="s">
        <v>101</v>
      </c>
      <c r="AO1216" s="1" t="s">
        <v>433</v>
      </c>
      <c r="AP1216" s="1">
        <v>71.4</v>
      </c>
      <c r="AQ1216" s="1"/>
      <c r="AR1216" s="1"/>
      <c r="AS1216" s="1"/>
      <c r="AT1216" s="1"/>
      <c r="AU1216" s="1"/>
      <c r="AV1216" s="1"/>
      <c r="AW1216" s="1"/>
      <c r="AX1216" s="1" t="s">
        <v>20251</v>
      </c>
      <c r="AY1216" s="1" t="s">
        <v>21444</v>
      </c>
      <c r="AZ1216" s="1" t="s">
        <v>681</v>
      </c>
      <c r="BA1216" s="1" t="s">
        <v>1714</v>
      </c>
      <c r="BB1216" s="1">
        <v>74.1</v>
      </c>
      <c r="BC1216" s="1">
        <v>7.91</v>
      </c>
      <c r="BD1216" s="1"/>
      <c r="BE1216" s="1"/>
      <c r="BF1216" s="1"/>
      <c r="BG1216" s="1"/>
      <c r="BH1216" s="1"/>
      <c r="BI1216" s="1"/>
      <c r="BJ1216" s="1" t="s">
        <v>21445</v>
      </c>
      <c r="BK1216" s="1"/>
      <c r="BL1216" s="1"/>
      <c r="BM1216" s="1" t="s">
        <v>21446</v>
      </c>
      <c r="BN1216" s="1">
        <v>20</v>
      </c>
      <c r="BO1216" s="1"/>
      <c r="BP1216" s="1" t="str">
        <f>HYPERLINK("https://nconnect.nicmar.ac.in/storage/profile/ProfilePhoto_P25704010_926485.jpg","Download")</f>
        <v>0</v>
      </c>
      <c r="BQ1216" s="3"/>
      <c r="BR1216" s="3"/>
    </row>
    <row r="1217" spans="1:70">
      <c r="A1217" s="1" t="s">
        <v>967</v>
      </c>
      <c r="B1217" s="1" t="s">
        <v>1269</v>
      </c>
      <c r="C1217" s="1" t="s">
        <v>21447</v>
      </c>
      <c r="D1217" s="1" t="s">
        <v>533</v>
      </c>
      <c r="E1217" s="1" t="s">
        <v>4015</v>
      </c>
      <c r="F1217" s="1" t="s">
        <v>14849</v>
      </c>
      <c r="G1217" s="1" t="s">
        <v>21448</v>
      </c>
      <c r="H1217" s="1" t="s">
        <v>21449</v>
      </c>
      <c r="I1217" s="1" t="s">
        <v>21449</v>
      </c>
      <c r="J1217" s="1">
        <v>8459773617</v>
      </c>
      <c r="K1217" s="1" t="s">
        <v>79</v>
      </c>
      <c r="L1217" s="1" t="s">
        <v>6370</v>
      </c>
      <c r="M1217" s="1" t="s">
        <v>81</v>
      </c>
      <c r="N1217" s="1" t="s">
        <v>2029</v>
      </c>
      <c r="O1217" s="1" t="s">
        <v>21450</v>
      </c>
      <c r="P1217" s="1" t="s">
        <v>1323</v>
      </c>
      <c r="Q1217" s="1" t="s">
        <v>21451</v>
      </c>
      <c r="R1217" s="1" t="s">
        <v>21452</v>
      </c>
      <c r="S1217" s="1">
        <v>9226370919</v>
      </c>
      <c r="T1217" s="1" t="s">
        <v>763</v>
      </c>
      <c r="U1217" s="1" t="s">
        <v>21453</v>
      </c>
      <c r="V1217" s="1">
        <v>7499010319</v>
      </c>
      <c r="W1217" s="1" t="s">
        <v>156</v>
      </c>
      <c r="X1217" s="1" t="s">
        <v>21454</v>
      </c>
      <c r="Y1217" s="1" t="s">
        <v>5064</v>
      </c>
      <c r="Z1217" s="1" t="s">
        <v>92</v>
      </c>
      <c r="AA1217" s="1" t="s">
        <v>21454</v>
      </c>
      <c r="AB1217" s="1" t="s">
        <v>5064</v>
      </c>
      <c r="AC1217" s="1" t="s">
        <v>92</v>
      </c>
      <c r="AD1217" s="1" t="s">
        <v>93</v>
      </c>
      <c r="AE1217" s="1" t="s">
        <v>93</v>
      </c>
      <c r="AF1217" s="1" t="s">
        <v>18382</v>
      </c>
      <c r="AG1217" s="1" t="s">
        <v>21455</v>
      </c>
      <c r="AH1217" s="1" t="s">
        <v>383</v>
      </c>
      <c r="AI1217" s="1" t="s">
        <v>636</v>
      </c>
      <c r="AJ1217" s="1">
        <v>70.8</v>
      </c>
      <c r="AK1217" s="1"/>
      <c r="AL1217" s="1"/>
      <c r="AM1217" s="1"/>
      <c r="AN1217" s="1"/>
      <c r="AO1217" s="1"/>
      <c r="AP1217" s="1"/>
      <c r="AQ1217" s="1"/>
      <c r="AR1217" s="1" t="s">
        <v>98</v>
      </c>
      <c r="AS1217" s="1" t="s">
        <v>21456</v>
      </c>
      <c r="AT1217" s="1" t="s">
        <v>636</v>
      </c>
      <c r="AU1217" s="1" t="s">
        <v>436</v>
      </c>
      <c r="AV1217" s="1">
        <v>84.53</v>
      </c>
      <c r="AW1217" s="1"/>
      <c r="AX1217" s="1" t="s">
        <v>1024</v>
      </c>
      <c r="AY1217" s="1" t="s">
        <v>21457</v>
      </c>
      <c r="AZ1217" s="1" t="s">
        <v>897</v>
      </c>
      <c r="BA1217" s="1" t="s">
        <v>3158</v>
      </c>
      <c r="BB1217" s="1">
        <v>62.23</v>
      </c>
      <c r="BC1217" s="1"/>
      <c r="BD1217" s="1"/>
      <c r="BE1217" s="1"/>
      <c r="BF1217" s="1"/>
      <c r="BG1217" s="1"/>
      <c r="BH1217" s="1"/>
      <c r="BI1217" s="1"/>
      <c r="BJ1217" s="1" t="s">
        <v>1737</v>
      </c>
      <c r="BK1217" s="1"/>
      <c r="BL1217" s="1"/>
      <c r="BM1217" s="1" t="s">
        <v>21458</v>
      </c>
      <c r="BN1217" s="1">
        <v>8</v>
      </c>
      <c r="BO1217" s="1" t="s">
        <v>21459</v>
      </c>
      <c r="BP1217" s="1" t="str">
        <f>HYPERLINK("https://nconnect.nicmar.ac.in/storage/profile/ProfilePhoto_P25704011_741839.jpg","Download")</f>
        <v>0</v>
      </c>
      <c r="BQ1217" s="3"/>
      <c r="BR1217" s="3"/>
    </row>
    <row r="1218" spans="1:70">
      <c r="A1218" s="1" t="s">
        <v>967</v>
      </c>
      <c r="B1218" s="1" t="s">
        <v>1269</v>
      </c>
      <c r="C1218" s="1" t="s">
        <v>21460</v>
      </c>
      <c r="D1218" s="1" t="s">
        <v>21461</v>
      </c>
      <c r="E1218" s="1" t="s">
        <v>1139</v>
      </c>
      <c r="F1218" s="1" t="s">
        <v>236</v>
      </c>
      <c r="G1218" s="1" t="s">
        <v>21462</v>
      </c>
      <c r="H1218" s="1" t="s">
        <v>21463</v>
      </c>
      <c r="I1218" s="1" t="s">
        <v>21464</v>
      </c>
      <c r="J1218" s="1">
        <v>7058120047</v>
      </c>
      <c r="K1218" s="1" t="s">
        <v>148</v>
      </c>
      <c r="L1218" s="1" t="s">
        <v>1394</v>
      </c>
      <c r="M1218" s="1" t="s">
        <v>81</v>
      </c>
      <c r="N1218" s="1" t="s">
        <v>21465</v>
      </c>
      <c r="O1218" s="1"/>
      <c r="P1218" s="1" t="s">
        <v>1298</v>
      </c>
      <c r="Q1218" s="1" t="s">
        <v>21466</v>
      </c>
      <c r="R1218" s="1" t="s">
        <v>1139</v>
      </c>
      <c r="S1218" s="1">
        <v>9422020047</v>
      </c>
      <c r="T1218" s="1" t="s">
        <v>496</v>
      </c>
      <c r="U1218" s="1" t="s">
        <v>5765</v>
      </c>
      <c r="V1218" s="1">
        <v>9404030627</v>
      </c>
      <c r="W1218" s="1" t="s">
        <v>156</v>
      </c>
      <c r="X1218" s="1" t="s">
        <v>21467</v>
      </c>
      <c r="Y1218" s="1" t="s">
        <v>191</v>
      </c>
      <c r="Z1218" s="1" t="s">
        <v>92</v>
      </c>
      <c r="AA1218" s="1" t="s">
        <v>21467</v>
      </c>
      <c r="AB1218" s="1" t="s">
        <v>191</v>
      </c>
      <c r="AC1218" s="1" t="s">
        <v>92</v>
      </c>
      <c r="AD1218" s="1" t="s">
        <v>93</v>
      </c>
      <c r="AE1218" s="1" t="s">
        <v>93</v>
      </c>
      <c r="AF1218" s="1" t="s">
        <v>21468</v>
      </c>
      <c r="AG1218" s="1" t="s">
        <v>21469</v>
      </c>
      <c r="AH1218" s="1" t="s">
        <v>678</v>
      </c>
      <c r="AI1218" s="1" t="s">
        <v>1307</v>
      </c>
      <c r="AJ1218" s="1">
        <v>95.8</v>
      </c>
      <c r="AK1218" s="1"/>
      <c r="AL1218" s="1" t="s">
        <v>21470</v>
      </c>
      <c r="AM1218" s="1" t="s">
        <v>21470</v>
      </c>
      <c r="AN1218" s="1" t="s">
        <v>1065</v>
      </c>
      <c r="AO1218" s="1" t="s">
        <v>1833</v>
      </c>
      <c r="AP1218" s="1">
        <v>75.85</v>
      </c>
      <c r="AQ1218" s="1"/>
      <c r="AR1218" s="1"/>
      <c r="AS1218" s="1"/>
      <c r="AT1218" s="1"/>
      <c r="AU1218" s="1"/>
      <c r="AV1218" s="1"/>
      <c r="AW1218" s="1"/>
      <c r="AX1218" s="1" t="s">
        <v>14075</v>
      </c>
      <c r="AY1218" s="1" t="s">
        <v>21471</v>
      </c>
      <c r="AZ1218" s="1" t="s">
        <v>363</v>
      </c>
      <c r="BA1218" s="1" t="s">
        <v>1408</v>
      </c>
      <c r="BB1218" s="1">
        <v>65.9</v>
      </c>
      <c r="BC1218" s="1">
        <v>7.34</v>
      </c>
      <c r="BD1218" s="1"/>
      <c r="BE1218" s="1"/>
      <c r="BF1218" s="1"/>
      <c r="BG1218" s="1"/>
      <c r="BH1218" s="1"/>
      <c r="BI1218" s="1"/>
      <c r="BJ1218" s="1" t="s">
        <v>21472</v>
      </c>
      <c r="BK1218" s="1"/>
      <c r="BL1218" s="1"/>
      <c r="BM1218" s="1" t="s">
        <v>21473</v>
      </c>
      <c r="BN1218" s="1">
        <v>18</v>
      </c>
      <c r="BO1218" s="1"/>
      <c r="BP1218" s="1" t="str">
        <f>HYPERLINK("https://nconnect.nicmar.ac.in/storage/profile/ProfilePhoto_P25704012_517239.jpg","Download")</f>
        <v>0</v>
      </c>
      <c r="BQ1218" s="3"/>
      <c r="BR1218" s="3"/>
    </row>
    <row r="1219" spans="1:70">
      <c r="A1219" s="1" t="s">
        <v>967</v>
      </c>
      <c r="B1219" s="1" t="s">
        <v>1269</v>
      </c>
      <c r="C1219" s="1" t="s">
        <v>21474</v>
      </c>
      <c r="D1219" s="1" t="s">
        <v>13788</v>
      </c>
      <c r="E1219" s="1" t="s">
        <v>16883</v>
      </c>
      <c r="F1219" s="1" t="s">
        <v>12767</v>
      </c>
      <c r="G1219" s="1" t="s">
        <v>21475</v>
      </c>
      <c r="H1219" s="1" t="s">
        <v>21476</v>
      </c>
      <c r="I1219" s="1" t="s">
        <v>21477</v>
      </c>
      <c r="J1219" s="1">
        <v>8766998118</v>
      </c>
      <c r="K1219" s="1" t="s">
        <v>148</v>
      </c>
      <c r="L1219" s="1" t="s">
        <v>8795</v>
      </c>
      <c r="M1219" s="1" t="s">
        <v>81</v>
      </c>
      <c r="N1219" s="1" t="s">
        <v>6195</v>
      </c>
      <c r="O1219" s="1"/>
      <c r="P1219" s="1" t="s">
        <v>1323</v>
      </c>
      <c r="Q1219" s="1" t="s">
        <v>21478</v>
      </c>
      <c r="R1219" s="1" t="s">
        <v>16883</v>
      </c>
      <c r="S1219" s="1">
        <v>9421351542</v>
      </c>
      <c r="T1219" s="1" t="s">
        <v>842</v>
      </c>
      <c r="U1219" s="1" t="s">
        <v>21479</v>
      </c>
      <c r="V1219" s="1">
        <v>9403290326</v>
      </c>
      <c r="W1219" s="1" t="s">
        <v>156</v>
      </c>
      <c r="X1219" s="1" t="s">
        <v>21480</v>
      </c>
      <c r="Y1219" s="1" t="s">
        <v>91</v>
      </c>
      <c r="Z1219" s="1" t="s">
        <v>92</v>
      </c>
      <c r="AA1219" s="1" t="s">
        <v>21480</v>
      </c>
      <c r="AB1219" s="1" t="s">
        <v>91</v>
      </c>
      <c r="AC1219" s="1" t="s">
        <v>92</v>
      </c>
      <c r="AD1219" s="1" t="s">
        <v>93</v>
      </c>
      <c r="AE1219" s="1" t="s">
        <v>93</v>
      </c>
      <c r="AF1219" s="1" t="s">
        <v>20728</v>
      </c>
      <c r="AG1219" s="1" t="s">
        <v>160</v>
      </c>
      <c r="AH1219" s="1" t="s">
        <v>165</v>
      </c>
      <c r="AI1219" s="1" t="s">
        <v>281</v>
      </c>
      <c r="AJ1219" s="1">
        <v>89.4</v>
      </c>
      <c r="AK1219" s="1"/>
      <c r="AL1219" s="1" t="s">
        <v>21481</v>
      </c>
      <c r="AM1219" s="1" t="s">
        <v>160</v>
      </c>
      <c r="AN1219" s="1" t="s">
        <v>433</v>
      </c>
      <c r="AO1219" s="1" t="s">
        <v>360</v>
      </c>
      <c r="AP1219" s="1">
        <v>59.23</v>
      </c>
      <c r="AQ1219" s="1"/>
      <c r="AR1219" s="1"/>
      <c r="AS1219" s="1"/>
      <c r="AT1219" s="1"/>
      <c r="AU1219" s="1"/>
      <c r="AV1219" s="1"/>
      <c r="AW1219" s="1"/>
      <c r="AX1219" s="1" t="s">
        <v>20731</v>
      </c>
      <c r="AY1219" s="1" t="s">
        <v>21482</v>
      </c>
      <c r="AZ1219" s="1" t="s">
        <v>699</v>
      </c>
      <c r="BA1219" s="1" t="s">
        <v>1361</v>
      </c>
      <c r="BB1219" s="1">
        <v>72.5</v>
      </c>
      <c r="BC1219" s="1">
        <v>7.75</v>
      </c>
      <c r="BD1219" s="1"/>
      <c r="BE1219" s="1"/>
      <c r="BF1219" s="1"/>
      <c r="BG1219" s="1"/>
      <c r="BH1219" s="1"/>
      <c r="BI1219" s="1"/>
      <c r="BJ1219" s="1" t="s">
        <v>21483</v>
      </c>
      <c r="BK1219" s="1"/>
      <c r="BL1219" s="1"/>
      <c r="BM1219" s="1" t="s">
        <v>21484</v>
      </c>
      <c r="BN1219" s="1">
        <v>27</v>
      </c>
      <c r="BO1219" s="1" t="s">
        <v>1715</v>
      </c>
      <c r="BP1219" s="1" t="str">
        <f>HYPERLINK("https://nconnect.nicmar.ac.in/storage/profile/ProfilePhoto_P25704014_271968.jpg","Download")</f>
        <v>0</v>
      </c>
      <c r="BQ1219" s="3"/>
      <c r="BR1219" s="3"/>
    </row>
    <row r="1220" spans="1:70">
      <c r="A1220" s="1" t="s">
        <v>967</v>
      </c>
      <c r="B1220" s="1" t="s">
        <v>1269</v>
      </c>
      <c r="C1220" s="1" t="s">
        <v>21485</v>
      </c>
      <c r="D1220" s="1" t="s">
        <v>17230</v>
      </c>
      <c r="E1220" s="1" t="s">
        <v>21486</v>
      </c>
      <c r="F1220" s="1" t="s">
        <v>21487</v>
      </c>
      <c r="G1220" s="1" t="s">
        <v>21488</v>
      </c>
      <c r="H1220" s="1" t="s">
        <v>21489</v>
      </c>
      <c r="I1220" s="1" t="s">
        <v>21490</v>
      </c>
      <c r="J1220" s="1">
        <v>9767870910</v>
      </c>
      <c r="K1220" s="1" t="s">
        <v>79</v>
      </c>
      <c r="L1220" s="1" t="s">
        <v>10433</v>
      </c>
      <c r="M1220" s="1" t="s">
        <v>81</v>
      </c>
      <c r="N1220" s="1" t="s">
        <v>1418</v>
      </c>
      <c r="O1220" s="1"/>
      <c r="P1220" s="1" t="s">
        <v>1298</v>
      </c>
      <c r="Q1220" s="1" t="s">
        <v>21491</v>
      </c>
      <c r="R1220" s="1" t="s">
        <v>21486</v>
      </c>
      <c r="S1220" s="1">
        <v>9371528152</v>
      </c>
      <c r="T1220" s="1" t="s">
        <v>154</v>
      </c>
      <c r="U1220" s="1" t="s">
        <v>977</v>
      </c>
      <c r="V1220" s="1">
        <v>9922541564</v>
      </c>
      <c r="W1220" s="1" t="s">
        <v>156</v>
      </c>
      <c r="X1220" s="1" t="s">
        <v>21492</v>
      </c>
      <c r="Y1220" s="1" t="s">
        <v>1174</v>
      </c>
      <c r="Z1220" s="1" t="s">
        <v>92</v>
      </c>
      <c r="AA1220" s="1" t="s">
        <v>21492</v>
      </c>
      <c r="AB1220" s="1" t="s">
        <v>1174</v>
      </c>
      <c r="AC1220" s="1" t="s">
        <v>92</v>
      </c>
      <c r="AD1220" s="1" t="s">
        <v>93</v>
      </c>
      <c r="AE1220" s="1" t="s">
        <v>93</v>
      </c>
      <c r="AF1220" s="1" t="s">
        <v>21493</v>
      </c>
      <c r="AG1220" s="1" t="s">
        <v>4100</v>
      </c>
      <c r="AH1220" s="1" t="s">
        <v>678</v>
      </c>
      <c r="AI1220" s="1" t="s">
        <v>308</v>
      </c>
      <c r="AJ1220" s="1">
        <v>83.2</v>
      </c>
      <c r="AK1220" s="1"/>
      <c r="AL1220" s="1" t="s">
        <v>21494</v>
      </c>
      <c r="AM1220" s="1" t="s">
        <v>160</v>
      </c>
      <c r="AN1220" s="1" t="s">
        <v>310</v>
      </c>
      <c r="AO1220" s="1" t="s">
        <v>436</v>
      </c>
      <c r="AP1220" s="1">
        <v>88.5</v>
      </c>
      <c r="AQ1220" s="1"/>
      <c r="AR1220" s="1"/>
      <c r="AS1220" s="1"/>
      <c r="AT1220" s="1"/>
      <c r="AU1220" s="1"/>
      <c r="AV1220" s="1"/>
      <c r="AW1220" s="1"/>
      <c r="AX1220" s="1" t="s">
        <v>361</v>
      </c>
      <c r="AY1220" s="1" t="s">
        <v>21495</v>
      </c>
      <c r="AZ1220" s="1" t="s">
        <v>897</v>
      </c>
      <c r="BA1220" s="1" t="s">
        <v>1714</v>
      </c>
      <c r="BB1220" s="1">
        <v>59</v>
      </c>
      <c r="BC1220" s="1">
        <v>6.65</v>
      </c>
      <c r="BD1220" s="1"/>
      <c r="BE1220" s="1"/>
      <c r="BF1220" s="1"/>
      <c r="BG1220" s="1"/>
      <c r="BH1220" s="1"/>
      <c r="BI1220" s="1"/>
      <c r="BJ1220" s="1" t="s">
        <v>21496</v>
      </c>
      <c r="BK1220" s="1"/>
      <c r="BL1220" s="1"/>
      <c r="BM1220" s="1" t="s">
        <v>21497</v>
      </c>
      <c r="BN1220" s="1">
        <v>4</v>
      </c>
      <c r="BO1220" s="1"/>
      <c r="BP1220" s="1" t="str">
        <f>HYPERLINK("https://nconnect.nicmar.ac.in/storage/profile/ProfilePhoto_P25704015_271856.jpg","Download")</f>
        <v>0</v>
      </c>
      <c r="BQ1220" s="3"/>
      <c r="BR1220" s="3"/>
    </row>
    <row r="1221" spans="1:70">
      <c r="A1221" s="1" t="s">
        <v>967</v>
      </c>
      <c r="B1221" s="1" t="s">
        <v>1269</v>
      </c>
      <c r="C1221" s="1" t="s">
        <v>21498</v>
      </c>
      <c r="D1221" s="1" t="s">
        <v>970</v>
      </c>
      <c r="E1221" s="1" t="s">
        <v>756</v>
      </c>
      <c r="F1221" s="1" t="s">
        <v>21499</v>
      </c>
      <c r="G1221" s="1" t="s">
        <v>21500</v>
      </c>
      <c r="H1221" s="1" t="s">
        <v>21501</v>
      </c>
      <c r="I1221" s="1" t="s">
        <v>21502</v>
      </c>
      <c r="J1221" s="1">
        <v>7447591122</v>
      </c>
      <c r="K1221" s="1" t="s">
        <v>148</v>
      </c>
      <c r="L1221" s="1" t="s">
        <v>21503</v>
      </c>
      <c r="M1221" s="1" t="s">
        <v>81</v>
      </c>
      <c r="N1221" s="1" t="s">
        <v>1418</v>
      </c>
      <c r="O1221" s="1"/>
      <c r="P1221" s="1" t="s">
        <v>1278</v>
      </c>
      <c r="Q1221" s="1" t="s">
        <v>21504</v>
      </c>
      <c r="R1221" s="1" t="s">
        <v>21505</v>
      </c>
      <c r="S1221" s="1">
        <v>9850309305</v>
      </c>
      <c r="T1221" s="1" t="s">
        <v>8374</v>
      </c>
      <c r="U1221" s="1" t="s">
        <v>21506</v>
      </c>
      <c r="V1221" s="1">
        <v>9623359586</v>
      </c>
      <c r="W1221" s="1" t="s">
        <v>156</v>
      </c>
      <c r="X1221" s="1" t="s">
        <v>21507</v>
      </c>
      <c r="Y1221" s="1" t="s">
        <v>191</v>
      </c>
      <c r="Z1221" s="1" t="s">
        <v>92</v>
      </c>
      <c r="AA1221" s="1" t="s">
        <v>21508</v>
      </c>
      <c r="AB1221" s="1" t="s">
        <v>379</v>
      </c>
      <c r="AC1221" s="1" t="s">
        <v>92</v>
      </c>
      <c r="AD1221" s="1" t="s">
        <v>93</v>
      </c>
      <c r="AE1221" s="1" t="s">
        <v>93</v>
      </c>
      <c r="AF1221" s="1" t="s">
        <v>21509</v>
      </c>
      <c r="AG1221" s="1" t="s">
        <v>21510</v>
      </c>
      <c r="AH1221" s="1" t="s">
        <v>161</v>
      </c>
      <c r="AI1221" s="1" t="s">
        <v>456</v>
      </c>
      <c r="AJ1221" s="1">
        <v>89.8</v>
      </c>
      <c r="AK1221" s="1">
        <v>0</v>
      </c>
      <c r="AL1221" s="1" t="s">
        <v>21511</v>
      </c>
      <c r="AM1221" s="1" t="s">
        <v>21510</v>
      </c>
      <c r="AN1221" s="1" t="s">
        <v>162</v>
      </c>
      <c r="AO1221" s="1" t="s">
        <v>457</v>
      </c>
      <c r="AP1221" s="1">
        <v>74.77</v>
      </c>
      <c r="AQ1221" s="1">
        <v>0</v>
      </c>
      <c r="AR1221" s="1"/>
      <c r="AS1221" s="1"/>
      <c r="AT1221" s="1"/>
      <c r="AU1221" s="1"/>
      <c r="AV1221" s="1"/>
      <c r="AW1221" s="1"/>
      <c r="AX1221" s="1" t="s">
        <v>361</v>
      </c>
      <c r="AY1221" s="1" t="s">
        <v>21512</v>
      </c>
      <c r="AZ1221" s="1" t="s">
        <v>636</v>
      </c>
      <c r="BA1221" s="1" t="s">
        <v>174</v>
      </c>
      <c r="BB1221" s="1">
        <v>80.28</v>
      </c>
      <c r="BC1221" s="1">
        <v>9.01</v>
      </c>
      <c r="BD1221" s="1"/>
      <c r="BE1221" s="1"/>
      <c r="BF1221" s="1"/>
      <c r="BG1221" s="1"/>
      <c r="BH1221" s="1"/>
      <c r="BI1221" s="1"/>
      <c r="BJ1221" s="1" t="s">
        <v>21513</v>
      </c>
      <c r="BK1221" s="1" t="s">
        <v>21514</v>
      </c>
      <c r="BL1221" s="1" t="s">
        <v>1919</v>
      </c>
      <c r="BM1221" s="1" t="s">
        <v>21515</v>
      </c>
      <c r="BN1221" s="1">
        <v>35</v>
      </c>
      <c r="BO1221" s="1" t="s">
        <v>21516</v>
      </c>
      <c r="BP1221" s="1" t="str">
        <f>HYPERLINK("https://nconnect.nicmar.ac.in/storage/profile/ProfilePhoto_P25704016_615842.jpg","Download")</f>
        <v>0</v>
      </c>
      <c r="BQ1221" s="3"/>
      <c r="BR1221" s="3"/>
    </row>
    <row r="1222" spans="1:70">
      <c r="A1222" s="1" t="s">
        <v>967</v>
      </c>
      <c r="B1222" s="1" t="s">
        <v>1269</v>
      </c>
      <c r="C1222" s="1" t="s">
        <v>21517</v>
      </c>
      <c r="D1222" s="1" t="s">
        <v>7452</v>
      </c>
      <c r="E1222" s="1" t="s">
        <v>21518</v>
      </c>
      <c r="F1222" s="1" t="s">
        <v>21519</v>
      </c>
      <c r="G1222" s="1" t="s">
        <v>21520</v>
      </c>
      <c r="H1222" s="1" t="s">
        <v>21521</v>
      </c>
      <c r="I1222" s="1" t="s">
        <v>21522</v>
      </c>
      <c r="J1222" s="1">
        <v>6309077168</v>
      </c>
      <c r="K1222" s="1" t="s">
        <v>79</v>
      </c>
      <c r="L1222" s="1" t="s">
        <v>10706</v>
      </c>
      <c r="M1222" s="1" t="s">
        <v>81</v>
      </c>
      <c r="N1222" s="1" t="s">
        <v>21523</v>
      </c>
      <c r="O1222" s="1"/>
      <c r="P1222" s="1" t="s">
        <v>1278</v>
      </c>
      <c r="Q1222" s="1" t="s">
        <v>21524</v>
      </c>
      <c r="R1222" s="1" t="s">
        <v>21525</v>
      </c>
      <c r="S1222" s="1">
        <v>9848420368</v>
      </c>
      <c r="T1222" s="1" t="s">
        <v>122</v>
      </c>
      <c r="U1222" s="1" t="s">
        <v>21526</v>
      </c>
      <c r="V1222" s="1">
        <v>9490809361</v>
      </c>
      <c r="W1222" s="1" t="s">
        <v>21527</v>
      </c>
      <c r="X1222" s="1" t="s">
        <v>21528</v>
      </c>
      <c r="Y1222" s="1" t="s">
        <v>13640</v>
      </c>
      <c r="Z1222" s="1" t="s">
        <v>276</v>
      </c>
      <c r="AA1222" s="1" t="s">
        <v>21528</v>
      </c>
      <c r="AB1222" s="1" t="s">
        <v>13640</v>
      </c>
      <c r="AC1222" s="1" t="s">
        <v>276</v>
      </c>
      <c r="AD1222" s="1" t="s">
        <v>93</v>
      </c>
      <c r="AE1222" s="1" t="s">
        <v>93</v>
      </c>
      <c r="AF1222" s="1" t="s">
        <v>21529</v>
      </c>
      <c r="AG1222" s="1" t="s">
        <v>9678</v>
      </c>
      <c r="AH1222" s="1" t="s">
        <v>101</v>
      </c>
      <c r="AI1222" s="1" t="s">
        <v>433</v>
      </c>
      <c r="AJ1222" s="1">
        <v>77.2</v>
      </c>
      <c r="AK1222" s="1"/>
      <c r="AL1222" s="1" t="s">
        <v>21529</v>
      </c>
      <c r="AM1222" s="1" t="s">
        <v>9678</v>
      </c>
      <c r="AN1222" s="1" t="s">
        <v>310</v>
      </c>
      <c r="AO1222" s="1" t="s">
        <v>1131</v>
      </c>
      <c r="AP1222" s="1">
        <v>78</v>
      </c>
      <c r="AQ1222" s="1"/>
      <c r="AR1222" s="1"/>
      <c r="AS1222" s="1"/>
      <c r="AT1222" s="1"/>
      <c r="AU1222" s="1"/>
      <c r="AV1222" s="1"/>
      <c r="AW1222" s="1"/>
      <c r="AX1222" s="1" t="s">
        <v>21530</v>
      </c>
      <c r="AY1222" s="1" t="s">
        <v>21531</v>
      </c>
      <c r="AZ1222" s="1" t="s">
        <v>436</v>
      </c>
      <c r="BA1222" s="1" t="s">
        <v>1361</v>
      </c>
      <c r="BB1222" s="1">
        <v>83.42</v>
      </c>
      <c r="BC1222" s="1">
        <v>8.84</v>
      </c>
      <c r="BD1222" s="1"/>
      <c r="BE1222" s="1"/>
      <c r="BF1222" s="1"/>
      <c r="BG1222" s="1"/>
      <c r="BH1222" s="1"/>
      <c r="BI1222" s="1"/>
      <c r="BJ1222" s="1" t="s">
        <v>21532</v>
      </c>
      <c r="BK1222" s="1"/>
      <c r="BL1222" s="1"/>
      <c r="BM1222" s="1" t="s">
        <v>21533</v>
      </c>
      <c r="BN1222" s="1">
        <v>13</v>
      </c>
      <c r="BO1222" s="1" t="s">
        <v>21534</v>
      </c>
      <c r="BP1222" s="1" t="str">
        <f>HYPERLINK("https://nconnect.nicmar.ac.in/storage/profile/ProfilePhoto_P25704017_891326.jpg","Download")</f>
        <v>0</v>
      </c>
      <c r="BQ1222" s="3"/>
      <c r="BR1222" s="3"/>
    </row>
    <row r="1223" spans="1:70">
      <c r="A1223" s="1" t="s">
        <v>967</v>
      </c>
      <c r="B1223" s="1" t="s">
        <v>1269</v>
      </c>
      <c r="C1223" s="1" t="s">
        <v>21535</v>
      </c>
      <c r="D1223" s="1" t="s">
        <v>21536</v>
      </c>
      <c r="E1223" s="1" t="s">
        <v>21537</v>
      </c>
      <c r="F1223" s="1" t="s">
        <v>112</v>
      </c>
      <c r="G1223" s="1" t="s">
        <v>21538</v>
      </c>
      <c r="H1223" s="1" t="s">
        <v>21539</v>
      </c>
      <c r="I1223" s="1" t="s">
        <v>21540</v>
      </c>
      <c r="J1223" s="1">
        <v>9446826334</v>
      </c>
      <c r="K1223" s="1" t="s">
        <v>148</v>
      </c>
      <c r="L1223" s="1" t="s">
        <v>12188</v>
      </c>
      <c r="M1223" s="1" t="s">
        <v>81</v>
      </c>
      <c r="N1223" s="1" t="s">
        <v>5928</v>
      </c>
      <c r="O1223" s="1"/>
      <c r="P1223" s="1" t="s">
        <v>1323</v>
      </c>
      <c r="Q1223" s="1" t="s">
        <v>21541</v>
      </c>
      <c r="R1223" s="1" t="s">
        <v>21537</v>
      </c>
      <c r="S1223" s="1">
        <v>9447040302</v>
      </c>
      <c r="T1223" s="1" t="s">
        <v>120</v>
      </c>
      <c r="U1223" s="1" t="s">
        <v>4034</v>
      </c>
      <c r="V1223" s="1">
        <v>9447428660</v>
      </c>
      <c r="W1223" s="1" t="s">
        <v>21542</v>
      </c>
      <c r="X1223" s="1" t="s">
        <v>21543</v>
      </c>
      <c r="Y1223" s="1" t="s">
        <v>3988</v>
      </c>
      <c r="Z1223" s="1" t="s">
        <v>125</v>
      </c>
      <c r="AA1223" s="1" t="s">
        <v>21543</v>
      </c>
      <c r="AB1223" s="1" t="s">
        <v>3988</v>
      </c>
      <c r="AC1223" s="1" t="s">
        <v>125</v>
      </c>
      <c r="AD1223" s="1" t="s">
        <v>93</v>
      </c>
      <c r="AE1223" s="1" t="s">
        <v>93</v>
      </c>
      <c r="AF1223" s="1" t="s">
        <v>4099</v>
      </c>
      <c r="AG1223" s="1" t="s">
        <v>21544</v>
      </c>
      <c r="AH1223" s="1" t="s">
        <v>101</v>
      </c>
      <c r="AI1223" s="1" t="s">
        <v>308</v>
      </c>
      <c r="AJ1223" s="1">
        <v>95.3</v>
      </c>
      <c r="AK1223" s="1"/>
      <c r="AL1223" s="1" t="s">
        <v>21545</v>
      </c>
      <c r="AM1223" s="1" t="s">
        <v>21546</v>
      </c>
      <c r="AN1223" s="1" t="s">
        <v>412</v>
      </c>
      <c r="AO1223" s="1" t="s">
        <v>1712</v>
      </c>
      <c r="AP1223" s="1">
        <v>91</v>
      </c>
      <c r="AQ1223" s="1"/>
      <c r="AR1223" s="1"/>
      <c r="AS1223" s="1"/>
      <c r="AT1223" s="1"/>
      <c r="AU1223" s="1"/>
      <c r="AV1223" s="1"/>
      <c r="AW1223" s="1"/>
      <c r="AX1223" s="1" t="s">
        <v>3175</v>
      </c>
      <c r="AY1223" s="1" t="s">
        <v>21547</v>
      </c>
      <c r="AZ1223" s="1" t="s">
        <v>135</v>
      </c>
      <c r="BA1223" s="1" t="s">
        <v>1408</v>
      </c>
      <c r="BB1223" s="1">
        <v>84.4</v>
      </c>
      <c r="BC1223" s="1">
        <v>8.48</v>
      </c>
      <c r="BD1223" s="1"/>
      <c r="BE1223" s="1"/>
      <c r="BF1223" s="1"/>
      <c r="BG1223" s="1"/>
      <c r="BH1223" s="1"/>
      <c r="BI1223" s="1"/>
      <c r="BJ1223" s="1" t="s">
        <v>21548</v>
      </c>
      <c r="BK1223" s="1"/>
      <c r="BL1223" s="1"/>
      <c r="BM1223" s="1" t="s">
        <v>21549</v>
      </c>
      <c r="BN1223" s="1">
        <v>24</v>
      </c>
      <c r="BO1223" s="1"/>
      <c r="BP1223" s="1" t="str">
        <f>HYPERLINK("https://nconnect.nicmar.ac.in/storage/profile/ProfilePhoto_P25704018_982543.jpg","Download")</f>
        <v>0</v>
      </c>
      <c r="BQ1223" s="3"/>
      <c r="BR1223" s="3"/>
    </row>
    <row r="1224" spans="1:70">
      <c r="A1224" s="1" t="s">
        <v>967</v>
      </c>
      <c r="B1224" s="1" t="s">
        <v>1269</v>
      </c>
      <c r="C1224" s="1" t="s">
        <v>21550</v>
      </c>
      <c r="D1224" s="1" t="s">
        <v>16203</v>
      </c>
      <c r="E1224" s="1" t="s">
        <v>392</v>
      </c>
      <c r="F1224" s="1" t="s">
        <v>21551</v>
      </c>
      <c r="G1224" s="1" t="s">
        <v>21552</v>
      </c>
      <c r="H1224" s="1" t="s">
        <v>21553</v>
      </c>
      <c r="I1224" s="1" t="s">
        <v>21554</v>
      </c>
      <c r="J1224" s="1">
        <v>8459862239</v>
      </c>
      <c r="K1224" s="1" t="s">
        <v>79</v>
      </c>
      <c r="L1224" s="1" t="s">
        <v>12098</v>
      </c>
      <c r="M1224" s="1" t="s">
        <v>81</v>
      </c>
      <c r="N1224" s="1" t="s">
        <v>3864</v>
      </c>
      <c r="O1224" s="1"/>
      <c r="P1224" s="1" t="s">
        <v>1766</v>
      </c>
      <c r="Q1224" s="1" t="s">
        <v>21555</v>
      </c>
      <c r="R1224" s="1" t="s">
        <v>392</v>
      </c>
      <c r="S1224" s="1">
        <v>9763180181</v>
      </c>
      <c r="T1224" s="1" t="s">
        <v>7415</v>
      </c>
      <c r="U1224" s="1" t="s">
        <v>21556</v>
      </c>
      <c r="V1224" s="1">
        <v>9921891029</v>
      </c>
      <c r="W1224" s="1" t="s">
        <v>156</v>
      </c>
      <c r="X1224" s="1" t="s">
        <v>21557</v>
      </c>
      <c r="Y1224" s="1" t="s">
        <v>191</v>
      </c>
      <c r="Z1224" s="1" t="s">
        <v>92</v>
      </c>
      <c r="AA1224" s="1" t="s">
        <v>21557</v>
      </c>
      <c r="AB1224" s="1" t="s">
        <v>191</v>
      </c>
      <c r="AC1224" s="1" t="s">
        <v>92</v>
      </c>
      <c r="AD1224" s="1" t="s">
        <v>93</v>
      </c>
      <c r="AE1224" s="1" t="s">
        <v>93</v>
      </c>
      <c r="AF1224" s="1" t="s">
        <v>21558</v>
      </c>
      <c r="AG1224" s="1" t="s">
        <v>21559</v>
      </c>
      <c r="AH1224" s="1" t="s">
        <v>7997</v>
      </c>
      <c r="AI1224" s="1" t="s">
        <v>281</v>
      </c>
      <c r="AJ1224" s="1">
        <v>86.6</v>
      </c>
      <c r="AK1224" s="1"/>
      <c r="AL1224" s="1" t="s">
        <v>21560</v>
      </c>
      <c r="AM1224" s="1" t="s">
        <v>21559</v>
      </c>
      <c r="AN1224" s="1" t="s">
        <v>636</v>
      </c>
      <c r="AO1224" s="1" t="s">
        <v>360</v>
      </c>
      <c r="AP1224" s="1">
        <v>70.15</v>
      </c>
      <c r="AQ1224" s="1"/>
      <c r="AR1224" s="1"/>
      <c r="AS1224" s="1"/>
      <c r="AT1224" s="1"/>
      <c r="AU1224" s="1"/>
      <c r="AV1224" s="1"/>
      <c r="AW1224" s="1"/>
      <c r="AX1224" s="1" t="s">
        <v>361</v>
      </c>
      <c r="AY1224" s="1" t="s">
        <v>21561</v>
      </c>
      <c r="AZ1224" s="1" t="s">
        <v>681</v>
      </c>
      <c r="BA1224" s="1" t="s">
        <v>1714</v>
      </c>
      <c r="BB1224" s="1">
        <v>62.92</v>
      </c>
      <c r="BC1224" s="1">
        <v>7.07</v>
      </c>
      <c r="BD1224" s="1"/>
      <c r="BE1224" s="1"/>
      <c r="BF1224" s="1"/>
      <c r="BG1224" s="1"/>
      <c r="BH1224" s="1"/>
      <c r="BI1224" s="1"/>
      <c r="BJ1224" s="1" t="s">
        <v>21562</v>
      </c>
      <c r="BK1224" s="1"/>
      <c r="BL1224" s="1"/>
      <c r="BM1224" s="1" t="s">
        <v>21563</v>
      </c>
      <c r="BN1224" s="1">
        <v>24</v>
      </c>
      <c r="BO1224" s="1"/>
      <c r="BP1224" s="1" t="str">
        <f>HYPERLINK("https://nconnect.nicmar.ac.in/storage/profile/ProfilePhoto_P25704019_593674.jpg","Download")</f>
        <v>0</v>
      </c>
      <c r="BQ1224" s="3"/>
      <c r="BR1224" s="3"/>
    </row>
    <row r="1225" spans="1:70">
      <c r="A1225" s="1" t="s">
        <v>967</v>
      </c>
      <c r="B1225" s="1" t="s">
        <v>1269</v>
      </c>
      <c r="C1225" s="1" t="s">
        <v>21564</v>
      </c>
      <c r="D1225" s="1" t="s">
        <v>9036</v>
      </c>
      <c r="E1225" s="1" t="s">
        <v>21565</v>
      </c>
      <c r="F1225" s="1" t="s">
        <v>8757</v>
      </c>
      <c r="G1225" s="1" t="s">
        <v>21566</v>
      </c>
      <c r="H1225" s="1" t="s">
        <v>21567</v>
      </c>
      <c r="I1225" s="1" t="s">
        <v>21568</v>
      </c>
      <c r="J1225" s="1">
        <v>7385920021</v>
      </c>
      <c r="K1225" s="1" t="s">
        <v>79</v>
      </c>
      <c r="L1225" s="1" t="s">
        <v>20104</v>
      </c>
      <c r="M1225" s="1" t="s">
        <v>81</v>
      </c>
      <c r="N1225" s="1" t="s">
        <v>1418</v>
      </c>
      <c r="O1225" s="1"/>
      <c r="P1225" s="1" t="s">
        <v>1298</v>
      </c>
      <c r="Q1225" s="1" t="s">
        <v>21569</v>
      </c>
      <c r="R1225" s="1" t="s">
        <v>21570</v>
      </c>
      <c r="S1225" s="1">
        <v>9096420350</v>
      </c>
      <c r="T1225" s="1" t="s">
        <v>496</v>
      </c>
      <c r="U1225" s="1" t="s">
        <v>21571</v>
      </c>
      <c r="V1225" s="1">
        <v>7709782974</v>
      </c>
      <c r="W1225" s="1" t="s">
        <v>976</v>
      </c>
      <c r="X1225" s="1" t="s">
        <v>21572</v>
      </c>
      <c r="Y1225" s="1" t="s">
        <v>1886</v>
      </c>
      <c r="Z1225" s="1" t="s">
        <v>92</v>
      </c>
      <c r="AA1225" s="1" t="s">
        <v>21572</v>
      </c>
      <c r="AB1225" s="1" t="s">
        <v>1886</v>
      </c>
      <c r="AC1225" s="1" t="s">
        <v>92</v>
      </c>
      <c r="AD1225" s="1" t="s">
        <v>93</v>
      </c>
      <c r="AE1225" s="1" t="s">
        <v>93</v>
      </c>
      <c r="AF1225" s="1" t="s">
        <v>21573</v>
      </c>
      <c r="AG1225" s="1" t="s">
        <v>160</v>
      </c>
      <c r="AH1225" s="1" t="s">
        <v>165</v>
      </c>
      <c r="AI1225" s="1" t="s">
        <v>101</v>
      </c>
      <c r="AJ1225" s="1">
        <v>60.4</v>
      </c>
      <c r="AK1225" s="1"/>
      <c r="AL1225" s="1" t="s">
        <v>21573</v>
      </c>
      <c r="AM1225" s="1" t="s">
        <v>160</v>
      </c>
      <c r="AN1225" s="1" t="s">
        <v>433</v>
      </c>
      <c r="AO1225" s="1" t="s">
        <v>360</v>
      </c>
      <c r="AP1225" s="1">
        <v>56</v>
      </c>
      <c r="AQ1225" s="1"/>
      <c r="AR1225" s="1"/>
      <c r="AS1225" s="1"/>
      <c r="AT1225" s="1"/>
      <c r="AU1225" s="1"/>
      <c r="AV1225" s="1"/>
      <c r="AW1225" s="1"/>
      <c r="AX1225" s="1" t="s">
        <v>8961</v>
      </c>
      <c r="AY1225" s="1" t="s">
        <v>8962</v>
      </c>
      <c r="AZ1225" s="1" t="s">
        <v>920</v>
      </c>
      <c r="BA1225" s="1" t="s">
        <v>1938</v>
      </c>
      <c r="BB1225" s="1">
        <v>69</v>
      </c>
      <c r="BC1225" s="1">
        <v>7.4</v>
      </c>
      <c r="BD1225" s="1"/>
      <c r="BE1225" s="1"/>
      <c r="BF1225" s="1"/>
      <c r="BG1225" s="1"/>
      <c r="BH1225" s="1"/>
      <c r="BI1225" s="1"/>
      <c r="BJ1225" s="1" t="s">
        <v>21574</v>
      </c>
      <c r="BK1225" s="1"/>
      <c r="BL1225" s="1"/>
      <c r="BM1225" s="1" t="s">
        <v>21575</v>
      </c>
      <c r="BN1225" s="1">
        <v>8</v>
      </c>
      <c r="BO1225" s="1" t="s">
        <v>21576</v>
      </c>
      <c r="BP1225" s="1" t="str">
        <f>HYPERLINK("https://nconnect.nicmar.ac.in/storage/profile/ProfilePhoto_P25704020_278361.jpg","Download")</f>
        <v>0</v>
      </c>
      <c r="BQ1225" s="3"/>
      <c r="BR1225" s="3"/>
    </row>
    <row r="1226" spans="1:70">
      <c r="A1226" s="1" t="s">
        <v>967</v>
      </c>
      <c r="B1226" s="1" t="s">
        <v>1269</v>
      </c>
      <c r="C1226" s="1" t="s">
        <v>21577</v>
      </c>
      <c r="D1226" s="1" t="s">
        <v>5794</v>
      </c>
      <c r="E1226" s="1" t="s">
        <v>181</v>
      </c>
      <c r="F1226" s="1" t="s">
        <v>21578</v>
      </c>
      <c r="G1226" s="1" t="s">
        <v>21579</v>
      </c>
      <c r="H1226" s="1" t="s">
        <v>21580</v>
      </c>
      <c r="I1226" s="1" t="s">
        <v>21581</v>
      </c>
      <c r="J1226" s="1">
        <v>7558449363</v>
      </c>
      <c r="K1226" s="1" t="s">
        <v>79</v>
      </c>
      <c r="L1226" s="1" t="s">
        <v>21582</v>
      </c>
      <c r="M1226" s="1" t="s">
        <v>81</v>
      </c>
      <c r="N1226" s="1" t="s">
        <v>1418</v>
      </c>
      <c r="O1226" s="1"/>
      <c r="P1226" s="1" t="s">
        <v>1298</v>
      </c>
      <c r="Q1226" s="1" t="s">
        <v>21583</v>
      </c>
      <c r="R1226" s="1" t="s">
        <v>21584</v>
      </c>
      <c r="S1226" s="1">
        <v>9922420665</v>
      </c>
      <c r="T1226" s="1" t="s">
        <v>3210</v>
      </c>
      <c r="U1226" s="1" t="s">
        <v>21585</v>
      </c>
      <c r="V1226" s="1">
        <v>9763078203</v>
      </c>
      <c r="W1226" s="1" t="s">
        <v>156</v>
      </c>
      <c r="X1226" s="1" t="s">
        <v>21586</v>
      </c>
      <c r="Y1226" s="1" t="s">
        <v>191</v>
      </c>
      <c r="Z1226" s="1" t="s">
        <v>92</v>
      </c>
      <c r="AA1226" s="1" t="s">
        <v>21586</v>
      </c>
      <c r="AB1226" s="1" t="s">
        <v>191</v>
      </c>
      <c r="AC1226" s="1" t="s">
        <v>92</v>
      </c>
      <c r="AD1226" s="1" t="s">
        <v>93</v>
      </c>
      <c r="AE1226" s="1" t="s">
        <v>93</v>
      </c>
      <c r="AF1226" s="1" t="s">
        <v>21587</v>
      </c>
      <c r="AG1226" s="1" t="s">
        <v>12505</v>
      </c>
      <c r="AH1226" s="1" t="s">
        <v>165</v>
      </c>
      <c r="AI1226" s="1" t="s">
        <v>281</v>
      </c>
      <c r="AJ1226" s="1">
        <v>85.6</v>
      </c>
      <c r="AK1226" s="1"/>
      <c r="AL1226" s="1" t="s">
        <v>21588</v>
      </c>
      <c r="AM1226" s="1" t="s">
        <v>12505</v>
      </c>
      <c r="AN1226" s="1" t="s">
        <v>433</v>
      </c>
      <c r="AO1226" s="1" t="s">
        <v>360</v>
      </c>
      <c r="AP1226" s="1">
        <v>73.38</v>
      </c>
      <c r="AQ1226" s="1"/>
      <c r="AR1226" s="1"/>
      <c r="AS1226" s="1"/>
      <c r="AT1226" s="1"/>
      <c r="AU1226" s="1"/>
      <c r="AV1226" s="1"/>
      <c r="AW1226" s="1"/>
      <c r="AX1226" s="1" t="s">
        <v>21589</v>
      </c>
      <c r="AY1226" s="1" t="s">
        <v>21590</v>
      </c>
      <c r="AZ1226" s="1" t="s">
        <v>699</v>
      </c>
      <c r="BA1226" s="1" t="s">
        <v>1714</v>
      </c>
      <c r="BB1226" s="1">
        <v>66.1</v>
      </c>
      <c r="BC1226" s="1">
        <v>7.36</v>
      </c>
      <c r="BD1226" s="1"/>
      <c r="BE1226" s="1"/>
      <c r="BF1226" s="1"/>
      <c r="BG1226" s="1"/>
      <c r="BH1226" s="1"/>
      <c r="BI1226" s="1"/>
      <c r="BJ1226" s="1" t="s">
        <v>255</v>
      </c>
      <c r="BK1226" s="1"/>
      <c r="BL1226" s="1"/>
      <c r="BM1226" s="1" t="s">
        <v>21591</v>
      </c>
      <c r="BN1226" s="1">
        <v>17</v>
      </c>
      <c r="BO1226" s="1" t="s">
        <v>21592</v>
      </c>
      <c r="BP1226" s="1" t="str">
        <f>HYPERLINK("https://nconnect.nicmar.ac.in/storage/profile/ProfilePhoto_P25704021_426987.jpg","Download")</f>
        <v>0</v>
      </c>
      <c r="BQ1226" s="3"/>
      <c r="BR1226" s="3"/>
    </row>
    <row r="1227" spans="1:70">
      <c r="A1227" s="1" t="s">
        <v>967</v>
      </c>
      <c r="B1227" s="1" t="s">
        <v>1269</v>
      </c>
      <c r="C1227" s="1" t="s">
        <v>21593</v>
      </c>
      <c r="D1227" s="1" t="s">
        <v>21594</v>
      </c>
      <c r="E1227" s="1"/>
      <c r="F1227" s="1" t="s">
        <v>21595</v>
      </c>
      <c r="G1227" s="1" t="s">
        <v>21596</v>
      </c>
      <c r="H1227" s="1" t="s">
        <v>21597</v>
      </c>
      <c r="I1227" s="1" t="s">
        <v>21598</v>
      </c>
      <c r="J1227" s="1">
        <v>8249358297</v>
      </c>
      <c r="K1227" s="1" t="s">
        <v>79</v>
      </c>
      <c r="L1227" s="1" t="s">
        <v>21599</v>
      </c>
      <c r="M1227" s="1" t="s">
        <v>81</v>
      </c>
      <c r="N1227" s="1" t="s">
        <v>13757</v>
      </c>
      <c r="O1227" s="1"/>
      <c r="P1227" s="1" t="s">
        <v>1278</v>
      </c>
      <c r="Q1227" s="1" t="s">
        <v>21600</v>
      </c>
      <c r="R1227" s="1" t="s">
        <v>21601</v>
      </c>
      <c r="S1227" s="1">
        <v>7008067559</v>
      </c>
      <c r="T1227" s="1" t="s">
        <v>6227</v>
      </c>
      <c r="U1227" s="1" t="s">
        <v>21602</v>
      </c>
      <c r="V1227" s="1">
        <v>8144939202</v>
      </c>
      <c r="W1227" s="1" t="s">
        <v>89</v>
      </c>
      <c r="X1227" s="1" t="s">
        <v>21603</v>
      </c>
      <c r="Y1227" s="1" t="s">
        <v>20427</v>
      </c>
      <c r="Z1227" s="1" t="s">
        <v>1731</v>
      </c>
      <c r="AA1227" s="1" t="s">
        <v>21604</v>
      </c>
      <c r="AB1227" s="1" t="s">
        <v>21605</v>
      </c>
      <c r="AC1227" s="1" t="s">
        <v>1731</v>
      </c>
      <c r="AD1227" s="1" t="s">
        <v>93</v>
      </c>
      <c r="AE1227" s="1" t="s">
        <v>93</v>
      </c>
      <c r="AF1227" s="1" t="s">
        <v>21606</v>
      </c>
      <c r="AG1227" s="1" t="s">
        <v>16546</v>
      </c>
      <c r="AH1227" s="1" t="s">
        <v>657</v>
      </c>
      <c r="AI1227" s="1" t="s">
        <v>128</v>
      </c>
      <c r="AJ1227" s="1">
        <v>62</v>
      </c>
      <c r="AK1227" s="1"/>
      <c r="AL1227" s="1" t="s">
        <v>21607</v>
      </c>
      <c r="AM1227" s="1" t="s">
        <v>21608</v>
      </c>
      <c r="AN1227" s="1" t="s">
        <v>128</v>
      </c>
      <c r="AO1227" s="1" t="s">
        <v>1197</v>
      </c>
      <c r="AP1227" s="1">
        <v>59</v>
      </c>
      <c r="AQ1227" s="1"/>
      <c r="AR1227" s="1"/>
      <c r="AS1227" s="1"/>
      <c r="AT1227" s="1"/>
      <c r="AU1227" s="1"/>
      <c r="AV1227" s="1"/>
      <c r="AW1227" s="1"/>
      <c r="AX1227" s="1" t="s">
        <v>21609</v>
      </c>
      <c r="AY1227" s="1" t="s">
        <v>21610</v>
      </c>
      <c r="AZ1227" s="1" t="s">
        <v>130</v>
      </c>
      <c r="BA1227" s="1" t="s">
        <v>636</v>
      </c>
      <c r="BB1227" s="1">
        <v>66.9</v>
      </c>
      <c r="BC1227" s="1">
        <v>7.2</v>
      </c>
      <c r="BD1227" s="1"/>
      <c r="BE1227" s="1"/>
      <c r="BF1227" s="1"/>
      <c r="BG1227" s="1"/>
      <c r="BH1227" s="1"/>
      <c r="BI1227" s="1"/>
      <c r="BJ1227" s="1" t="s">
        <v>255</v>
      </c>
      <c r="BK1227" s="1" t="s">
        <v>21611</v>
      </c>
      <c r="BL1227" s="1" t="s">
        <v>21612</v>
      </c>
      <c r="BM1227" s="1"/>
      <c r="BN1227" s="1"/>
      <c r="BO1227" s="1"/>
      <c r="BP1227" s="1" t="str">
        <f>HYPERLINK("https://nconnect.nicmar.ac.in/storage/profile/ProfilePhoto_P25704022_561872.jpg","Download")</f>
        <v>0</v>
      </c>
      <c r="BQ1227" s="3"/>
      <c r="BR1227" s="3"/>
    </row>
    <row r="1228" spans="1:70">
      <c r="A1228" s="1" t="s">
        <v>967</v>
      </c>
      <c r="B1228" s="1" t="s">
        <v>1269</v>
      </c>
      <c r="C1228" s="1" t="s">
        <v>21613</v>
      </c>
      <c r="D1228" s="1" t="s">
        <v>21614</v>
      </c>
      <c r="E1228" s="1" t="s">
        <v>1138</v>
      </c>
      <c r="F1228" s="1" t="s">
        <v>21615</v>
      </c>
      <c r="G1228" s="1" t="s">
        <v>21616</v>
      </c>
      <c r="H1228" s="1" t="s">
        <v>21617</v>
      </c>
      <c r="I1228" s="1" t="s">
        <v>21618</v>
      </c>
      <c r="J1228" s="1">
        <v>7776034424</v>
      </c>
      <c r="K1228" s="1" t="s">
        <v>148</v>
      </c>
      <c r="L1228" s="1" t="s">
        <v>15401</v>
      </c>
      <c r="M1228" s="1" t="s">
        <v>150</v>
      </c>
      <c r="N1228" s="1" t="s">
        <v>1418</v>
      </c>
      <c r="O1228" s="1"/>
      <c r="P1228" s="1" t="s">
        <v>1278</v>
      </c>
      <c r="Q1228" s="1" t="s">
        <v>21619</v>
      </c>
      <c r="R1228" s="1" t="s">
        <v>21620</v>
      </c>
      <c r="S1228" s="1">
        <v>9823048680</v>
      </c>
      <c r="T1228" s="1" t="s">
        <v>21621</v>
      </c>
      <c r="U1228" s="1" t="s">
        <v>21622</v>
      </c>
      <c r="V1228" s="1">
        <v>7744094569</v>
      </c>
      <c r="W1228" s="1" t="s">
        <v>273</v>
      </c>
      <c r="X1228" s="1" t="s">
        <v>21623</v>
      </c>
      <c r="Y1228" s="1" t="s">
        <v>191</v>
      </c>
      <c r="Z1228" s="1" t="s">
        <v>92</v>
      </c>
      <c r="AA1228" s="1" t="s">
        <v>21624</v>
      </c>
      <c r="AB1228" s="1" t="s">
        <v>91</v>
      </c>
      <c r="AC1228" s="1" t="s">
        <v>92</v>
      </c>
      <c r="AD1228" s="1" t="s">
        <v>93</v>
      </c>
      <c r="AE1228" s="1" t="s">
        <v>93</v>
      </c>
      <c r="AF1228" s="1" t="s">
        <v>21625</v>
      </c>
      <c r="AG1228" s="1" t="s">
        <v>11747</v>
      </c>
      <c r="AH1228" s="1" t="s">
        <v>128</v>
      </c>
      <c r="AI1228" s="1" t="s">
        <v>479</v>
      </c>
      <c r="AJ1228" s="1">
        <v>63.4</v>
      </c>
      <c r="AK1228" s="1"/>
      <c r="AL1228" s="1" t="s">
        <v>21626</v>
      </c>
      <c r="AM1228" s="1" t="s">
        <v>21627</v>
      </c>
      <c r="AN1228" s="1" t="s">
        <v>225</v>
      </c>
      <c r="AO1228" s="1" t="s">
        <v>308</v>
      </c>
      <c r="AP1228" s="1">
        <v>71.23</v>
      </c>
      <c r="AQ1228" s="1"/>
      <c r="AR1228" s="1"/>
      <c r="AS1228" s="1"/>
      <c r="AT1228" s="1"/>
      <c r="AU1228" s="1"/>
      <c r="AV1228" s="1"/>
      <c r="AW1228" s="1"/>
      <c r="AX1228" s="1" t="s">
        <v>21628</v>
      </c>
      <c r="AY1228" s="1" t="s">
        <v>21629</v>
      </c>
      <c r="AZ1228" s="1" t="s">
        <v>201</v>
      </c>
      <c r="BA1228" s="1" t="s">
        <v>413</v>
      </c>
      <c r="BB1228" s="1">
        <v>73.1</v>
      </c>
      <c r="BC1228" s="1">
        <v>7.81</v>
      </c>
      <c r="BD1228" s="1"/>
      <c r="BE1228" s="1"/>
      <c r="BF1228" s="1"/>
      <c r="BG1228" s="1"/>
      <c r="BH1228" s="1"/>
      <c r="BI1228" s="1"/>
      <c r="BJ1228" s="1" t="s">
        <v>21630</v>
      </c>
      <c r="BK1228" s="1" t="s">
        <v>21631</v>
      </c>
      <c r="BL1228" s="1" t="s">
        <v>484</v>
      </c>
      <c r="BM1228" s="1" t="s">
        <v>21632</v>
      </c>
      <c r="BN1228" s="1">
        <v>19</v>
      </c>
      <c r="BO1228" s="1" t="s">
        <v>21633</v>
      </c>
      <c r="BP1228" s="1" t="str">
        <f>HYPERLINK("https://nconnect.nicmar.ac.in/storage/profile/ProfilePhoto_P25704023_534962.jpg","Download")</f>
        <v>0</v>
      </c>
      <c r="BQ1228" s="3"/>
      <c r="BR1228" s="3"/>
    </row>
    <row r="1229" spans="1:70">
      <c r="A1229" s="1" t="s">
        <v>967</v>
      </c>
      <c r="B1229" s="1" t="s">
        <v>1269</v>
      </c>
      <c r="C1229" s="1" t="s">
        <v>21634</v>
      </c>
      <c r="D1229" s="1" t="s">
        <v>5510</v>
      </c>
      <c r="E1229" s="1" t="s">
        <v>8808</v>
      </c>
      <c r="F1229" s="1" t="s">
        <v>8472</v>
      </c>
      <c r="G1229" s="1" t="s">
        <v>21635</v>
      </c>
      <c r="H1229" s="1" t="s">
        <v>21636</v>
      </c>
      <c r="I1229" s="1" t="s">
        <v>21637</v>
      </c>
      <c r="J1229" s="1">
        <v>8668546058</v>
      </c>
      <c r="K1229" s="1" t="s">
        <v>148</v>
      </c>
      <c r="L1229" s="1" t="s">
        <v>16871</v>
      </c>
      <c r="M1229" s="1" t="s">
        <v>81</v>
      </c>
      <c r="N1229" s="1" t="s">
        <v>21638</v>
      </c>
      <c r="O1229" s="1"/>
      <c r="P1229" s="1" t="s">
        <v>1278</v>
      </c>
      <c r="Q1229" s="1" t="s">
        <v>21639</v>
      </c>
      <c r="R1229" s="1" t="s">
        <v>8808</v>
      </c>
      <c r="S1229" s="1">
        <v>9370088881</v>
      </c>
      <c r="T1229" s="1" t="s">
        <v>993</v>
      </c>
      <c r="U1229" s="1" t="s">
        <v>6794</v>
      </c>
      <c r="V1229" s="1">
        <v>9370238072</v>
      </c>
      <c r="W1229" s="1" t="s">
        <v>273</v>
      </c>
      <c r="X1229" s="1" t="s">
        <v>21640</v>
      </c>
      <c r="Y1229" s="1" t="s">
        <v>405</v>
      </c>
      <c r="Z1229" s="1" t="s">
        <v>92</v>
      </c>
      <c r="AA1229" s="1" t="s">
        <v>21640</v>
      </c>
      <c r="AB1229" s="1" t="s">
        <v>405</v>
      </c>
      <c r="AC1229" s="1" t="s">
        <v>92</v>
      </c>
      <c r="AD1229" s="1" t="s">
        <v>93</v>
      </c>
      <c r="AE1229" s="1" t="s">
        <v>93</v>
      </c>
      <c r="AF1229" s="1" t="s">
        <v>21641</v>
      </c>
      <c r="AG1229" s="1" t="s">
        <v>307</v>
      </c>
      <c r="AH1229" s="1" t="s">
        <v>162</v>
      </c>
      <c r="AI1229" s="1" t="s">
        <v>195</v>
      </c>
      <c r="AJ1229" s="1">
        <v>85.5</v>
      </c>
      <c r="AK1229" s="1">
        <v>9</v>
      </c>
      <c r="AL1229" s="1" t="s">
        <v>21642</v>
      </c>
      <c r="AM1229" s="1" t="s">
        <v>160</v>
      </c>
      <c r="AN1229" s="1" t="s">
        <v>201</v>
      </c>
      <c r="AO1229" s="1" t="s">
        <v>412</v>
      </c>
      <c r="AP1229" s="1">
        <v>55.69</v>
      </c>
      <c r="AQ1229" s="1"/>
      <c r="AR1229" s="1"/>
      <c r="AS1229" s="1"/>
      <c r="AT1229" s="1"/>
      <c r="AU1229" s="1"/>
      <c r="AV1229" s="1"/>
      <c r="AW1229" s="1"/>
      <c r="AX1229" s="1" t="s">
        <v>410</v>
      </c>
      <c r="AY1229" s="1" t="s">
        <v>21643</v>
      </c>
      <c r="AZ1229" s="1" t="s">
        <v>363</v>
      </c>
      <c r="BA1229" s="1" t="s">
        <v>1714</v>
      </c>
      <c r="BB1229" s="1">
        <v>72.1</v>
      </c>
      <c r="BC1229" s="1">
        <v>7.21</v>
      </c>
      <c r="BD1229" s="1"/>
      <c r="BE1229" s="1"/>
      <c r="BF1229" s="1"/>
      <c r="BG1229" s="1"/>
      <c r="BH1229" s="1"/>
      <c r="BI1229" s="1"/>
      <c r="BJ1229" s="1" t="s">
        <v>21644</v>
      </c>
      <c r="BK1229" s="1"/>
      <c r="BL1229" s="1"/>
      <c r="BM1229" s="1" t="s">
        <v>21645</v>
      </c>
      <c r="BN1229" s="1">
        <v>19</v>
      </c>
      <c r="BO1229" s="1"/>
      <c r="BP1229" s="1" t="str">
        <f>HYPERLINK("https://nconnect.nicmar.ac.in/storage/profile/ProfilePhoto_P25704024_853971.jpg","Download")</f>
        <v>0</v>
      </c>
      <c r="BQ1229" s="3"/>
      <c r="BR1229" s="3"/>
    </row>
    <row r="1230" spans="1:70">
      <c r="A1230" s="1" t="s">
        <v>967</v>
      </c>
      <c r="B1230" s="1" t="s">
        <v>1269</v>
      </c>
      <c r="C1230" s="1" t="s">
        <v>21646</v>
      </c>
      <c r="D1230" s="1" t="s">
        <v>19275</v>
      </c>
      <c r="E1230" s="1" t="s">
        <v>3201</v>
      </c>
      <c r="F1230" s="1" t="s">
        <v>21647</v>
      </c>
      <c r="G1230" s="1" t="s">
        <v>21648</v>
      </c>
      <c r="H1230" s="1" t="s">
        <v>21649</v>
      </c>
      <c r="I1230" s="1" t="s">
        <v>21650</v>
      </c>
      <c r="J1230" s="1">
        <v>9359271182</v>
      </c>
      <c r="K1230" s="1" t="s">
        <v>148</v>
      </c>
      <c r="L1230" s="1" t="s">
        <v>21651</v>
      </c>
      <c r="M1230" s="1" t="s">
        <v>81</v>
      </c>
      <c r="N1230" s="1" t="s">
        <v>3187</v>
      </c>
      <c r="O1230" s="1"/>
      <c r="P1230" s="1" t="s">
        <v>1766</v>
      </c>
      <c r="Q1230" s="1" t="s">
        <v>21652</v>
      </c>
      <c r="R1230" s="1" t="s">
        <v>21653</v>
      </c>
      <c r="S1230" s="1">
        <v>8605072625</v>
      </c>
      <c r="T1230" s="1" t="s">
        <v>763</v>
      </c>
      <c r="U1230" s="1" t="s">
        <v>21654</v>
      </c>
      <c r="V1230" s="1">
        <v>8668820837</v>
      </c>
      <c r="W1230" s="1" t="s">
        <v>156</v>
      </c>
      <c r="X1230" s="1" t="s">
        <v>21655</v>
      </c>
      <c r="Y1230" s="1" t="s">
        <v>328</v>
      </c>
      <c r="Z1230" s="1" t="s">
        <v>92</v>
      </c>
      <c r="AA1230" s="1" t="s">
        <v>21655</v>
      </c>
      <c r="AB1230" s="1" t="s">
        <v>328</v>
      </c>
      <c r="AC1230" s="1" t="s">
        <v>92</v>
      </c>
      <c r="AD1230" s="1" t="s">
        <v>93</v>
      </c>
      <c r="AE1230" s="1" t="s">
        <v>93</v>
      </c>
      <c r="AF1230" s="1" t="s">
        <v>21656</v>
      </c>
      <c r="AG1230" s="1" t="s">
        <v>21657</v>
      </c>
      <c r="AH1230" s="1" t="s">
        <v>131</v>
      </c>
      <c r="AI1230" s="1" t="s">
        <v>101</v>
      </c>
      <c r="AJ1230" s="1">
        <v>90.2</v>
      </c>
      <c r="AK1230" s="1">
        <v>7.6</v>
      </c>
      <c r="AL1230" s="1" t="s">
        <v>21658</v>
      </c>
      <c r="AM1230" s="1" t="s">
        <v>21657</v>
      </c>
      <c r="AN1230" s="1" t="s">
        <v>101</v>
      </c>
      <c r="AO1230" s="1" t="s">
        <v>173</v>
      </c>
      <c r="AP1230" s="1">
        <v>74.62</v>
      </c>
      <c r="AQ1230" s="1"/>
      <c r="AR1230" s="1"/>
      <c r="AS1230" s="1"/>
      <c r="AT1230" s="1"/>
      <c r="AU1230" s="1"/>
      <c r="AV1230" s="1"/>
      <c r="AW1230" s="1"/>
      <c r="AX1230" s="1" t="s">
        <v>361</v>
      </c>
      <c r="AY1230" s="1" t="s">
        <v>16193</v>
      </c>
      <c r="AZ1230" s="1" t="s">
        <v>363</v>
      </c>
      <c r="BA1230" s="1" t="s">
        <v>1408</v>
      </c>
      <c r="BB1230" s="1">
        <v>68.35</v>
      </c>
      <c r="BC1230" s="1"/>
      <c r="BD1230" s="1"/>
      <c r="BE1230" s="1"/>
      <c r="BF1230" s="1"/>
      <c r="BG1230" s="1"/>
      <c r="BH1230" s="1"/>
      <c r="BI1230" s="1"/>
      <c r="BJ1230" s="1" t="s">
        <v>21659</v>
      </c>
      <c r="BK1230" s="1"/>
      <c r="BL1230" s="1"/>
      <c r="BM1230" s="1" t="s">
        <v>21660</v>
      </c>
      <c r="BN1230" s="1">
        <v>24</v>
      </c>
      <c r="BO1230" s="1"/>
      <c r="BP1230" s="1" t="str">
        <f>HYPERLINK("https://nconnect.nicmar.ac.in/storage/profile/ProfilePhoto_P25704025_279518.jpg","Download")</f>
        <v>0</v>
      </c>
      <c r="BQ1230" s="3"/>
      <c r="BR1230" s="3"/>
    </row>
    <row r="1231" spans="1:70">
      <c r="A1231" s="1" t="s">
        <v>967</v>
      </c>
      <c r="B1231" s="1" t="s">
        <v>1269</v>
      </c>
      <c r="C1231" s="1" t="s">
        <v>21661</v>
      </c>
      <c r="D1231" s="1" t="s">
        <v>21662</v>
      </c>
      <c r="E1231" s="1" t="s">
        <v>14992</v>
      </c>
      <c r="F1231" s="1" t="s">
        <v>13270</v>
      </c>
      <c r="G1231" s="1" t="s">
        <v>21663</v>
      </c>
      <c r="H1231" s="1" t="s">
        <v>21664</v>
      </c>
      <c r="I1231" s="1" t="s">
        <v>21665</v>
      </c>
      <c r="J1231" s="1">
        <v>9136230303</v>
      </c>
      <c r="K1231" s="1" t="s">
        <v>148</v>
      </c>
      <c r="L1231" s="1" t="s">
        <v>21666</v>
      </c>
      <c r="M1231" s="1" t="s">
        <v>81</v>
      </c>
      <c r="N1231" s="1" t="s">
        <v>860</v>
      </c>
      <c r="O1231" s="1"/>
      <c r="P1231" s="1" t="s">
        <v>1298</v>
      </c>
      <c r="Q1231" s="1" t="s">
        <v>21667</v>
      </c>
      <c r="R1231" s="1" t="s">
        <v>21668</v>
      </c>
      <c r="S1231" s="1">
        <v>9969227370</v>
      </c>
      <c r="T1231" s="1" t="s">
        <v>120</v>
      </c>
      <c r="U1231" s="1" t="s">
        <v>21669</v>
      </c>
      <c r="V1231" s="1">
        <v>9004719297</v>
      </c>
      <c r="W1231" s="1" t="s">
        <v>156</v>
      </c>
      <c r="X1231" s="1" t="s">
        <v>21670</v>
      </c>
      <c r="Y1231" s="1" t="s">
        <v>1018</v>
      </c>
      <c r="Z1231" s="1" t="s">
        <v>92</v>
      </c>
      <c r="AA1231" s="1" t="s">
        <v>21670</v>
      </c>
      <c r="AB1231" s="1" t="s">
        <v>1018</v>
      </c>
      <c r="AC1231" s="1" t="s">
        <v>92</v>
      </c>
      <c r="AD1231" s="1" t="s">
        <v>93</v>
      </c>
      <c r="AE1231" s="1" t="s">
        <v>93</v>
      </c>
      <c r="AF1231" s="1" t="s">
        <v>21671</v>
      </c>
      <c r="AG1231" s="1" t="s">
        <v>160</v>
      </c>
      <c r="AH1231" s="1" t="s">
        <v>162</v>
      </c>
      <c r="AI1231" s="1" t="s">
        <v>165</v>
      </c>
      <c r="AJ1231" s="1">
        <v>83</v>
      </c>
      <c r="AK1231" s="1"/>
      <c r="AL1231" s="1" t="s">
        <v>21672</v>
      </c>
      <c r="AM1231" s="1" t="s">
        <v>160</v>
      </c>
      <c r="AN1231" s="1" t="s">
        <v>101</v>
      </c>
      <c r="AO1231" s="1" t="s">
        <v>308</v>
      </c>
      <c r="AP1231" s="1">
        <v>68.31</v>
      </c>
      <c r="AQ1231" s="1"/>
      <c r="AR1231" s="1"/>
      <c r="AS1231" s="1"/>
      <c r="AT1231" s="1"/>
      <c r="AU1231" s="1"/>
      <c r="AV1231" s="1"/>
      <c r="AW1231" s="1"/>
      <c r="AX1231" s="1" t="s">
        <v>253</v>
      </c>
      <c r="AY1231" s="1" t="s">
        <v>19470</v>
      </c>
      <c r="AZ1231" s="1" t="s">
        <v>201</v>
      </c>
      <c r="BA1231" s="1" t="s">
        <v>413</v>
      </c>
      <c r="BB1231" s="1">
        <v>67.87</v>
      </c>
      <c r="BC1231" s="1">
        <v>7.55</v>
      </c>
      <c r="BD1231" s="1"/>
      <c r="BE1231" s="1"/>
      <c r="BF1231" s="1"/>
      <c r="BG1231" s="1"/>
      <c r="BH1231" s="1"/>
      <c r="BI1231" s="1"/>
      <c r="BJ1231" s="1" t="s">
        <v>21673</v>
      </c>
      <c r="BK1231" s="1"/>
      <c r="BL1231" s="1"/>
      <c r="BM1231" s="1" t="s">
        <v>21674</v>
      </c>
      <c r="BN1231" s="1">
        <v>18</v>
      </c>
      <c r="BO1231" s="1"/>
      <c r="BP1231" s="1" t="str">
        <f>HYPERLINK("https://nconnect.nicmar.ac.in/storage/profile/ProfilePhoto_P25704026_986524.jpg","Download")</f>
        <v>0</v>
      </c>
      <c r="BQ1231" s="3"/>
      <c r="BR1231" s="3"/>
    </row>
    <row r="1232" spans="1:70">
      <c r="A1232" s="1" t="s">
        <v>967</v>
      </c>
      <c r="B1232" s="1" t="s">
        <v>1269</v>
      </c>
      <c r="C1232" s="1" t="s">
        <v>21675</v>
      </c>
      <c r="D1232" s="1" t="s">
        <v>3958</v>
      </c>
      <c r="E1232" s="1" t="s">
        <v>110</v>
      </c>
      <c r="F1232" s="1" t="s">
        <v>21676</v>
      </c>
      <c r="G1232" s="1" t="s">
        <v>21677</v>
      </c>
      <c r="H1232" s="1" t="s">
        <v>21678</v>
      </c>
      <c r="I1232" s="1" t="s">
        <v>21679</v>
      </c>
      <c r="J1232" s="1">
        <v>9370219155</v>
      </c>
      <c r="K1232" s="1" t="s">
        <v>148</v>
      </c>
      <c r="L1232" s="1" t="s">
        <v>2350</v>
      </c>
      <c r="M1232" s="1" t="s">
        <v>81</v>
      </c>
      <c r="N1232" s="1" t="s">
        <v>8131</v>
      </c>
      <c r="O1232" s="1"/>
      <c r="P1232" s="1" t="s">
        <v>1298</v>
      </c>
      <c r="Q1232" s="1" t="s">
        <v>21680</v>
      </c>
      <c r="R1232" s="1" t="s">
        <v>21681</v>
      </c>
      <c r="S1232" s="1">
        <v>9822210464</v>
      </c>
      <c r="T1232" s="1" t="s">
        <v>87</v>
      </c>
      <c r="U1232" s="1" t="s">
        <v>21682</v>
      </c>
      <c r="V1232" s="1">
        <v>7387386748</v>
      </c>
      <c r="W1232" s="1" t="s">
        <v>13969</v>
      </c>
      <c r="X1232" s="1" t="s">
        <v>21683</v>
      </c>
      <c r="Y1232" s="1" t="s">
        <v>523</v>
      </c>
      <c r="Z1232" s="1" t="s">
        <v>92</v>
      </c>
      <c r="AA1232" s="1" t="s">
        <v>21683</v>
      </c>
      <c r="AB1232" s="1" t="s">
        <v>523</v>
      </c>
      <c r="AC1232" s="1" t="s">
        <v>92</v>
      </c>
      <c r="AD1232" s="1" t="s">
        <v>93</v>
      </c>
      <c r="AE1232" s="1" t="s">
        <v>93</v>
      </c>
      <c r="AF1232" s="1" t="s">
        <v>21684</v>
      </c>
      <c r="AG1232" s="1" t="s">
        <v>544</v>
      </c>
      <c r="AH1232" s="1" t="s">
        <v>165</v>
      </c>
      <c r="AI1232" s="1" t="s">
        <v>281</v>
      </c>
      <c r="AJ1232" s="1">
        <v>89.6</v>
      </c>
      <c r="AK1232" s="1">
        <v>0</v>
      </c>
      <c r="AL1232" s="1" t="s">
        <v>21685</v>
      </c>
      <c r="AM1232" s="1" t="s">
        <v>544</v>
      </c>
      <c r="AN1232" s="1" t="s">
        <v>169</v>
      </c>
      <c r="AO1232" s="1" t="s">
        <v>173</v>
      </c>
      <c r="AP1232" s="1">
        <v>68.77</v>
      </c>
      <c r="AQ1232" s="1">
        <v>0</v>
      </c>
      <c r="AR1232" s="1"/>
      <c r="AS1232" s="1"/>
      <c r="AT1232" s="1"/>
      <c r="AU1232" s="1"/>
      <c r="AV1232" s="1"/>
      <c r="AW1232" s="1"/>
      <c r="AX1232" s="1" t="s">
        <v>21686</v>
      </c>
      <c r="AY1232" s="1" t="s">
        <v>21687</v>
      </c>
      <c r="AZ1232" s="1" t="s">
        <v>363</v>
      </c>
      <c r="BA1232" s="1" t="s">
        <v>1408</v>
      </c>
      <c r="BB1232" s="1">
        <v>62.83</v>
      </c>
      <c r="BC1232" s="1">
        <v>7.06</v>
      </c>
      <c r="BD1232" s="1"/>
      <c r="BE1232" s="1"/>
      <c r="BF1232" s="1"/>
      <c r="BG1232" s="1"/>
      <c r="BH1232" s="1"/>
      <c r="BI1232" s="1"/>
      <c r="BJ1232" s="1" t="s">
        <v>21688</v>
      </c>
      <c r="BK1232" s="1"/>
      <c r="BL1232" s="1"/>
      <c r="BM1232" s="1" t="s">
        <v>21689</v>
      </c>
      <c r="BN1232" s="1">
        <v>33</v>
      </c>
      <c r="BO1232" s="1"/>
      <c r="BP1232" s="1" t="str">
        <f>HYPERLINK("https://nconnect.nicmar.ac.in/storage/profile/ProfilePhoto_P25704027_845267.jpg","Download")</f>
        <v>0</v>
      </c>
      <c r="BQ1232" s="3"/>
      <c r="BR1232" s="3"/>
    </row>
    <row r="1233" spans="1:70">
      <c r="A1233" s="1" t="s">
        <v>967</v>
      </c>
      <c r="B1233" s="1" t="s">
        <v>1269</v>
      </c>
      <c r="C1233" s="1" t="s">
        <v>21690</v>
      </c>
      <c r="D1233" s="1" t="s">
        <v>21691</v>
      </c>
      <c r="E1233" s="1" t="s">
        <v>181</v>
      </c>
      <c r="F1233" s="1" t="s">
        <v>21692</v>
      </c>
      <c r="G1233" s="1" t="s">
        <v>21693</v>
      </c>
      <c r="H1233" s="1" t="s">
        <v>21694</v>
      </c>
      <c r="I1233" s="1" t="s">
        <v>21695</v>
      </c>
      <c r="J1233" s="1">
        <v>8850959089</v>
      </c>
      <c r="K1233" s="1" t="s">
        <v>79</v>
      </c>
      <c r="L1233" s="1" t="s">
        <v>1785</v>
      </c>
      <c r="M1233" s="1" t="s">
        <v>81</v>
      </c>
      <c r="N1233" s="1" t="s">
        <v>1765</v>
      </c>
      <c r="O1233" s="1"/>
      <c r="P1233" s="1" t="s">
        <v>1298</v>
      </c>
      <c r="Q1233" s="1" t="s">
        <v>21696</v>
      </c>
      <c r="R1233" s="1" t="s">
        <v>181</v>
      </c>
      <c r="S1233" s="1">
        <v>9004675329</v>
      </c>
      <c r="T1233" s="1" t="s">
        <v>496</v>
      </c>
      <c r="U1233" s="1" t="s">
        <v>21697</v>
      </c>
      <c r="V1233" s="1">
        <v>7498205772</v>
      </c>
      <c r="W1233" s="1" t="s">
        <v>156</v>
      </c>
      <c r="X1233" s="1" t="s">
        <v>21698</v>
      </c>
      <c r="Y1233" s="1" t="s">
        <v>5064</v>
      </c>
      <c r="Z1233" s="1" t="s">
        <v>92</v>
      </c>
      <c r="AA1233" s="1" t="s">
        <v>21698</v>
      </c>
      <c r="AB1233" s="1" t="s">
        <v>5064</v>
      </c>
      <c r="AC1233" s="1" t="s">
        <v>92</v>
      </c>
      <c r="AD1233" s="1" t="s">
        <v>93</v>
      </c>
      <c r="AE1233" s="1" t="s">
        <v>93</v>
      </c>
      <c r="AF1233" s="1" t="s">
        <v>17832</v>
      </c>
      <c r="AG1233" s="1" t="s">
        <v>939</v>
      </c>
      <c r="AH1233" s="1" t="s">
        <v>1307</v>
      </c>
      <c r="AI1233" s="1" t="s">
        <v>308</v>
      </c>
      <c r="AJ1233" s="1">
        <v>56.6</v>
      </c>
      <c r="AK1233" s="1">
        <v>0</v>
      </c>
      <c r="AL1233" s="1" t="s">
        <v>21699</v>
      </c>
      <c r="AM1233" s="1" t="s">
        <v>21700</v>
      </c>
      <c r="AN1233" s="1" t="s">
        <v>310</v>
      </c>
      <c r="AO1233" s="1" t="s">
        <v>1712</v>
      </c>
      <c r="AP1233" s="1">
        <v>71.5</v>
      </c>
      <c r="AQ1233" s="1"/>
      <c r="AR1233" s="1"/>
      <c r="AS1233" s="1"/>
      <c r="AT1233" s="1"/>
      <c r="AU1233" s="1"/>
      <c r="AV1233" s="1"/>
      <c r="AW1233" s="1"/>
      <c r="AX1233" s="1" t="s">
        <v>1024</v>
      </c>
      <c r="AY1233" s="1" t="s">
        <v>21701</v>
      </c>
      <c r="AZ1233" s="1" t="s">
        <v>897</v>
      </c>
      <c r="BA1233" s="1" t="s">
        <v>1714</v>
      </c>
      <c r="BB1233" s="1">
        <v>61.52</v>
      </c>
      <c r="BC1233" s="1">
        <v>6.75</v>
      </c>
      <c r="BD1233" s="1"/>
      <c r="BE1233" s="1"/>
      <c r="BF1233" s="1"/>
      <c r="BG1233" s="1"/>
      <c r="BH1233" s="1"/>
      <c r="BI1233" s="1"/>
      <c r="BJ1233" s="1" t="s">
        <v>255</v>
      </c>
      <c r="BK1233" s="1"/>
      <c r="BL1233" s="1"/>
      <c r="BM1233" s="1" t="s">
        <v>21702</v>
      </c>
      <c r="BN1233" s="1">
        <v>4</v>
      </c>
      <c r="BO1233" s="1"/>
      <c r="BP1233" s="1" t="str">
        <f>HYPERLINK("https://nconnect.nicmar.ac.in/storage/profile/ProfilePhoto_P25704028_759214.jpg","Download")</f>
        <v>0</v>
      </c>
      <c r="BQ1233" s="3"/>
      <c r="BR1233" s="3"/>
    </row>
    <row r="1234" spans="1:70">
      <c r="A1234" s="1" t="s">
        <v>967</v>
      </c>
      <c r="B1234" s="1" t="s">
        <v>1269</v>
      </c>
      <c r="C1234" s="1" t="s">
        <v>21703</v>
      </c>
      <c r="D1234" s="1" t="s">
        <v>2149</v>
      </c>
      <c r="E1234" s="1" t="s">
        <v>1032</v>
      </c>
      <c r="F1234" s="1" t="s">
        <v>7976</v>
      </c>
      <c r="G1234" s="1" t="s">
        <v>21704</v>
      </c>
      <c r="H1234" s="1" t="s">
        <v>21705</v>
      </c>
      <c r="I1234" s="1" t="s">
        <v>21706</v>
      </c>
      <c r="J1234" s="1">
        <v>9604960952</v>
      </c>
      <c r="K1234" s="1" t="s">
        <v>79</v>
      </c>
      <c r="L1234" s="1" t="s">
        <v>14577</v>
      </c>
      <c r="M1234" s="1" t="s">
        <v>81</v>
      </c>
      <c r="N1234" s="1" t="s">
        <v>5634</v>
      </c>
      <c r="O1234" s="1"/>
      <c r="P1234" s="1" t="s">
        <v>1298</v>
      </c>
      <c r="Q1234" s="1" t="s">
        <v>21707</v>
      </c>
      <c r="R1234" s="1" t="s">
        <v>1032</v>
      </c>
      <c r="S1234" s="1">
        <v>9850013087</v>
      </c>
      <c r="T1234" s="1" t="s">
        <v>154</v>
      </c>
      <c r="U1234" s="1" t="s">
        <v>1071</v>
      </c>
      <c r="V1234" s="1">
        <v>9970201464</v>
      </c>
      <c r="W1234" s="1" t="s">
        <v>156</v>
      </c>
      <c r="X1234" s="1" t="s">
        <v>21708</v>
      </c>
      <c r="Y1234" s="1" t="s">
        <v>191</v>
      </c>
      <c r="Z1234" s="1" t="s">
        <v>92</v>
      </c>
      <c r="AA1234" s="1" t="s">
        <v>21709</v>
      </c>
      <c r="AB1234" s="1" t="s">
        <v>5915</v>
      </c>
      <c r="AC1234" s="1" t="s">
        <v>92</v>
      </c>
      <c r="AD1234" s="1" t="s">
        <v>93</v>
      </c>
      <c r="AE1234" s="1" t="s">
        <v>93</v>
      </c>
      <c r="AF1234" s="1" t="s">
        <v>21710</v>
      </c>
      <c r="AG1234" s="1" t="s">
        <v>160</v>
      </c>
      <c r="AH1234" s="1" t="s">
        <v>162</v>
      </c>
      <c r="AI1234" s="1" t="s">
        <v>165</v>
      </c>
      <c r="AJ1234" s="1">
        <v>85.6</v>
      </c>
      <c r="AK1234" s="1"/>
      <c r="AL1234" s="1" t="s">
        <v>21711</v>
      </c>
      <c r="AM1234" s="1" t="s">
        <v>160</v>
      </c>
      <c r="AN1234" s="1" t="s">
        <v>383</v>
      </c>
      <c r="AO1234" s="1" t="s">
        <v>433</v>
      </c>
      <c r="AP1234" s="1">
        <v>60</v>
      </c>
      <c r="AQ1234" s="1"/>
      <c r="AR1234" s="1"/>
      <c r="AS1234" s="1"/>
      <c r="AT1234" s="1"/>
      <c r="AU1234" s="1"/>
      <c r="AV1234" s="1"/>
      <c r="AW1234" s="1"/>
      <c r="AX1234" s="1" t="s">
        <v>361</v>
      </c>
      <c r="AY1234" s="1" t="s">
        <v>21712</v>
      </c>
      <c r="AZ1234" s="1" t="s">
        <v>310</v>
      </c>
      <c r="BA1234" s="1" t="s">
        <v>3158</v>
      </c>
      <c r="BB1234" s="1">
        <v>61</v>
      </c>
      <c r="BC1234" s="1">
        <v>6.85</v>
      </c>
      <c r="BD1234" s="1"/>
      <c r="BE1234" s="1"/>
      <c r="BF1234" s="1"/>
      <c r="BG1234" s="1"/>
      <c r="BH1234" s="1"/>
      <c r="BI1234" s="1"/>
      <c r="BJ1234" s="1" t="s">
        <v>21713</v>
      </c>
      <c r="BK1234" s="1" t="s">
        <v>21714</v>
      </c>
      <c r="BL1234" s="1" t="s">
        <v>1919</v>
      </c>
      <c r="BM1234" s="1"/>
      <c r="BN1234" s="1"/>
      <c r="BO1234" s="1"/>
      <c r="BP1234" s="1" t="str">
        <f>HYPERLINK("https://nconnect.nicmar.ac.in/storage/profile/ProfilePhoto_P25704029_425917.jpg","Download")</f>
        <v>0</v>
      </c>
      <c r="BQ1234" s="3"/>
      <c r="BR1234" s="3"/>
    </row>
    <row r="1235" spans="1:70">
      <c r="A1235" s="1" t="s">
        <v>967</v>
      </c>
      <c r="B1235" s="1" t="s">
        <v>1269</v>
      </c>
      <c r="C1235" s="1" t="s">
        <v>21715</v>
      </c>
      <c r="D1235" s="1" t="s">
        <v>18405</v>
      </c>
      <c r="E1235" s="1" t="s">
        <v>2127</v>
      </c>
      <c r="F1235" s="1" t="s">
        <v>21716</v>
      </c>
      <c r="G1235" s="1" t="s">
        <v>21717</v>
      </c>
      <c r="H1235" s="1" t="s">
        <v>21718</v>
      </c>
      <c r="I1235" s="1" t="s">
        <v>21719</v>
      </c>
      <c r="J1235" s="1">
        <v>9022158429</v>
      </c>
      <c r="K1235" s="1" t="s">
        <v>148</v>
      </c>
      <c r="L1235" s="1" t="s">
        <v>7785</v>
      </c>
      <c r="M1235" s="1" t="s">
        <v>81</v>
      </c>
      <c r="N1235" s="1" t="s">
        <v>3187</v>
      </c>
      <c r="O1235" s="1"/>
      <c r="P1235" s="1" t="s">
        <v>1462</v>
      </c>
      <c r="Q1235" s="1" t="s">
        <v>21720</v>
      </c>
      <c r="R1235" s="1" t="s">
        <v>21721</v>
      </c>
      <c r="S1235" s="1">
        <v>9881515251</v>
      </c>
      <c r="T1235" s="1" t="s">
        <v>21722</v>
      </c>
      <c r="U1235" s="1" t="s">
        <v>21723</v>
      </c>
      <c r="V1235" s="1">
        <v>8888180179</v>
      </c>
      <c r="W1235" s="1" t="s">
        <v>156</v>
      </c>
      <c r="X1235" s="1" t="s">
        <v>21724</v>
      </c>
      <c r="Y1235" s="1" t="s">
        <v>5819</v>
      </c>
      <c r="Z1235" s="1" t="s">
        <v>92</v>
      </c>
      <c r="AA1235" s="1" t="s">
        <v>21724</v>
      </c>
      <c r="AB1235" s="1" t="s">
        <v>5819</v>
      </c>
      <c r="AC1235" s="1" t="s">
        <v>92</v>
      </c>
      <c r="AD1235" s="1" t="s">
        <v>93</v>
      </c>
      <c r="AE1235" s="1" t="s">
        <v>93</v>
      </c>
      <c r="AF1235" s="1" t="s">
        <v>21725</v>
      </c>
      <c r="AG1235" s="1" t="s">
        <v>12246</v>
      </c>
      <c r="AH1235" s="1" t="s">
        <v>479</v>
      </c>
      <c r="AI1235" s="1" t="s">
        <v>166</v>
      </c>
      <c r="AJ1235" s="1">
        <v>77</v>
      </c>
      <c r="AK1235" s="1"/>
      <c r="AL1235" s="1" t="s">
        <v>12556</v>
      </c>
      <c r="AM1235" s="1" t="s">
        <v>544</v>
      </c>
      <c r="AN1235" s="1" t="s">
        <v>169</v>
      </c>
      <c r="AO1235" s="1" t="s">
        <v>360</v>
      </c>
      <c r="AP1235" s="1">
        <v>65.08</v>
      </c>
      <c r="AQ1235" s="1"/>
      <c r="AR1235" s="1"/>
      <c r="AS1235" s="1"/>
      <c r="AT1235" s="1"/>
      <c r="AU1235" s="1"/>
      <c r="AV1235" s="1"/>
      <c r="AW1235" s="1"/>
      <c r="AX1235" s="1" t="s">
        <v>361</v>
      </c>
      <c r="AY1235" s="1" t="s">
        <v>21726</v>
      </c>
      <c r="AZ1235" s="1" t="s">
        <v>2016</v>
      </c>
      <c r="BA1235" s="1" t="s">
        <v>1714</v>
      </c>
      <c r="BB1235" s="1">
        <v>60.6</v>
      </c>
      <c r="BC1235" s="1">
        <v>6.81</v>
      </c>
      <c r="BD1235" s="1"/>
      <c r="BE1235" s="1"/>
      <c r="BF1235" s="1"/>
      <c r="BG1235" s="1"/>
      <c r="BH1235" s="1"/>
      <c r="BI1235" s="1"/>
      <c r="BJ1235" s="1" t="s">
        <v>255</v>
      </c>
      <c r="BK1235" s="1"/>
      <c r="BL1235" s="1"/>
      <c r="BM1235" s="1" t="s">
        <v>21727</v>
      </c>
      <c r="BN1235" s="1">
        <v>26</v>
      </c>
      <c r="BO1235" s="1"/>
      <c r="BP1235" s="1" t="str">
        <f>HYPERLINK("https://nconnect.nicmar.ac.in/storage/profile/ProfilePhoto_P25704030_279351.jpg","Download")</f>
        <v>0</v>
      </c>
      <c r="BQ1235" s="3"/>
      <c r="BR1235" s="3"/>
    </row>
    <row r="1236" spans="1:70">
      <c r="A1236" s="1" t="s">
        <v>967</v>
      </c>
      <c r="B1236" s="1" t="s">
        <v>1269</v>
      </c>
      <c r="C1236" s="1" t="s">
        <v>21728</v>
      </c>
      <c r="D1236" s="1" t="s">
        <v>21729</v>
      </c>
      <c r="E1236" s="1" t="s">
        <v>5072</v>
      </c>
      <c r="F1236" s="1" t="s">
        <v>13270</v>
      </c>
      <c r="G1236" s="1" t="s">
        <v>21730</v>
      </c>
      <c r="H1236" s="1" t="s">
        <v>21731</v>
      </c>
      <c r="I1236" s="1" t="s">
        <v>21732</v>
      </c>
      <c r="J1236" s="1">
        <v>7045705702</v>
      </c>
      <c r="K1236" s="1" t="s">
        <v>79</v>
      </c>
      <c r="L1236" s="1" t="s">
        <v>5968</v>
      </c>
      <c r="M1236" s="1" t="s">
        <v>81</v>
      </c>
      <c r="N1236" s="1" t="s">
        <v>9154</v>
      </c>
      <c r="O1236" s="1"/>
      <c r="P1236" s="1" t="s">
        <v>1323</v>
      </c>
      <c r="Q1236" s="1" t="s">
        <v>21733</v>
      </c>
      <c r="R1236" s="1" t="s">
        <v>5072</v>
      </c>
      <c r="S1236" s="1">
        <v>9892672860</v>
      </c>
      <c r="T1236" s="1" t="s">
        <v>763</v>
      </c>
      <c r="U1236" s="1" t="s">
        <v>1071</v>
      </c>
      <c r="V1236" s="1">
        <v>9967691349</v>
      </c>
      <c r="W1236" s="1" t="s">
        <v>156</v>
      </c>
      <c r="X1236" s="1" t="s">
        <v>21734</v>
      </c>
      <c r="Y1236" s="1" t="s">
        <v>1018</v>
      </c>
      <c r="Z1236" s="1" t="s">
        <v>92</v>
      </c>
      <c r="AA1236" s="1" t="s">
        <v>21735</v>
      </c>
      <c r="AB1236" s="1" t="s">
        <v>1018</v>
      </c>
      <c r="AC1236" s="1" t="s">
        <v>92</v>
      </c>
      <c r="AD1236" s="1" t="s">
        <v>93</v>
      </c>
      <c r="AE1236" s="1" t="s">
        <v>93</v>
      </c>
      <c r="AF1236" s="1" t="s">
        <v>21736</v>
      </c>
      <c r="AG1236" s="1" t="s">
        <v>21737</v>
      </c>
      <c r="AH1236" s="1" t="s">
        <v>162</v>
      </c>
      <c r="AI1236" s="1" t="s">
        <v>678</v>
      </c>
      <c r="AJ1236" s="1">
        <v>73.4</v>
      </c>
      <c r="AK1236" s="1"/>
      <c r="AL1236" s="1" t="s">
        <v>21738</v>
      </c>
      <c r="AM1236" s="1" t="s">
        <v>476</v>
      </c>
      <c r="AN1236" s="1" t="s">
        <v>101</v>
      </c>
      <c r="AO1236" s="1" t="s">
        <v>198</v>
      </c>
      <c r="AP1236" s="1">
        <v>58.46</v>
      </c>
      <c r="AQ1236" s="1"/>
      <c r="AR1236" s="1"/>
      <c r="AS1236" s="1"/>
      <c r="AT1236" s="1"/>
      <c r="AU1236" s="1"/>
      <c r="AV1236" s="1"/>
      <c r="AW1236" s="1"/>
      <c r="AX1236" s="1" t="s">
        <v>253</v>
      </c>
      <c r="AY1236" s="1" t="s">
        <v>21739</v>
      </c>
      <c r="AZ1236" s="1" t="s">
        <v>310</v>
      </c>
      <c r="BA1236" s="1" t="s">
        <v>1361</v>
      </c>
      <c r="BB1236" s="1">
        <v>59.65</v>
      </c>
      <c r="BC1236" s="1">
        <v>6.44</v>
      </c>
      <c r="BD1236" s="1"/>
      <c r="BE1236" s="1"/>
      <c r="BF1236" s="1"/>
      <c r="BG1236" s="1"/>
      <c r="BH1236" s="1"/>
      <c r="BI1236" s="1"/>
      <c r="BJ1236" s="1" t="s">
        <v>21740</v>
      </c>
      <c r="BK1236" s="1"/>
      <c r="BL1236" s="1"/>
      <c r="BM1236" s="1" t="s">
        <v>21741</v>
      </c>
      <c r="BN1236" s="1">
        <v>18</v>
      </c>
      <c r="BO1236" s="1"/>
      <c r="BP1236" s="1" t="str">
        <f>HYPERLINK("https://nconnect.nicmar.ac.in/storage/profile/ProfilePhoto_P25704032_987163.jpg","Download")</f>
        <v>0</v>
      </c>
      <c r="BQ1236" s="3"/>
      <c r="BR1236" s="3"/>
    </row>
    <row r="1237" spans="1:70">
      <c r="A1237" s="1" t="s">
        <v>967</v>
      </c>
      <c r="B1237" s="1" t="s">
        <v>1269</v>
      </c>
      <c r="C1237" s="1" t="s">
        <v>21742</v>
      </c>
      <c r="D1237" s="1" t="s">
        <v>4014</v>
      </c>
      <c r="E1237" s="1" t="s">
        <v>1455</v>
      </c>
      <c r="F1237" s="1" t="s">
        <v>21743</v>
      </c>
      <c r="G1237" s="1" t="s">
        <v>21744</v>
      </c>
      <c r="H1237" s="1" t="s">
        <v>21745</v>
      </c>
      <c r="I1237" s="1" t="s">
        <v>21746</v>
      </c>
      <c r="J1237" s="1">
        <v>8080197980</v>
      </c>
      <c r="K1237" s="1" t="s">
        <v>148</v>
      </c>
      <c r="L1237" s="1" t="s">
        <v>13553</v>
      </c>
      <c r="M1237" s="1" t="s">
        <v>81</v>
      </c>
      <c r="N1237" s="1" t="s">
        <v>6195</v>
      </c>
      <c r="O1237" s="1"/>
      <c r="P1237" s="1" t="s">
        <v>1766</v>
      </c>
      <c r="Q1237" s="1" t="s">
        <v>21747</v>
      </c>
      <c r="R1237" s="1" t="s">
        <v>1455</v>
      </c>
      <c r="S1237" s="1">
        <v>9423425141</v>
      </c>
      <c r="T1237" s="1" t="s">
        <v>13760</v>
      </c>
      <c r="U1237" s="1" t="s">
        <v>12950</v>
      </c>
      <c r="V1237" s="1">
        <v>7774996646</v>
      </c>
      <c r="W1237" s="1" t="s">
        <v>13760</v>
      </c>
      <c r="X1237" s="1" t="s">
        <v>21748</v>
      </c>
      <c r="Y1237" s="1" t="s">
        <v>5819</v>
      </c>
      <c r="Z1237" s="1" t="s">
        <v>92</v>
      </c>
      <c r="AA1237" s="1" t="s">
        <v>21748</v>
      </c>
      <c r="AB1237" s="1" t="s">
        <v>5819</v>
      </c>
      <c r="AC1237" s="1" t="s">
        <v>92</v>
      </c>
      <c r="AD1237" s="1" t="s">
        <v>93</v>
      </c>
      <c r="AE1237" s="1" t="s">
        <v>93</v>
      </c>
      <c r="AF1237" s="1" t="s">
        <v>21749</v>
      </c>
      <c r="AG1237" s="1" t="s">
        <v>21750</v>
      </c>
      <c r="AH1237" s="1" t="s">
        <v>162</v>
      </c>
      <c r="AI1237" s="1" t="s">
        <v>479</v>
      </c>
      <c r="AJ1237" s="1">
        <v>86.4</v>
      </c>
      <c r="AK1237" s="1">
        <v>0</v>
      </c>
      <c r="AL1237" s="1" t="s">
        <v>21751</v>
      </c>
      <c r="AM1237" s="1" t="s">
        <v>21750</v>
      </c>
      <c r="AN1237" s="1" t="s">
        <v>101</v>
      </c>
      <c r="AO1237" s="1" t="s">
        <v>308</v>
      </c>
      <c r="AP1237" s="1">
        <v>64.31</v>
      </c>
      <c r="AQ1237" s="1">
        <v>0</v>
      </c>
      <c r="AR1237" s="1"/>
      <c r="AS1237" s="1"/>
      <c r="AT1237" s="1"/>
      <c r="AU1237" s="1"/>
      <c r="AV1237" s="1"/>
      <c r="AW1237" s="1"/>
      <c r="AX1237" s="1" t="s">
        <v>361</v>
      </c>
      <c r="AY1237" s="1" t="s">
        <v>21752</v>
      </c>
      <c r="AZ1237" s="1" t="s">
        <v>920</v>
      </c>
      <c r="BA1237" s="1" t="s">
        <v>1714</v>
      </c>
      <c r="BB1237" s="1">
        <v>71</v>
      </c>
      <c r="BC1237" s="1">
        <v>7.85</v>
      </c>
      <c r="BD1237" s="1"/>
      <c r="BE1237" s="1"/>
      <c r="BF1237" s="1"/>
      <c r="BG1237" s="1"/>
      <c r="BH1237" s="1"/>
      <c r="BI1237" s="1"/>
      <c r="BJ1237" s="1" t="s">
        <v>21753</v>
      </c>
      <c r="BK1237" s="1"/>
      <c r="BL1237" s="1"/>
      <c r="BM1237" s="1" t="s">
        <v>21754</v>
      </c>
      <c r="BN1237" s="1">
        <v>21</v>
      </c>
      <c r="BO1237" s="1"/>
      <c r="BP1237" s="1" t="str">
        <f>HYPERLINK("https://nconnect.nicmar.ac.in/storage/profile/ProfilePhoto_P25704033_491638.jpg","Download")</f>
        <v>0</v>
      </c>
      <c r="BQ1237" s="3"/>
      <c r="BR1237" s="3"/>
    </row>
    <row r="1238" spans="1:70">
      <c r="A1238" s="1" t="s">
        <v>967</v>
      </c>
      <c r="B1238" s="1" t="s">
        <v>1269</v>
      </c>
      <c r="C1238" s="1" t="s">
        <v>21755</v>
      </c>
      <c r="D1238" s="1" t="s">
        <v>21756</v>
      </c>
      <c r="E1238" s="1" t="s">
        <v>21757</v>
      </c>
      <c r="F1238" s="1" t="s">
        <v>21758</v>
      </c>
      <c r="G1238" s="1" t="s">
        <v>21759</v>
      </c>
      <c r="H1238" s="1" t="s">
        <v>21760</v>
      </c>
      <c r="I1238" s="1" t="s">
        <v>21761</v>
      </c>
      <c r="J1238" s="1">
        <v>9730746349</v>
      </c>
      <c r="K1238" s="1" t="s">
        <v>148</v>
      </c>
      <c r="L1238" s="1" t="s">
        <v>21762</v>
      </c>
      <c r="M1238" s="1" t="s">
        <v>81</v>
      </c>
      <c r="N1238" s="1" t="s">
        <v>2008</v>
      </c>
      <c r="O1238" s="1"/>
      <c r="P1238" s="1" t="s">
        <v>1278</v>
      </c>
      <c r="Q1238" s="1" t="s">
        <v>21763</v>
      </c>
      <c r="R1238" s="1" t="s">
        <v>21764</v>
      </c>
      <c r="S1238" s="1">
        <v>9561522155</v>
      </c>
      <c r="T1238" s="1" t="s">
        <v>21765</v>
      </c>
      <c r="U1238" s="1" t="s">
        <v>21766</v>
      </c>
      <c r="V1238" s="1">
        <v>8390276010</v>
      </c>
      <c r="W1238" s="1" t="s">
        <v>89</v>
      </c>
      <c r="X1238" s="1" t="s">
        <v>21767</v>
      </c>
      <c r="Y1238" s="1" t="s">
        <v>567</v>
      </c>
      <c r="Z1238" s="1" t="s">
        <v>92</v>
      </c>
      <c r="AA1238" s="1" t="s">
        <v>21767</v>
      </c>
      <c r="AB1238" s="1" t="s">
        <v>567</v>
      </c>
      <c r="AC1238" s="1" t="s">
        <v>92</v>
      </c>
      <c r="AD1238" s="1" t="s">
        <v>93</v>
      </c>
      <c r="AE1238" s="1" t="s">
        <v>93</v>
      </c>
      <c r="AF1238" s="1" t="s">
        <v>21768</v>
      </c>
      <c r="AG1238" s="1" t="s">
        <v>160</v>
      </c>
      <c r="AH1238" s="1" t="s">
        <v>161</v>
      </c>
      <c r="AI1238" s="1" t="s">
        <v>479</v>
      </c>
      <c r="AJ1238" s="1">
        <v>89.6</v>
      </c>
      <c r="AK1238" s="1">
        <v>0</v>
      </c>
      <c r="AL1238" s="1" t="s">
        <v>21769</v>
      </c>
      <c r="AM1238" s="1" t="s">
        <v>160</v>
      </c>
      <c r="AN1238" s="1" t="s">
        <v>165</v>
      </c>
      <c r="AO1238" s="1" t="s">
        <v>198</v>
      </c>
      <c r="AP1238" s="1">
        <v>75.38</v>
      </c>
      <c r="AQ1238" s="1">
        <v>0</v>
      </c>
      <c r="AR1238" s="1"/>
      <c r="AS1238" s="1"/>
      <c r="AT1238" s="1"/>
      <c r="AU1238" s="1"/>
      <c r="AV1238" s="1"/>
      <c r="AW1238" s="1"/>
      <c r="AX1238" s="1" t="s">
        <v>361</v>
      </c>
      <c r="AY1238" s="1" t="s">
        <v>21770</v>
      </c>
      <c r="AZ1238" s="1" t="s">
        <v>363</v>
      </c>
      <c r="BA1238" s="1" t="s">
        <v>1408</v>
      </c>
      <c r="BB1238" s="1">
        <v>78.68</v>
      </c>
      <c r="BC1238" s="1">
        <v>8.64</v>
      </c>
      <c r="BD1238" s="1"/>
      <c r="BE1238" s="1"/>
      <c r="BF1238" s="1"/>
      <c r="BG1238" s="1"/>
      <c r="BH1238" s="1"/>
      <c r="BI1238" s="1"/>
      <c r="BJ1238" s="1" t="s">
        <v>21771</v>
      </c>
      <c r="BK1238" s="1"/>
      <c r="BL1238" s="1"/>
      <c r="BM1238" s="1" t="s">
        <v>21772</v>
      </c>
      <c r="BN1238" s="1">
        <v>21</v>
      </c>
      <c r="BO1238" s="1" t="s">
        <v>21773</v>
      </c>
      <c r="BP1238" s="1" t="str">
        <f>HYPERLINK("https://nconnect.nicmar.ac.in/storage/profile/ProfilePhoto_P25704034_924785.jpg","Download")</f>
        <v>0</v>
      </c>
      <c r="BQ1238" s="3"/>
      <c r="BR1238" s="3"/>
    </row>
    <row r="1239" spans="1:70">
      <c r="A1239" s="1" t="s">
        <v>967</v>
      </c>
      <c r="B1239" s="1" t="s">
        <v>1269</v>
      </c>
      <c r="C1239" s="1" t="s">
        <v>21774</v>
      </c>
      <c r="D1239" s="1" t="s">
        <v>793</v>
      </c>
      <c r="E1239" s="1" t="s">
        <v>3244</v>
      </c>
      <c r="F1239" s="1" t="s">
        <v>21775</v>
      </c>
      <c r="G1239" s="1" t="s">
        <v>21776</v>
      </c>
      <c r="H1239" s="1" t="s">
        <v>21777</v>
      </c>
      <c r="I1239" s="1" t="s">
        <v>21778</v>
      </c>
      <c r="J1239" s="1">
        <v>7719001252</v>
      </c>
      <c r="K1239" s="1" t="s">
        <v>79</v>
      </c>
      <c r="L1239" s="1" t="s">
        <v>9853</v>
      </c>
      <c r="M1239" s="1" t="s">
        <v>81</v>
      </c>
      <c r="N1239" s="1" t="s">
        <v>1618</v>
      </c>
      <c r="O1239" s="1"/>
      <c r="P1239" s="1" t="s">
        <v>1298</v>
      </c>
      <c r="Q1239" s="1" t="s">
        <v>21779</v>
      </c>
      <c r="R1239" s="1" t="s">
        <v>21780</v>
      </c>
      <c r="S1239" s="1">
        <v>9011333951</v>
      </c>
      <c r="T1239" s="1" t="s">
        <v>154</v>
      </c>
      <c r="U1239" s="1" t="s">
        <v>21781</v>
      </c>
      <c r="V1239" s="1">
        <v>9172429639</v>
      </c>
      <c r="W1239" s="1" t="s">
        <v>89</v>
      </c>
      <c r="X1239" s="1" t="s">
        <v>21782</v>
      </c>
      <c r="Y1239" s="1" t="s">
        <v>191</v>
      </c>
      <c r="Z1239" s="1" t="s">
        <v>92</v>
      </c>
      <c r="AA1239" s="1" t="s">
        <v>21782</v>
      </c>
      <c r="AB1239" s="1" t="s">
        <v>191</v>
      </c>
      <c r="AC1239" s="1" t="s">
        <v>92</v>
      </c>
      <c r="AD1239" s="1" t="s">
        <v>93</v>
      </c>
      <c r="AE1239" s="1" t="s">
        <v>93</v>
      </c>
      <c r="AF1239" s="1" t="s">
        <v>21783</v>
      </c>
      <c r="AG1239" s="1" t="s">
        <v>21784</v>
      </c>
      <c r="AH1239" s="1" t="s">
        <v>161</v>
      </c>
      <c r="AI1239" s="1" t="s">
        <v>456</v>
      </c>
      <c r="AJ1239" s="1">
        <v>89</v>
      </c>
      <c r="AK1239" s="1">
        <v>0</v>
      </c>
      <c r="AL1239" s="1" t="s">
        <v>21785</v>
      </c>
      <c r="AM1239" s="1" t="s">
        <v>21784</v>
      </c>
      <c r="AN1239" s="1" t="s">
        <v>165</v>
      </c>
      <c r="AO1239" s="1" t="s">
        <v>457</v>
      </c>
      <c r="AP1239" s="1">
        <v>63.23</v>
      </c>
      <c r="AQ1239" s="1">
        <v>0</v>
      </c>
      <c r="AR1239" s="1"/>
      <c r="AS1239" s="1"/>
      <c r="AT1239" s="1"/>
      <c r="AU1239" s="1"/>
      <c r="AV1239" s="1"/>
      <c r="AW1239" s="1"/>
      <c r="AX1239" s="1" t="s">
        <v>361</v>
      </c>
      <c r="AY1239" s="1" t="s">
        <v>21770</v>
      </c>
      <c r="AZ1239" s="1" t="s">
        <v>310</v>
      </c>
      <c r="BA1239" s="1" t="s">
        <v>702</v>
      </c>
      <c r="BB1239" s="1">
        <v>68.8</v>
      </c>
      <c r="BC1239" s="1">
        <v>7.63</v>
      </c>
      <c r="BD1239" s="1"/>
      <c r="BE1239" s="1"/>
      <c r="BF1239" s="1"/>
      <c r="BG1239" s="1"/>
      <c r="BH1239" s="1"/>
      <c r="BI1239" s="1"/>
      <c r="BJ1239" s="1" t="s">
        <v>21786</v>
      </c>
      <c r="BK1239" s="1" t="s">
        <v>21787</v>
      </c>
      <c r="BL1239" s="1" t="s">
        <v>4917</v>
      </c>
      <c r="BM1239" s="1" t="s">
        <v>21788</v>
      </c>
      <c r="BN1239" s="1">
        <v>19</v>
      </c>
      <c r="BO1239" s="1" t="s">
        <v>21789</v>
      </c>
      <c r="BP1239" s="1" t="str">
        <f>HYPERLINK("https://nconnect.nicmar.ac.in/storage/profile/ProfilePhoto_P25704035_451867.jpg","Download")</f>
        <v>0</v>
      </c>
      <c r="BQ1239" s="3"/>
      <c r="BR1239" s="3"/>
    </row>
    <row r="1240" spans="1:70">
      <c r="A1240" s="1" t="s">
        <v>967</v>
      </c>
      <c r="B1240" s="1" t="s">
        <v>1269</v>
      </c>
      <c r="C1240" s="1" t="s">
        <v>21790</v>
      </c>
      <c r="D1240" s="1" t="s">
        <v>10761</v>
      </c>
      <c r="E1240" s="1" t="s">
        <v>21791</v>
      </c>
      <c r="F1240" s="1" t="s">
        <v>21792</v>
      </c>
      <c r="G1240" s="1" t="s">
        <v>21793</v>
      </c>
      <c r="H1240" s="1" t="s">
        <v>21794</v>
      </c>
      <c r="I1240" s="1" t="s">
        <v>21795</v>
      </c>
      <c r="J1240" s="1">
        <v>8329655532</v>
      </c>
      <c r="K1240" s="1" t="s">
        <v>148</v>
      </c>
      <c r="L1240" s="1" t="s">
        <v>21796</v>
      </c>
      <c r="M1240" s="1" t="s">
        <v>81</v>
      </c>
      <c r="N1240" s="1" t="s">
        <v>3187</v>
      </c>
      <c r="O1240" s="1"/>
      <c r="P1240" s="1" t="s">
        <v>1278</v>
      </c>
      <c r="Q1240" s="1" t="s">
        <v>21797</v>
      </c>
      <c r="R1240" s="1" t="s">
        <v>21798</v>
      </c>
      <c r="S1240" s="1">
        <v>9993562305</v>
      </c>
      <c r="T1240" s="1" t="s">
        <v>472</v>
      </c>
      <c r="U1240" s="1" t="s">
        <v>21799</v>
      </c>
      <c r="V1240" s="1">
        <v>9589392305</v>
      </c>
      <c r="W1240" s="1" t="s">
        <v>273</v>
      </c>
      <c r="X1240" s="1" t="s">
        <v>21800</v>
      </c>
      <c r="Y1240" s="1" t="s">
        <v>328</v>
      </c>
      <c r="Z1240" s="1" t="s">
        <v>92</v>
      </c>
      <c r="AA1240" s="1" t="s">
        <v>21800</v>
      </c>
      <c r="AB1240" s="1" t="s">
        <v>328</v>
      </c>
      <c r="AC1240" s="1" t="s">
        <v>92</v>
      </c>
      <c r="AD1240" s="1" t="s">
        <v>93</v>
      </c>
      <c r="AE1240" s="1" t="s">
        <v>93</v>
      </c>
      <c r="AF1240" s="1" t="s">
        <v>11499</v>
      </c>
      <c r="AG1240" s="1" t="s">
        <v>21801</v>
      </c>
      <c r="AH1240" s="1" t="s">
        <v>162</v>
      </c>
      <c r="AI1240" s="1" t="s">
        <v>195</v>
      </c>
      <c r="AJ1240" s="1">
        <v>72.2</v>
      </c>
      <c r="AK1240" s="1">
        <v>7.6</v>
      </c>
      <c r="AL1240" s="1" t="s">
        <v>21802</v>
      </c>
      <c r="AM1240" s="1" t="s">
        <v>544</v>
      </c>
      <c r="AN1240" s="1" t="s">
        <v>383</v>
      </c>
      <c r="AO1240" s="1" t="s">
        <v>173</v>
      </c>
      <c r="AP1240" s="1">
        <v>68.15</v>
      </c>
      <c r="AQ1240" s="1"/>
      <c r="AR1240" s="1"/>
      <c r="AS1240" s="1"/>
      <c r="AT1240" s="1"/>
      <c r="AU1240" s="1"/>
      <c r="AV1240" s="1"/>
      <c r="AW1240" s="1"/>
      <c r="AX1240" s="1" t="s">
        <v>361</v>
      </c>
      <c r="AY1240" s="1" t="s">
        <v>21803</v>
      </c>
      <c r="AZ1240" s="1" t="s">
        <v>363</v>
      </c>
      <c r="BA1240" s="1" t="s">
        <v>1584</v>
      </c>
      <c r="BB1240" s="1">
        <v>63.5</v>
      </c>
      <c r="BC1240" s="1"/>
      <c r="BD1240" s="1"/>
      <c r="BE1240" s="1"/>
      <c r="BF1240" s="1"/>
      <c r="BG1240" s="1"/>
      <c r="BH1240" s="1"/>
      <c r="BI1240" s="1"/>
      <c r="BJ1240" s="1" t="s">
        <v>21804</v>
      </c>
      <c r="BK1240" s="1" t="s">
        <v>21805</v>
      </c>
      <c r="BL1240" s="1" t="s">
        <v>21806</v>
      </c>
      <c r="BM1240" s="1" t="s">
        <v>21807</v>
      </c>
      <c r="BN1240" s="1">
        <v>28</v>
      </c>
      <c r="BO1240" s="1"/>
      <c r="BP1240" s="1" t="str">
        <f>HYPERLINK("https://nconnect.nicmar.ac.in/storage/profile/ProfilePhoto_P25704036_238451.jpg","Download")</f>
        <v>0</v>
      </c>
      <c r="BQ1240" s="3"/>
      <c r="BR1240" s="3"/>
    </row>
    <row r="1241" spans="1:70">
      <c r="A1241" s="1" t="s">
        <v>967</v>
      </c>
      <c r="B1241" s="1" t="s">
        <v>1269</v>
      </c>
      <c r="C1241" s="1" t="s">
        <v>21808</v>
      </c>
      <c r="D1241" s="1" t="s">
        <v>2892</v>
      </c>
      <c r="E1241" s="1" t="s">
        <v>2287</v>
      </c>
      <c r="F1241" s="1" t="s">
        <v>2024</v>
      </c>
      <c r="G1241" s="1" t="s">
        <v>21809</v>
      </c>
      <c r="H1241" s="1" t="s">
        <v>21810</v>
      </c>
      <c r="I1241" s="1" t="s">
        <v>21811</v>
      </c>
      <c r="J1241" s="1">
        <v>9594412009</v>
      </c>
      <c r="K1241" s="1" t="s">
        <v>79</v>
      </c>
      <c r="L1241" s="1" t="s">
        <v>11596</v>
      </c>
      <c r="M1241" s="1" t="s">
        <v>81</v>
      </c>
      <c r="N1241" s="1" t="s">
        <v>1144</v>
      </c>
      <c r="O1241" s="1"/>
      <c r="P1241" s="1" t="s">
        <v>1323</v>
      </c>
      <c r="Q1241" s="1" t="s">
        <v>21812</v>
      </c>
      <c r="R1241" s="1" t="s">
        <v>21813</v>
      </c>
      <c r="S1241" s="1">
        <v>9594412009</v>
      </c>
      <c r="T1241" s="1" t="s">
        <v>120</v>
      </c>
      <c r="U1241" s="1" t="s">
        <v>21814</v>
      </c>
      <c r="V1241" s="1">
        <v>8425089688</v>
      </c>
      <c r="W1241" s="1" t="s">
        <v>273</v>
      </c>
      <c r="X1241" s="1" t="s">
        <v>21815</v>
      </c>
      <c r="Y1241" s="1" t="s">
        <v>1018</v>
      </c>
      <c r="Z1241" s="1" t="s">
        <v>92</v>
      </c>
      <c r="AA1241" s="1" t="s">
        <v>21815</v>
      </c>
      <c r="AB1241" s="1" t="s">
        <v>1018</v>
      </c>
      <c r="AC1241" s="1" t="s">
        <v>92</v>
      </c>
      <c r="AD1241" s="1" t="s">
        <v>93</v>
      </c>
      <c r="AE1241" s="1" t="s">
        <v>93</v>
      </c>
      <c r="AF1241" s="1" t="s">
        <v>21816</v>
      </c>
      <c r="AG1241" s="1" t="s">
        <v>160</v>
      </c>
      <c r="AH1241" s="1" t="s">
        <v>162</v>
      </c>
      <c r="AI1241" s="1" t="s">
        <v>195</v>
      </c>
      <c r="AJ1241" s="1">
        <v>73</v>
      </c>
      <c r="AK1241" s="1"/>
      <c r="AL1241" s="1" t="s">
        <v>21817</v>
      </c>
      <c r="AM1241" s="1" t="s">
        <v>160</v>
      </c>
      <c r="AN1241" s="1" t="s">
        <v>165</v>
      </c>
      <c r="AO1241" s="1" t="s">
        <v>198</v>
      </c>
      <c r="AP1241" s="1">
        <v>55.23</v>
      </c>
      <c r="AQ1241" s="1"/>
      <c r="AR1241" s="1"/>
      <c r="AS1241" s="1"/>
      <c r="AT1241" s="1"/>
      <c r="AU1241" s="1"/>
      <c r="AV1241" s="1"/>
      <c r="AW1241" s="1"/>
      <c r="AX1241" s="1" t="s">
        <v>1024</v>
      </c>
      <c r="AY1241" s="1" t="s">
        <v>21818</v>
      </c>
      <c r="AZ1241" s="1" t="s">
        <v>506</v>
      </c>
      <c r="BA1241" s="1" t="s">
        <v>1361</v>
      </c>
      <c r="BB1241" s="1">
        <v>66.39</v>
      </c>
      <c r="BC1241" s="1">
        <v>7.35</v>
      </c>
      <c r="BD1241" s="1"/>
      <c r="BE1241" s="1"/>
      <c r="BF1241" s="1"/>
      <c r="BG1241" s="1"/>
      <c r="BH1241" s="1"/>
      <c r="BI1241" s="1"/>
      <c r="BJ1241" s="1" t="s">
        <v>21819</v>
      </c>
      <c r="BK1241" s="1"/>
      <c r="BL1241" s="1"/>
      <c r="BM1241" s="1" t="s">
        <v>21820</v>
      </c>
      <c r="BN1241" s="1">
        <v>15</v>
      </c>
      <c r="BO1241" s="1"/>
      <c r="BP1241" s="1" t="str">
        <f>HYPERLINK("https://nconnect.nicmar.ac.in/storage/profile/ProfilePhoto_P25704038_832517.jpg","Download")</f>
        <v>0</v>
      </c>
      <c r="BQ1241" s="3"/>
      <c r="BR1241" s="3"/>
    </row>
  </sheetData>
  <hyperlinks>
    <hyperlink ref="BP2" r:id="rId_hyperlink_1" tooltip="Download" display="Download"/>
    <hyperlink ref="BP3" r:id="rId_hyperlink_2" tooltip="Download" display="Download"/>
    <hyperlink ref="BP4" r:id="rId_hyperlink_3" tooltip="Download" display="Download"/>
    <hyperlink ref="BP5" r:id="rId_hyperlink_4" tooltip="Download" display="Download"/>
    <hyperlink ref="BP6" r:id="rId_hyperlink_5" tooltip="Download" display="Download"/>
    <hyperlink ref="BP7" r:id="rId_hyperlink_6" tooltip="Download" display="Download"/>
    <hyperlink ref="BP8" r:id="rId_hyperlink_7" tooltip="Download" display="Download"/>
    <hyperlink ref="BP9" r:id="rId_hyperlink_8" tooltip="Download" display="Download"/>
    <hyperlink ref="BP10" r:id="rId_hyperlink_9" tooltip="Download" display="Download"/>
    <hyperlink ref="BP11" r:id="rId_hyperlink_10" tooltip="Download" display="Download"/>
    <hyperlink ref="BP12" r:id="rId_hyperlink_11" tooltip="Download" display="Download"/>
    <hyperlink ref="BP13" r:id="rId_hyperlink_12" tooltip="Download" display="Download"/>
    <hyperlink ref="BP14" r:id="rId_hyperlink_13" tooltip="Download" display="Download"/>
    <hyperlink ref="BP15" r:id="rId_hyperlink_14" tooltip="Download" display="Download"/>
    <hyperlink ref="BP16" r:id="rId_hyperlink_15" tooltip="Download" display="Download"/>
    <hyperlink ref="BP17" r:id="rId_hyperlink_16" tooltip="Download" display="Download"/>
    <hyperlink ref="BP18" r:id="rId_hyperlink_17" tooltip="Download" display="Download"/>
    <hyperlink ref="BP19" r:id="rId_hyperlink_18" tooltip="Download" display="Download"/>
    <hyperlink ref="BP20" r:id="rId_hyperlink_19" tooltip="Download" display="Download"/>
    <hyperlink ref="BP21" r:id="rId_hyperlink_20" tooltip="Download" display="Download"/>
    <hyperlink ref="BP22" r:id="rId_hyperlink_21" tooltip="Download" display="Download"/>
    <hyperlink ref="BP23" r:id="rId_hyperlink_22" tooltip="Download" display="Download"/>
    <hyperlink ref="BP24" r:id="rId_hyperlink_23" tooltip="Download" display="Download"/>
    <hyperlink ref="BP25" r:id="rId_hyperlink_24" tooltip="Download" display="Download"/>
    <hyperlink ref="BP26" r:id="rId_hyperlink_25" tooltip="Download" display="Download"/>
    <hyperlink ref="BP27" r:id="rId_hyperlink_26" tooltip="Download" display="Download"/>
    <hyperlink ref="BP28" r:id="rId_hyperlink_27" tooltip="Download" display="Download"/>
    <hyperlink ref="BP29" r:id="rId_hyperlink_28" tooltip="Download" display="Download"/>
    <hyperlink ref="BP30" r:id="rId_hyperlink_29" tooltip="Download" display="Download"/>
    <hyperlink ref="BP31" r:id="rId_hyperlink_30" tooltip="Download" display="Download"/>
    <hyperlink ref="BP32" r:id="rId_hyperlink_31" tooltip="Download" display="Download"/>
    <hyperlink ref="BP33" r:id="rId_hyperlink_32" tooltip="Download" display="Download"/>
    <hyperlink ref="BP34" r:id="rId_hyperlink_33" tooltip="Download" display="Download"/>
    <hyperlink ref="BP35" r:id="rId_hyperlink_34" tooltip="Download" display="Download"/>
    <hyperlink ref="BP36" r:id="rId_hyperlink_35" tooltip="Download" display="Download"/>
    <hyperlink ref="BP37" r:id="rId_hyperlink_36" tooltip="Download" display="Download"/>
    <hyperlink ref="BP38" r:id="rId_hyperlink_37" tooltip="Download" display="Download"/>
    <hyperlink ref="BP39" r:id="rId_hyperlink_38" tooltip="Download" display="Download"/>
    <hyperlink ref="BP40" r:id="rId_hyperlink_39" tooltip="Download" display="Download"/>
    <hyperlink ref="BP41" r:id="rId_hyperlink_40" tooltip="Download" display="Download"/>
    <hyperlink ref="BP43" r:id="rId_hyperlink_41" tooltip="Download" display="Download"/>
    <hyperlink ref="BP44" r:id="rId_hyperlink_42" tooltip="Download" display="Download"/>
    <hyperlink ref="BP45" r:id="rId_hyperlink_43" tooltip="Download" display="Download"/>
    <hyperlink ref="BP46" r:id="rId_hyperlink_44" tooltip="Download" display="Download"/>
    <hyperlink ref="BP47" r:id="rId_hyperlink_45" tooltip="Download" display="Download"/>
    <hyperlink ref="BP48" r:id="rId_hyperlink_46" tooltip="Download" display="Download"/>
    <hyperlink ref="BP49" r:id="rId_hyperlink_47" tooltip="Download" display="Download"/>
    <hyperlink ref="BP50" r:id="rId_hyperlink_48" tooltip="Download" display="Download"/>
    <hyperlink ref="BP51" r:id="rId_hyperlink_49" tooltip="Download" display="Download"/>
    <hyperlink ref="BP52" r:id="rId_hyperlink_50" tooltip="Download" display="Download"/>
    <hyperlink ref="BP53" r:id="rId_hyperlink_51" tooltip="Download" display="Download"/>
    <hyperlink ref="BP54" r:id="rId_hyperlink_52" tooltip="Download" display="Download"/>
    <hyperlink ref="BP55" r:id="rId_hyperlink_53" tooltip="Download" display="Download"/>
    <hyperlink ref="BP56" r:id="rId_hyperlink_54" tooltip="Download" display="Download"/>
    <hyperlink ref="BP57" r:id="rId_hyperlink_55" tooltip="Download" display="Download"/>
    <hyperlink ref="BP58" r:id="rId_hyperlink_56" tooltip="Download" display="Download"/>
    <hyperlink ref="BP59" r:id="rId_hyperlink_57" tooltip="Download" display="Download"/>
    <hyperlink ref="BP60" r:id="rId_hyperlink_58" tooltip="Download" display="Download"/>
    <hyperlink ref="BP61" r:id="rId_hyperlink_59" tooltip="Download" display="Download"/>
    <hyperlink ref="BP62" r:id="rId_hyperlink_60" tooltip="Download" display="Download"/>
    <hyperlink ref="BP63" r:id="rId_hyperlink_61" tooltip="Download" display="Download"/>
    <hyperlink ref="BP64" r:id="rId_hyperlink_62" tooltip="Download" display="Download"/>
    <hyperlink ref="BP65" r:id="rId_hyperlink_63" tooltip="Download" display="Download"/>
    <hyperlink ref="BP66" r:id="rId_hyperlink_64" tooltip="Download" display="Download"/>
    <hyperlink ref="BP67" r:id="rId_hyperlink_65" tooltip="Download" display="Download"/>
    <hyperlink ref="BP68" r:id="rId_hyperlink_66" tooltip="Download" display="Download"/>
    <hyperlink ref="BP69" r:id="rId_hyperlink_67" tooltip="Download" display="Download"/>
    <hyperlink ref="BP70" r:id="rId_hyperlink_68" tooltip="Download" display="Download"/>
    <hyperlink ref="BP71" r:id="rId_hyperlink_69" tooltip="Download" display="Download"/>
    <hyperlink ref="BP72" r:id="rId_hyperlink_70" tooltip="Download" display="Download"/>
    <hyperlink ref="BP73" r:id="rId_hyperlink_71" tooltip="Download" display="Download"/>
    <hyperlink ref="BP74" r:id="rId_hyperlink_72" tooltip="Download" display="Download"/>
    <hyperlink ref="BP75" r:id="rId_hyperlink_73" tooltip="Download" display="Download"/>
    <hyperlink ref="BP76" r:id="rId_hyperlink_74" tooltip="Download" display="Download"/>
    <hyperlink ref="BP77" r:id="rId_hyperlink_75" tooltip="Download" display="Download"/>
    <hyperlink ref="BP78" r:id="rId_hyperlink_76" tooltip="Download" display="Download"/>
    <hyperlink ref="BP79" r:id="rId_hyperlink_77" tooltip="Download" display="Download"/>
    <hyperlink ref="BP80" r:id="rId_hyperlink_78" tooltip="Download" display="Download"/>
    <hyperlink ref="BP81" r:id="rId_hyperlink_79" tooltip="Download" display="Download"/>
    <hyperlink ref="BP82" r:id="rId_hyperlink_80" tooltip="Download" display="Download"/>
    <hyperlink ref="BP83" r:id="rId_hyperlink_81" tooltip="Download" display="Download"/>
    <hyperlink ref="BP84" r:id="rId_hyperlink_82" tooltip="Download" display="Download"/>
    <hyperlink ref="BP85" r:id="rId_hyperlink_83" tooltip="Download" display="Download"/>
    <hyperlink ref="BP86" r:id="rId_hyperlink_84" tooltip="Download" display="Download"/>
    <hyperlink ref="BP87" r:id="rId_hyperlink_85" tooltip="Download" display="Download"/>
    <hyperlink ref="BP88" r:id="rId_hyperlink_86" tooltip="Download" display="Download"/>
    <hyperlink ref="BP89" r:id="rId_hyperlink_87" tooltip="Download" display="Download"/>
    <hyperlink ref="BP90" r:id="rId_hyperlink_88" tooltip="Download" display="Download"/>
    <hyperlink ref="BP91" r:id="rId_hyperlink_89" tooltip="Download" display="Download"/>
    <hyperlink ref="BP92" r:id="rId_hyperlink_90" tooltip="Download" display="Download"/>
    <hyperlink ref="BP93" r:id="rId_hyperlink_91" tooltip="Download" display="Download"/>
    <hyperlink ref="BP94" r:id="rId_hyperlink_92" tooltip="Download" display="Download"/>
    <hyperlink ref="BP95" r:id="rId_hyperlink_93" tooltip="Download" display="Download"/>
    <hyperlink ref="BP96" r:id="rId_hyperlink_94" tooltip="Download" display="Download"/>
    <hyperlink ref="BP97" r:id="rId_hyperlink_95" tooltip="Download" display="Download"/>
    <hyperlink ref="BP98" r:id="rId_hyperlink_96" tooltip="Download" display="Download"/>
    <hyperlink ref="BP99" r:id="rId_hyperlink_97" tooltip="Download" display="Download"/>
    <hyperlink ref="BP100" r:id="rId_hyperlink_98" tooltip="Download" display="Download"/>
    <hyperlink ref="BP101" r:id="rId_hyperlink_99" tooltip="Download" display="Download"/>
    <hyperlink ref="BP102" r:id="rId_hyperlink_100" tooltip="Download" display="Download"/>
    <hyperlink ref="BP103" r:id="rId_hyperlink_101" tooltip="Download" display="Download"/>
    <hyperlink ref="BP104" r:id="rId_hyperlink_102" tooltip="Download" display="Download"/>
    <hyperlink ref="BP105" r:id="rId_hyperlink_103" tooltip="Download" display="Download"/>
    <hyperlink ref="BP106" r:id="rId_hyperlink_104" tooltip="Download" display="Download"/>
    <hyperlink ref="BP107" r:id="rId_hyperlink_105" tooltip="Download" display="Download"/>
    <hyperlink ref="BP108" r:id="rId_hyperlink_106" tooltip="Download" display="Download"/>
    <hyperlink ref="BP109" r:id="rId_hyperlink_107" tooltip="Download" display="Download"/>
    <hyperlink ref="BP110" r:id="rId_hyperlink_108" tooltip="Download" display="Download"/>
    <hyperlink ref="BP111" r:id="rId_hyperlink_109" tooltip="Download" display="Download"/>
    <hyperlink ref="BP112" r:id="rId_hyperlink_110" tooltip="Download" display="Download"/>
    <hyperlink ref="BP113" r:id="rId_hyperlink_111" tooltip="Download" display="Download"/>
    <hyperlink ref="BP114" r:id="rId_hyperlink_112" tooltip="Download" display="Download"/>
    <hyperlink ref="BP115" r:id="rId_hyperlink_113" tooltip="Download" display="Download"/>
    <hyperlink ref="BP116" r:id="rId_hyperlink_114" tooltip="Download" display="Download"/>
    <hyperlink ref="BP117" r:id="rId_hyperlink_115" tooltip="Download" display="Download"/>
    <hyperlink ref="BP118" r:id="rId_hyperlink_116" tooltip="Download" display="Download"/>
    <hyperlink ref="BP119" r:id="rId_hyperlink_117" tooltip="Download" display="Download"/>
    <hyperlink ref="BP120" r:id="rId_hyperlink_118" tooltip="Download" display="Download"/>
    <hyperlink ref="BP121" r:id="rId_hyperlink_119" tooltip="Download" display="Download"/>
    <hyperlink ref="BP122" r:id="rId_hyperlink_120" tooltip="Download" display="Download"/>
    <hyperlink ref="BP123" r:id="rId_hyperlink_121" tooltip="Download" display="Download"/>
    <hyperlink ref="BP124" r:id="rId_hyperlink_122" tooltip="Download" display="Download"/>
    <hyperlink ref="BP125" r:id="rId_hyperlink_123" tooltip="Download" display="Download"/>
    <hyperlink ref="BP126" r:id="rId_hyperlink_124" tooltip="Download" display="Download"/>
    <hyperlink ref="BP127" r:id="rId_hyperlink_125" tooltip="Download" display="Download"/>
    <hyperlink ref="BP128" r:id="rId_hyperlink_126" tooltip="Download" display="Download"/>
    <hyperlink ref="BP129" r:id="rId_hyperlink_127" tooltip="Download" display="Download"/>
    <hyperlink ref="BP130" r:id="rId_hyperlink_128" tooltip="Download" display="Download"/>
    <hyperlink ref="BP131" r:id="rId_hyperlink_129" tooltip="Download" display="Download"/>
    <hyperlink ref="BP132" r:id="rId_hyperlink_130" tooltip="Download" display="Download"/>
    <hyperlink ref="BP133" r:id="rId_hyperlink_131" tooltip="Download" display="Download"/>
    <hyperlink ref="BP134" r:id="rId_hyperlink_132" tooltip="Download" display="Download"/>
    <hyperlink ref="BP135" r:id="rId_hyperlink_133" tooltip="Download" display="Download"/>
    <hyperlink ref="BP136" r:id="rId_hyperlink_134" tooltip="Download" display="Download"/>
    <hyperlink ref="BP137" r:id="rId_hyperlink_135" tooltip="Download" display="Download"/>
    <hyperlink ref="BP138" r:id="rId_hyperlink_136" tooltip="Download" display="Download"/>
    <hyperlink ref="BP139" r:id="rId_hyperlink_137" tooltip="Download" display="Download"/>
    <hyperlink ref="BP140" r:id="rId_hyperlink_138" tooltip="Download" display="Download"/>
    <hyperlink ref="BP141" r:id="rId_hyperlink_139" tooltip="Download" display="Download"/>
    <hyperlink ref="BP142" r:id="rId_hyperlink_140" tooltip="Download" display="Download"/>
    <hyperlink ref="BP143" r:id="rId_hyperlink_141" tooltip="Download" display="Download"/>
    <hyperlink ref="BP144" r:id="rId_hyperlink_142" tooltip="Download" display="Download"/>
    <hyperlink ref="BP145" r:id="rId_hyperlink_143" tooltip="Download" display="Download"/>
    <hyperlink ref="BP146" r:id="rId_hyperlink_144" tooltip="Download" display="Download"/>
    <hyperlink ref="BP147" r:id="rId_hyperlink_145" tooltip="Download" display="Download"/>
    <hyperlink ref="BP148" r:id="rId_hyperlink_146" tooltip="Download" display="Download"/>
    <hyperlink ref="BP149" r:id="rId_hyperlink_147" tooltip="Download" display="Download"/>
    <hyperlink ref="BP150" r:id="rId_hyperlink_148" tooltip="Download" display="Download"/>
    <hyperlink ref="BP151" r:id="rId_hyperlink_149" tooltip="Download" display="Download"/>
    <hyperlink ref="BP152" r:id="rId_hyperlink_150" tooltip="Download" display="Download"/>
    <hyperlink ref="BP153" r:id="rId_hyperlink_151" tooltip="Download" display="Download"/>
    <hyperlink ref="BP154" r:id="rId_hyperlink_152" tooltip="Download" display="Download"/>
    <hyperlink ref="BP155" r:id="rId_hyperlink_153" tooltip="Download" display="Download"/>
    <hyperlink ref="BP156" r:id="rId_hyperlink_154" tooltip="Download" display="Download"/>
    <hyperlink ref="BP157" r:id="rId_hyperlink_155" tooltip="Download" display="Download"/>
    <hyperlink ref="BP158" r:id="rId_hyperlink_156" tooltip="Download" display="Download"/>
    <hyperlink ref="BP159" r:id="rId_hyperlink_157" tooltip="Download" display="Download"/>
    <hyperlink ref="BP160" r:id="rId_hyperlink_158" tooltip="Download" display="Download"/>
    <hyperlink ref="BP161" r:id="rId_hyperlink_159" tooltip="Download" display="Download"/>
    <hyperlink ref="BP162" r:id="rId_hyperlink_160" tooltip="Download" display="Download"/>
    <hyperlink ref="BP163" r:id="rId_hyperlink_161" tooltip="Download" display="Download"/>
    <hyperlink ref="BP164" r:id="rId_hyperlink_162" tooltip="Download" display="Download"/>
    <hyperlink ref="BP165" r:id="rId_hyperlink_163" tooltip="Download" display="Download"/>
    <hyperlink ref="BP166" r:id="rId_hyperlink_164" tooltip="Download" display="Download"/>
    <hyperlink ref="BP167" r:id="rId_hyperlink_165" tooltip="Download" display="Download"/>
    <hyperlink ref="BP168" r:id="rId_hyperlink_166" tooltip="Download" display="Download"/>
    <hyperlink ref="BP169" r:id="rId_hyperlink_167" tooltip="Download" display="Download"/>
    <hyperlink ref="BP170" r:id="rId_hyperlink_168" tooltip="Download" display="Download"/>
    <hyperlink ref="BP171" r:id="rId_hyperlink_169" tooltip="Download" display="Download"/>
    <hyperlink ref="BP172" r:id="rId_hyperlink_170" tooltip="Download" display="Download"/>
    <hyperlink ref="BP173" r:id="rId_hyperlink_171" tooltip="Download" display="Download"/>
    <hyperlink ref="BP174" r:id="rId_hyperlink_172" tooltip="Download" display="Download"/>
    <hyperlink ref="BP175" r:id="rId_hyperlink_173" tooltip="Download" display="Download"/>
    <hyperlink ref="BP176" r:id="rId_hyperlink_174" tooltip="Download" display="Download"/>
    <hyperlink ref="BP177" r:id="rId_hyperlink_175" tooltip="Download" display="Download"/>
    <hyperlink ref="BP178" r:id="rId_hyperlink_176" tooltip="Download" display="Download"/>
    <hyperlink ref="BP179" r:id="rId_hyperlink_177" tooltip="Download" display="Download"/>
    <hyperlink ref="BP180" r:id="rId_hyperlink_178" tooltip="Download" display="Download"/>
    <hyperlink ref="BP181" r:id="rId_hyperlink_179" tooltip="Download" display="Download"/>
    <hyperlink ref="BP182" r:id="rId_hyperlink_180" tooltip="Download" display="Download"/>
    <hyperlink ref="BP183" r:id="rId_hyperlink_181" tooltip="Download" display="Download"/>
    <hyperlink ref="BP184" r:id="rId_hyperlink_182" tooltip="Download" display="Download"/>
    <hyperlink ref="BP185" r:id="rId_hyperlink_183" tooltip="Download" display="Download"/>
    <hyperlink ref="BP186" r:id="rId_hyperlink_184" tooltip="Download" display="Download"/>
    <hyperlink ref="BP187" r:id="rId_hyperlink_185" tooltip="Download" display="Download"/>
    <hyperlink ref="BP188" r:id="rId_hyperlink_186" tooltip="Download" display="Download"/>
    <hyperlink ref="BP189" r:id="rId_hyperlink_187" tooltip="Download" display="Download"/>
    <hyperlink ref="BP190" r:id="rId_hyperlink_188" tooltip="Download" display="Download"/>
    <hyperlink ref="BP191" r:id="rId_hyperlink_189" tooltip="Download" display="Download"/>
    <hyperlink ref="BP192" r:id="rId_hyperlink_190" tooltip="Download" display="Download"/>
    <hyperlink ref="BP193" r:id="rId_hyperlink_191" tooltip="Download" display="Download"/>
    <hyperlink ref="BP194" r:id="rId_hyperlink_192" tooltip="Download" display="Download"/>
    <hyperlink ref="BP195" r:id="rId_hyperlink_193" tooltip="Download" display="Download"/>
    <hyperlink ref="BP196" r:id="rId_hyperlink_194" tooltip="Download" display="Download"/>
    <hyperlink ref="BP197" r:id="rId_hyperlink_195" tooltip="Download" display="Download"/>
    <hyperlink ref="BP198" r:id="rId_hyperlink_196" tooltip="Download" display="Download"/>
    <hyperlink ref="BP199" r:id="rId_hyperlink_197" tooltip="Download" display="Download"/>
    <hyperlink ref="BP200" r:id="rId_hyperlink_198" tooltip="Download" display="Download"/>
    <hyperlink ref="BP201" r:id="rId_hyperlink_199" tooltip="Download" display="Download"/>
    <hyperlink ref="BP202" r:id="rId_hyperlink_200" tooltip="Download" display="Download"/>
    <hyperlink ref="BP203" r:id="rId_hyperlink_201" tooltip="Download" display="Download"/>
    <hyperlink ref="BP204" r:id="rId_hyperlink_202" tooltip="Download" display="Download"/>
    <hyperlink ref="BP205" r:id="rId_hyperlink_203" tooltip="Download" display="Download"/>
    <hyperlink ref="BP206" r:id="rId_hyperlink_204" tooltip="Download" display="Download"/>
    <hyperlink ref="BP207" r:id="rId_hyperlink_205" tooltip="Download" display="Download"/>
    <hyperlink ref="BP208" r:id="rId_hyperlink_206" tooltip="Download" display="Download"/>
    <hyperlink ref="BP209" r:id="rId_hyperlink_207" tooltip="Download" display="Download"/>
    <hyperlink ref="BP210" r:id="rId_hyperlink_208" tooltip="Download" display="Download"/>
    <hyperlink ref="BP211" r:id="rId_hyperlink_209" tooltip="Download" display="Download"/>
    <hyperlink ref="BP212" r:id="rId_hyperlink_210" tooltip="Download" display="Download"/>
    <hyperlink ref="BP213" r:id="rId_hyperlink_211" tooltip="Download" display="Download"/>
    <hyperlink ref="BP214" r:id="rId_hyperlink_212" tooltip="Download" display="Download"/>
    <hyperlink ref="BP215" r:id="rId_hyperlink_213" tooltip="Download" display="Download"/>
    <hyperlink ref="BP216" r:id="rId_hyperlink_214" tooltip="Download" display="Download"/>
    <hyperlink ref="BP217" r:id="rId_hyperlink_215" tooltip="Download" display="Download"/>
    <hyperlink ref="BP218" r:id="rId_hyperlink_216" tooltip="Download" display="Download"/>
    <hyperlink ref="BP219" r:id="rId_hyperlink_217" tooltip="Download" display="Download"/>
    <hyperlink ref="BP220" r:id="rId_hyperlink_218" tooltip="Download" display="Download"/>
    <hyperlink ref="BP221" r:id="rId_hyperlink_219" tooltip="Download" display="Download"/>
    <hyperlink ref="BP222" r:id="rId_hyperlink_220" tooltip="Download" display="Download"/>
    <hyperlink ref="BP223" r:id="rId_hyperlink_221" tooltip="Download" display="Download"/>
    <hyperlink ref="BP224" r:id="rId_hyperlink_222" tooltip="Download" display="Download"/>
    <hyperlink ref="BP225" r:id="rId_hyperlink_223" tooltip="Download" display="Download"/>
    <hyperlink ref="BP226" r:id="rId_hyperlink_224" tooltip="Download" display="Download"/>
    <hyperlink ref="BP227" r:id="rId_hyperlink_225" tooltip="Download" display="Download"/>
    <hyperlink ref="BP228" r:id="rId_hyperlink_226" tooltip="Download" display="Download"/>
    <hyperlink ref="BP229" r:id="rId_hyperlink_227" tooltip="Download" display="Download"/>
    <hyperlink ref="BP230" r:id="rId_hyperlink_228" tooltip="Download" display="Download"/>
    <hyperlink ref="BP231" r:id="rId_hyperlink_229" tooltip="Download" display="Download"/>
    <hyperlink ref="BP232" r:id="rId_hyperlink_230" tooltip="Download" display="Download"/>
    <hyperlink ref="BP233" r:id="rId_hyperlink_231" tooltip="Download" display="Download"/>
    <hyperlink ref="BP234" r:id="rId_hyperlink_232" tooltip="Download" display="Download"/>
    <hyperlink ref="BP235" r:id="rId_hyperlink_233" tooltip="Download" display="Download"/>
    <hyperlink ref="BP236" r:id="rId_hyperlink_234" tooltip="Download" display="Download"/>
    <hyperlink ref="BP237" r:id="rId_hyperlink_235" tooltip="Download" display="Download"/>
    <hyperlink ref="BP238" r:id="rId_hyperlink_236" tooltip="Download" display="Download"/>
    <hyperlink ref="BP239" r:id="rId_hyperlink_237" tooltip="Download" display="Download"/>
    <hyperlink ref="BP240" r:id="rId_hyperlink_238" tooltip="Download" display="Download"/>
    <hyperlink ref="BP241" r:id="rId_hyperlink_239" tooltip="Download" display="Download"/>
    <hyperlink ref="BP242" r:id="rId_hyperlink_240" tooltip="Download" display="Download"/>
    <hyperlink ref="BP243" r:id="rId_hyperlink_241" tooltip="Download" display="Download"/>
    <hyperlink ref="BP244" r:id="rId_hyperlink_242" tooltip="Download" display="Download"/>
    <hyperlink ref="BP245" r:id="rId_hyperlink_243" tooltip="Download" display="Download"/>
    <hyperlink ref="BP246" r:id="rId_hyperlink_244" tooltip="Download" display="Download"/>
    <hyperlink ref="BP247" r:id="rId_hyperlink_245" tooltip="Download" display="Download"/>
    <hyperlink ref="BP248" r:id="rId_hyperlink_246" tooltip="Download" display="Download"/>
    <hyperlink ref="BP249" r:id="rId_hyperlink_247" tooltip="Download" display="Download"/>
    <hyperlink ref="BP250" r:id="rId_hyperlink_248" tooltip="Download" display="Download"/>
    <hyperlink ref="BP251" r:id="rId_hyperlink_249" tooltip="Download" display="Download"/>
    <hyperlink ref="BP252" r:id="rId_hyperlink_250" tooltip="Download" display="Download"/>
    <hyperlink ref="BP253" r:id="rId_hyperlink_251" tooltip="Download" display="Download"/>
    <hyperlink ref="BP254" r:id="rId_hyperlink_252" tooltip="Download" display="Download"/>
    <hyperlink ref="BP255" r:id="rId_hyperlink_253" tooltip="Download" display="Download"/>
    <hyperlink ref="BP256" r:id="rId_hyperlink_254" tooltip="Download" display="Download"/>
    <hyperlink ref="BP257" r:id="rId_hyperlink_255" tooltip="Download" display="Download"/>
    <hyperlink ref="BP258" r:id="rId_hyperlink_256" tooltip="Download" display="Download"/>
    <hyperlink ref="BP259" r:id="rId_hyperlink_257" tooltip="Download" display="Download"/>
    <hyperlink ref="BP260" r:id="rId_hyperlink_258" tooltip="Download" display="Download"/>
    <hyperlink ref="BP261" r:id="rId_hyperlink_259" tooltip="Download" display="Download"/>
    <hyperlink ref="BP262" r:id="rId_hyperlink_260" tooltip="Download" display="Download"/>
    <hyperlink ref="BP263" r:id="rId_hyperlink_261" tooltip="Download" display="Download"/>
    <hyperlink ref="BP264" r:id="rId_hyperlink_262" tooltip="Download" display="Download"/>
    <hyperlink ref="BP265" r:id="rId_hyperlink_263" tooltip="Download" display="Download"/>
    <hyperlink ref="BP266" r:id="rId_hyperlink_264" tooltip="Download" display="Download"/>
    <hyperlink ref="BP267" r:id="rId_hyperlink_265" tooltip="Download" display="Download"/>
    <hyperlink ref="BP268" r:id="rId_hyperlink_266" tooltip="Download" display="Download"/>
    <hyperlink ref="BP269" r:id="rId_hyperlink_267" tooltip="Download" display="Download"/>
    <hyperlink ref="BP270" r:id="rId_hyperlink_268" tooltip="Download" display="Download"/>
    <hyperlink ref="BP271" r:id="rId_hyperlink_269" tooltip="Download" display="Download"/>
    <hyperlink ref="BP272" r:id="rId_hyperlink_270" tooltip="Download" display="Download"/>
    <hyperlink ref="BP273" r:id="rId_hyperlink_271" tooltip="Download" display="Download"/>
    <hyperlink ref="BP274" r:id="rId_hyperlink_272" tooltip="Download" display="Download"/>
    <hyperlink ref="BP275" r:id="rId_hyperlink_273" tooltip="Download" display="Download"/>
    <hyperlink ref="BP276" r:id="rId_hyperlink_274" tooltip="Download" display="Download"/>
    <hyperlink ref="BP277" r:id="rId_hyperlink_275" tooltip="Download" display="Download"/>
    <hyperlink ref="BP278" r:id="rId_hyperlink_276" tooltip="Download" display="Download"/>
    <hyperlink ref="BP279" r:id="rId_hyperlink_277" tooltip="Download" display="Download"/>
    <hyperlink ref="BP280" r:id="rId_hyperlink_278" tooltip="Download" display="Download"/>
    <hyperlink ref="BP281" r:id="rId_hyperlink_279" tooltip="Download" display="Download"/>
    <hyperlink ref="BP282" r:id="rId_hyperlink_280" tooltip="Download" display="Download"/>
    <hyperlink ref="BP283" r:id="rId_hyperlink_281" tooltip="Download" display="Download"/>
    <hyperlink ref="BP284" r:id="rId_hyperlink_282" tooltip="Download" display="Download"/>
    <hyperlink ref="BP285" r:id="rId_hyperlink_283" tooltip="Download" display="Download"/>
    <hyperlink ref="BP286" r:id="rId_hyperlink_284" tooltip="Download" display="Download"/>
    <hyperlink ref="BP287" r:id="rId_hyperlink_285" tooltip="Download" display="Download"/>
    <hyperlink ref="BP288" r:id="rId_hyperlink_286" tooltip="Download" display="Download"/>
    <hyperlink ref="BP289" r:id="rId_hyperlink_287" tooltip="Download" display="Download"/>
    <hyperlink ref="BP290" r:id="rId_hyperlink_288" tooltip="Download" display="Download"/>
    <hyperlink ref="BP291" r:id="rId_hyperlink_289" tooltip="Download" display="Download"/>
    <hyperlink ref="BP292" r:id="rId_hyperlink_290" tooltip="Download" display="Download"/>
    <hyperlink ref="BP293" r:id="rId_hyperlink_291" tooltip="Download" display="Download"/>
    <hyperlink ref="BP294" r:id="rId_hyperlink_292" tooltip="Download" display="Download"/>
    <hyperlink ref="BP295" r:id="rId_hyperlink_293" tooltip="Download" display="Download"/>
    <hyperlink ref="BP296" r:id="rId_hyperlink_294" tooltip="Download" display="Download"/>
    <hyperlink ref="BP297" r:id="rId_hyperlink_295" tooltip="Download" display="Download"/>
    <hyperlink ref="BP298" r:id="rId_hyperlink_296" tooltip="Download" display="Download"/>
    <hyperlink ref="BP299" r:id="rId_hyperlink_297" tooltip="Download" display="Download"/>
    <hyperlink ref="BP300" r:id="rId_hyperlink_298" tooltip="Download" display="Download"/>
    <hyperlink ref="BP301" r:id="rId_hyperlink_299" tooltip="Download" display="Download"/>
    <hyperlink ref="BP302" r:id="rId_hyperlink_300" tooltip="Download" display="Download"/>
    <hyperlink ref="BP303" r:id="rId_hyperlink_301" tooltip="Download" display="Download"/>
    <hyperlink ref="BP304" r:id="rId_hyperlink_302" tooltip="Download" display="Download"/>
    <hyperlink ref="BP305" r:id="rId_hyperlink_303" tooltip="Download" display="Download"/>
    <hyperlink ref="BP306" r:id="rId_hyperlink_304" tooltip="Download" display="Download"/>
    <hyperlink ref="BP307" r:id="rId_hyperlink_305" tooltip="Download" display="Download"/>
    <hyperlink ref="BP308" r:id="rId_hyperlink_306" tooltip="Download" display="Download"/>
    <hyperlink ref="BP310" r:id="rId_hyperlink_307" tooltip="Download" display="Download"/>
    <hyperlink ref="BP311" r:id="rId_hyperlink_308" tooltip="Download" display="Download"/>
    <hyperlink ref="BP312" r:id="rId_hyperlink_309" tooltip="Download" display="Download"/>
    <hyperlink ref="BP313" r:id="rId_hyperlink_310" tooltip="Download" display="Download"/>
    <hyperlink ref="BP314" r:id="rId_hyperlink_311" tooltip="Download" display="Download"/>
    <hyperlink ref="BP315" r:id="rId_hyperlink_312" tooltip="Download" display="Download"/>
    <hyperlink ref="BP316" r:id="rId_hyperlink_313" tooltip="Download" display="Download"/>
    <hyperlink ref="BP317" r:id="rId_hyperlink_314" tooltip="Download" display="Download"/>
    <hyperlink ref="BP318" r:id="rId_hyperlink_315" tooltip="Download" display="Download"/>
    <hyperlink ref="BP319" r:id="rId_hyperlink_316" tooltip="Download" display="Download"/>
    <hyperlink ref="BP320" r:id="rId_hyperlink_317" tooltip="Download" display="Download"/>
    <hyperlink ref="BP321" r:id="rId_hyperlink_318" tooltip="Download" display="Download"/>
    <hyperlink ref="BP322" r:id="rId_hyperlink_319" tooltip="Download" display="Download"/>
    <hyperlink ref="BP323" r:id="rId_hyperlink_320" tooltip="Download" display="Download"/>
    <hyperlink ref="BP324" r:id="rId_hyperlink_321" tooltip="Download" display="Download"/>
    <hyperlink ref="BP325" r:id="rId_hyperlink_322" tooltip="Download" display="Download"/>
    <hyperlink ref="BP326" r:id="rId_hyperlink_323" tooltip="Download" display="Download"/>
    <hyperlink ref="BP327" r:id="rId_hyperlink_324" tooltip="Download" display="Download"/>
    <hyperlink ref="BP328" r:id="rId_hyperlink_325" tooltip="Download" display="Download"/>
    <hyperlink ref="BP329" r:id="rId_hyperlink_326" tooltip="Download" display="Download"/>
    <hyperlink ref="BP330" r:id="rId_hyperlink_327" tooltip="Download" display="Download"/>
    <hyperlink ref="BP331" r:id="rId_hyperlink_328" tooltip="Download" display="Download"/>
    <hyperlink ref="BP332" r:id="rId_hyperlink_329" tooltip="Download" display="Download"/>
    <hyperlink ref="BP333" r:id="rId_hyperlink_330" tooltip="Download" display="Download"/>
    <hyperlink ref="BP334" r:id="rId_hyperlink_331" tooltip="Download" display="Download"/>
    <hyperlink ref="BP335" r:id="rId_hyperlink_332" tooltip="Download" display="Download"/>
    <hyperlink ref="BP336" r:id="rId_hyperlink_333" tooltip="Download" display="Download"/>
    <hyperlink ref="BP337" r:id="rId_hyperlink_334" tooltip="Download" display="Download"/>
    <hyperlink ref="BP338" r:id="rId_hyperlink_335" tooltip="Download" display="Download"/>
    <hyperlink ref="BP339" r:id="rId_hyperlink_336" tooltip="Download" display="Download"/>
    <hyperlink ref="BP340" r:id="rId_hyperlink_337" tooltip="Download" display="Download"/>
    <hyperlink ref="BP341" r:id="rId_hyperlink_338" tooltip="Download" display="Download"/>
    <hyperlink ref="BP342" r:id="rId_hyperlink_339" tooltip="Download" display="Download"/>
    <hyperlink ref="BP343" r:id="rId_hyperlink_340" tooltip="Download" display="Download"/>
    <hyperlink ref="BP344" r:id="rId_hyperlink_341" tooltip="Download" display="Download"/>
    <hyperlink ref="BP345" r:id="rId_hyperlink_342" tooltip="Download" display="Download"/>
    <hyperlink ref="BP346" r:id="rId_hyperlink_343" tooltip="Download" display="Download"/>
    <hyperlink ref="BP347" r:id="rId_hyperlink_344" tooltip="Download" display="Download"/>
    <hyperlink ref="BP348" r:id="rId_hyperlink_345" tooltip="Download" display="Download"/>
    <hyperlink ref="BP349" r:id="rId_hyperlink_346" tooltip="Download" display="Download"/>
    <hyperlink ref="BP350" r:id="rId_hyperlink_347" tooltip="Download" display="Download"/>
    <hyperlink ref="BP351" r:id="rId_hyperlink_348" tooltip="Download" display="Download"/>
    <hyperlink ref="BP352" r:id="rId_hyperlink_349" tooltip="Download" display="Download"/>
    <hyperlink ref="BP353" r:id="rId_hyperlink_350" tooltip="Download" display="Download"/>
    <hyperlink ref="BP354" r:id="rId_hyperlink_351" tooltip="Download" display="Download"/>
    <hyperlink ref="BP355" r:id="rId_hyperlink_352" tooltip="Download" display="Download"/>
    <hyperlink ref="BP356" r:id="rId_hyperlink_353" tooltip="Download" display="Download"/>
    <hyperlink ref="BP357" r:id="rId_hyperlink_354" tooltip="Download" display="Download"/>
    <hyperlink ref="BP358" r:id="rId_hyperlink_355" tooltip="Download" display="Download"/>
    <hyperlink ref="BP359" r:id="rId_hyperlink_356" tooltip="Download" display="Download"/>
    <hyperlink ref="BP360" r:id="rId_hyperlink_357" tooltip="Download" display="Download"/>
    <hyperlink ref="BP361" r:id="rId_hyperlink_358" tooltip="Download" display="Download"/>
    <hyperlink ref="BP362" r:id="rId_hyperlink_359" tooltip="Download" display="Download"/>
    <hyperlink ref="BP363" r:id="rId_hyperlink_360" tooltip="Download" display="Download"/>
    <hyperlink ref="BP364" r:id="rId_hyperlink_361" tooltip="Download" display="Download"/>
    <hyperlink ref="BP365" r:id="rId_hyperlink_362" tooltip="Download" display="Download"/>
    <hyperlink ref="BP366" r:id="rId_hyperlink_363" tooltip="Download" display="Download"/>
    <hyperlink ref="BP367" r:id="rId_hyperlink_364" tooltip="Download" display="Download"/>
    <hyperlink ref="BP368" r:id="rId_hyperlink_365" tooltip="Download" display="Download"/>
    <hyperlink ref="BP369" r:id="rId_hyperlink_366" tooltip="Download" display="Download"/>
    <hyperlink ref="BP370" r:id="rId_hyperlink_367" tooltip="Download" display="Download"/>
    <hyperlink ref="BP371" r:id="rId_hyperlink_368" tooltip="Download" display="Download"/>
    <hyperlink ref="BP372" r:id="rId_hyperlink_369" tooltip="Download" display="Download"/>
    <hyperlink ref="BP373" r:id="rId_hyperlink_370" tooltip="Download" display="Download"/>
    <hyperlink ref="BP374" r:id="rId_hyperlink_371" tooltip="Download" display="Download"/>
    <hyperlink ref="BP375" r:id="rId_hyperlink_372" tooltip="Download" display="Download"/>
    <hyperlink ref="BP376" r:id="rId_hyperlink_373" tooltip="Download" display="Download"/>
    <hyperlink ref="BP377" r:id="rId_hyperlink_374" tooltip="Download" display="Download"/>
    <hyperlink ref="BP378" r:id="rId_hyperlink_375" tooltip="Download" display="Download"/>
    <hyperlink ref="BP379" r:id="rId_hyperlink_376" tooltip="Download" display="Download"/>
    <hyperlink ref="BP380" r:id="rId_hyperlink_377" tooltip="Download" display="Download"/>
    <hyperlink ref="BP381" r:id="rId_hyperlink_378" tooltip="Download" display="Download"/>
    <hyperlink ref="BP382" r:id="rId_hyperlink_379" tooltip="Download" display="Download"/>
    <hyperlink ref="BP383" r:id="rId_hyperlink_380" tooltip="Download" display="Download"/>
    <hyperlink ref="BP384" r:id="rId_hyperlink_381" tooltip="Download" display="Download"/>
    <hyperlink ref="BP385" r:id="rId_hyperlink_382" tooltip="Download" display="Download"/>
    <hyperlink ref="BP386" r:id="rId_hyperlink_383" tooltip="Download" display="Download"/>
    <hyperlink ref="BP387" r:id="rId_hyperlink_384" tooltip="Download" display="Download"/>
    <hyperlink ref="BP388" r:id="rId_hyperlink_385" tooltip="Download" display="Download"/>
    <hyperlink ref="BP389" r:id="rId_hyperlink_386" tooltip="Download" display="Download"/>
    <hyperlink ref="BP390" r:id="rId_hyperlink_387" tooltip="Download" display="Download"/>
    <hyperlink ref="BP391" r:id="rId_hyperlink_388" tooltip="Download" display="Download"/>
    <hyperlink ref="BP392" r:id="rId_hyperlink_389" tooltip="Download" display="Download"/>
    <hyperlink ref="BP393" r:id="rId_hyperlink_390" tooltip="Download" display="Download"/>
    <hyperlink ref="BP394" r:id="rId_hyperlink_391" tooltip="Download" display="Download"/>
    <hyperlink ref="BP395" r:id="rId_hyperlink_392" tooltip="Download" display="Download"/>
    <hyperlink ref="BP396" r:id="rId_hyperlink_393" tooltip="Download" display="Download"/>
    <hyperlink ref="BP397" r:id="rId_hyperlink_394" tooltip="Download" display="Download"/>
    <hyperlink ref="BP398" r:id="rId_hyperlink_395" tooltip="Download" display="Download"/>
    <hyperlink ref="BP399" r:id="rId_hyperlink_396" tooltip="Download" display="Download"/>
    <hyperlink ref="BP400" r:id="rId_hyperlink_397" tooltip="Download" display="Download"/>
    <hyperlink ref="BP401" r:id="rId_hyperlink_398" tooltip="Download" display="Download"/>
    <hyperlink ref="BP402" r:id="rId_hyperlink_399" tooltip="Download" display="Download"/>
    <hyperlink ref="BP403" r:id="rId_hyperlink_400" tooltip="Download" display="Download"/>
    <hyperlink ref="BP404" r:id="rId_hyperlink_401" tooltip="Download" display="Download"/>
    <hyperlink ref="BP405" r:id="rId_hyperlink_402" tooltip="Download" display="Download"/>
    <hyperlink ref="BP406" r:id="rId_hyperlink_403" tooltip="Download" display="Download"/>
    <hyperlink ref="BP407" r:id="rId_hyperlink_404" tooltip="Download" display="Download"/>
    <hyperlink ref="BP408" r:id="rId_hyperlink_405" tooltip="Download" display="Download"/>
    <hyperlink ref="BP409" r:id="rId_hyperlink_406" tooltip="Download" display="Download"/>
    <hyperlink ref="BP410" r:id="rId_hyperlink_407" tooltip="Download" display="Download"/>
    <hyperlink ref="BP411" r:id="rId_hyperlink_408" tooltip="Download" display="Download"/>
    <hyperlink ref="BP412" r:id="rId_hyperlink_409" tooltip="Download" display="Download"/>
    <hyperlink ref="BP413" r:id="rId_hyperlink_410" tooltip="Download" display="Download"/>
    <hyperlink ref="BP414" r:id="rId_hyperlink_411" tooltip="Download" display="Download"/>
    <hyperlink ref="BP415" r:id="rId_hyperlink_412" tooltip="Download" display="Download"/>
    <hyperlink ref="BP416" r:id="rId_hyperlink_413" tooltip="Download" display="Download"/>
    <hyperlink ref="BP417" r:id="rId_hyperlink_414" tooltip="Download" display="Download"/>
    <hyperlink ref="BP418" r:id="rId_hyperlink_415" tooltip="Download" display="Download"/>
    <hyperlink ref="BP419" r:id="rId_hyperlink_416" tooltip="Download" display="Download"/>
    <hyperlink ref="BP420" r:id="rId_hyperlink_417" tooltip="Download" display="Download"/>
    <hyperlink ref="BP421" r:id="rId_hyperlink_418" tooltip="Download" display="Download"/>
    <hyperlink ref="BP422" r:id="rId_hyperlink_419" tooltip="Download" display="Download"/>
    <hyperlink ref="BP423" r:id="rId_hyperlink_420" tooltip="Download" display="Download"/>
    <hyperlink ref="BP424" r:id="rId_hyperlink_421" tooltip="Download" display="Download"/>
    <hyperlink ref="BP425" r:id="rId_hyperlink_422" tooltip="Download" display="Download"/>
    <hyperlink ref="BP426" r:id="rId_hyperlink_423" tooltip="Download" display="Download"/>
    <hyperlink ref="BP427" r:id="rId_hyperlink_424" tooltip="Download" display="Download"/>
    <hyperlink ref="BP428" r:id="rId_hyperlink_425" tooltip="Download" display="Download"/>
    <hyperlink ref="BP429" r:id="rId_hyperlink_426" tooltip="Download" display="Download"/>
    <hyperlink ref="BP430" r:id="rId_hyperlink_427" tooltip="Download" display="Download"/>
    <hyperlink ref="BP431" r:id="rId_hyperlink_428" tooltip="Download" display="Download"/>
    <hyperlink ref="BP432" r:id="rId_hyperlink_429" tooltip="Download" display="Download"/>
    <hyperlink ref="BP433" r:id="rId_hyperlink_430" tooltip="Download" display="Download"/>
    <hyperlink ref="BP434" r:id="rId_hyperlink_431" tooltip="Download" display="Download"/>
    <hyperlink ref="BP435" r:id="rId_hyperlink_432" tooltip="Download" display="Download"/>
    <hyperlink ref="BP436" r:id="rId_hyperlink_433" tooltip="Download" display="Download"/>
    <hyperlink ref="BP437" r:id="rId_hyperlink_434" tooltip="Download" display="Download"/>
    <hyperlink ref="BP438" r:id="rId_hyperlink_435" tooltip="Download" display="Download"/>
    <hyperlink ref="BP439" r:id="rId_hyperlink_436" tooltip="Download" display="Download"/>
    <hyperlink ref="BP440" r:id="rId_hyperlink_437" tooltip="Download" display="Download"/>
    <hyperlink ref="BP441" r:id="rId_hyperlink_438" tooltip="Download" display="Download"/>
    <hyperlink ref="BP442" r:id="rId_hyperlink_439" tooltip="Download" display="Download"/>
    <hyperlink ref="BP443" r:id="rId_hyperlink_440" tooltip="Download" display="Download"/>
    <hyperlink ref="BP444" r:id="rId_hyperlink_441" tooltip="Download" display="Download"/>
    <hyperlink ref="BP445" r:id="rId_hyperlink_442" tooltip="Download" display="Download"/>
    <hyperlink ref="BP446" r:id="rId_hyperlink_443" tooltip="Download" display="Download"/>
    <hyperlink ref="BP447" r:id="rId_hyperlink_444" tooltip="Download" display="Download"/>
    <hyperlink ref="BP448" r:id="rId_hyperlink_445" tooltip="Download" display="Download"/>
    <hyperlink ref="BP449" r:id="rId_hyperlink_446" tooltip="Download" display="Download"/>
    <hyperlink ref="BP450" r:id="rId_hyperlink_447" tooltip="Download" display="Download"/>
    <hyperlink ref="BP451" r:id="rId_hyperlink_448" tooltip="Download" display="Download"/>
    <hyperlink ref="BP452" r:id="rId_hyperlink_449" tooltip="Download" display="Download"/>
    <hyperlink ref="BP453" r:id="rId_hyperlink_450" tooltip="Download" display="Download"/>
    <hyperlink ref="BP454" r:id="rId_hyperlink_451" tooltip="Download" display="Download"/>
    <hyperlink ref="BP455" r:id="rId_hyperlink_452" tooltip="Download" display="Download"/>
    <hyperlink ref="BP456" r:id="rId_hyperlink_453" tooltip="Download" display="Download"/>
    <hyperlink ref="BP457" r:id="rId_hyperlink_454" tooltip="Download" display="Download"/>
    <hyperlink ref="BP458" r:id="rId_hyperlink_455" tooltip="Download" display="Download"/>
    <hyperlink ref="BP459" r:id="rId_hyperlink_456" tooltip="Download" display="Download"/>
    <hyperlink ref="BP460" r:id="rId_hyperlink_457" tooltip="Download" display="Download"/>
    <hyperlink ref="BP461" r:id="rId_hyperlink_458" tooltip="Download" display="Download"/>
    <hyperlink ref="BP462" r:id="rId_hyperlink_459" tooltip="Download" display="Download"/>
    <hyperlink ref="BP463" r:id="rId_hyperlink_460" tooltip="Download" display="Download"/>
    <hyperlink ref="BP464" r:id="rId_hyperlink_461" tooltip="Download" display="Download"/>
    <hyperlink ref="BP465" r:id="rId_hyperlink_462" tooltip="Download" display="Download"/>
    <hyperlink ref="BP466" r:id="rId_hyperlink_463" tooltip="Download" display="Download"/>
    <hyperlink ref="BP467" r:id="rId_hyperlink_464" tooltip="Download" display="Download"/>
    <hyperlink ref="BP468" r:id="rId_hyperlink_465" tooltip="Download" display="Download"/>
    <hyperlink ref="BP469" r:id="rId_hyperlink_466" tooltip="Download" display="Download"/>
    <hyperlink ref="BP470" r:id="rId_hyperlink_467" tooltip="Download" display="Download"/>
    <hyperlink ref="BP471" r:id="rId_hyperlink_468" tooltip="Download" display="Download"/>
    <hyperlink ref="BP472" r:id="rId_hyperlink_469" tooltip="Download" display="Download"/>
    <hyperlink ref="BP473" r:id="rId_hyperlink_470" tooltip="Download" display="Download"/>
    <hyperlink ref="BP474" r:id="rId_hyperlink_471" tooltip="Download" display="Download"/>
    <hyperlink ref="BP475" r:id="rId_hyperlink_472" tooltip="Download" display="Download"/>
    <hyperlink ref="BP476" r:id="rId_hyperlink_473" tooltip="Download" display="Download"/>
    <hyperlink ref="BP477" r:id="rId_hyperlink_474" tooltip="Download" display="Download"/>
    <hyperlink ref="BP478" r:id="rId_hyperlink_475" tooltip="Download" display="Download"/>
    <hyperlink ref="BP479" r:id="rId_hyperlink_476" tooltip="Download" display="Download"/>
    <hyperlink ref="BP480" r:id="rId_hyperlink_477" tooltip="Download" display="Download"/>
    <hyperlink ref="BP481" r:id="rId_hyperlink_478" tooltip="Download" display="Download"/>
    <hyperlink ref="BP482" r:id="rId_hyperlink_479" tooltip="Download" display="Download"/>
    <hyperlink ref="BP483" r:id="rId_hyperlink_480" tooltip="Download" display="Download"/>
    <hyperlink ref="BP484" r:id="rId_hyperlink_481" tooltip="Download" display="Download"/>
    <hyperlink ref="BP485" r:id="rId_hyperlink_482" tooltip="Download" display="Download"/>
    <hyperlink ref="BP486" r:id="rId_hyperlink_483" tooltip="Download" display="Download"/>
    <hyperlink ref="BP487" r:id="rId_hyperlink_484" tooltip="Download" display="Download"/>
    <hyperlink ref="BP488" r:id="rId_hyperlink_485" tooltip="Download" display="Download"/>
    <hyperlink ref="BP489" r:id="rId_hyperlink_486" tooltip="Download" display="Download"/>
    <hyperlink ref="BP490" r:id="rId_hyperlink_487" tooltip="Download" display="Download"/>
    <hyperlink ref="BP491" r:id="rId_hyperlink_488" tooltip="Download" display="Download"/>
    <hyperlink ref="BP492" r:id="rId_hyperlink_489" tooltip="Download" display="Download"/>
    <hyperlink ref="BP493" r:id="rId_hyperlink_490" tooltip="Download" display="Download"/>
    <hyperlink ref="BP494" r:id="rId_hyperlink_491" tooltip="Download" display="Download"/>
    <hyperlink ref="BP495" r:id="rId_hyperlink_492" tooltip="Download" display="Download"/>
    <hyperlink ref="BP496" r:id="rId_hyperlink_493" tooltip="Download" display="Download"/>
    <hyperlink ref="BP497" r:id="rId_hyperlink_494" tooltip="Download" display="Download"/>
    <hyperlink ref="BP498" r:id="rId_hyperlink_495" tooltip="Download" display="Download"/>
    <hyperlink ref="BP499" r:id="rId_hyperlink_496" tooltip="Download" display="Download"/>
    <hyperlink ref="BP500" r:id="rId_hyperlink_497" tooltip="Download" display="Download"/>
    <hyperlink ref="BP501" r:id="rId_hyperlink_498" tooltip="Download" display="Download"/>
    <hyperlink ref="BP502" r:id="rId_hyperlink_499" tooltip="Download" display="Download"/>
    <hyperlink ref="BP503" r:id="rId_hyperlink_500" tooltip="Download" display="Download"/>
    <hyperlink ref="BP504" r:id="rId_hyperlink_501" tooltip="Download" display="Download"/>
    <hyperlink ref="BP505" r:id="rId_hyperlink_502" tooltip="Download" display="Download"/>
    <hyperlink ref="BP506" r:id="rId_hyperlink_503" tooltip="Download" display="Download"/>
    <hyperlink ref="BP507" r:id="rId_hyperlink_504" tooltip="Download" display="Download"/>
    <hyperlink ref="BP508" r:id="rId_hyperlink_505" tooltip="Download" display="Download"/>
    <hyperlink ref="BP509" r:id="rId_hyperlink_506" tooltip="Download" display="Download"/>
    <hyperlink ref="BP510" r:id="rId_hyperlink_507" tooltip="Download" display="Download"/>
    <hyperlink ref="BP511" r:id="rId_hyperlink_508" tooltip="Download" display="Download"/>
    <hyperlink ref="BP512" r:id="rId_hyperlink_509" tooltip="Download" display="Download"/>
    <hyperlink ref="BP513" r:id="rId_hyperlink_510" tooltip="Download" display="Download"/>
    <hyperlink ref="BP514" r:id="rId_hyperlink_511" tooltip="Download" display="Download"/>
    <hyperlink ref="BP515" r:id="rId_hyperlink_512" tooltip="Download" display="Download"/>
    <hyperlink ref="BP516" r:id="rId_hyperlink_513" tooltip="Download" display="Download"/>
    <hyperlink ref="BP517" r:id="rId_hyperlink_514" tooltip="Download" display="Download"/>
    <hyperlink ref="BP518" r:id="rId_hyperlink_515" tooltip="Download" display="Download"/>
    <hyperlink ref="BP519" r:id="rId_hyperlink_516" tooltip="Download" display="Download"/>
    <hyperlink ref="BP520" r:id="rId_hyperlink_517" tooltip="Download" display="Download"/>
    <hyperlink ref="BP521" r:id="rId_hyperlink_518" tooltip="Download" display="Download"/>
    <hyperlink ref="BP522" r:id="rId_hyperlink_519" tooltip="Download" display="Download"/>
    <hyperlink ref="BP523" r:id="rId_hyperlink_520" tooltip="Download" display="Download"/>
    <hyperlink ref="BP524" r:id="rId_hyperlink_521" tooltip="Download" display="Download"/>
    <hyperlink ref="BP525" r:id="rId_hyperlink_522" tooltip="Download" display="Download"/>
    <hyperlink ref="BP526" r:id="rId_hyperlink_523" tooltip="Download" display="Download"/>
    <hyperlink ref="BP527" r:id="rId_hyperlink_524" tooltip="Download" display="Download"/>
    <hyperlink ref="BP528" r:id="rId_hyperlink_525" tooltip="Download" display="Download"/>
    <hyperlink ref="BP529" r:id="rId_hyperlink_526" tooltip="Download" display="Download"/>
    <hyperlink ref="BP530" r:id="rId_hyperlink_527" tooltip="Download" display="Download"/>
    <hyperlink ref="BP531" r:id="rId_hyperlink_528" tooltip="Download" display="Download"/>
    <hyperlink ref="BP532" r:id="rId_hyperlink_529" tooltip="Download" display="Download"/>
    <hyperlink ref="BP533" r:id="rId_hyperlink_530" tooltip="Download" display="Download"/>
    <hyperlink ref="BP534" r:id="rId_hyperlink_531" tooltip="Download" display="Download"/>
    <hyperlink ref="BP535" r:id="rId_hyperlink_532" tooltip="Download" display="Download"/>
    <hyperlink ref="BP536" r:id="rId_hyperlink_533" tooltip="Download" display="Download"/>
    <hyperlink ref="BP537" r:id="rId_hyperlink_534" tooltip="Download" display="Download"/>
    <hyperlink ref="BP538" r:id="rId_hyperlink_535" tooltip="Download" display="Download"/>
    <hyperlink ref="BP539" r:id="rId_hyperlink_536" tooltip="Download" display="Download"/>
    <hyperlink ref="BP540" r:id="rId_hyperlink_537" tooltip="Download" display="Download"/>
    <hyperlink ref="BP541" r:id="rId_hyperlink_538" tooltip="Download" display="Download"/>
    <hyperlink ref="BP542" r:id="rId_hyperlink_539" tooltip="Download" display="Download"/>
    <hyperlink ref="BP543" r:id="rId_hyperlink_540" tooltip="Download" display="Download"/>
    <hyperlink ref="BP544" r:id="rId_hyperlink_541" tooltip="Download" display="Download"/>
    <hyperlink ref="BP545" r:id="rId_hyperlink_542" tooltip="Download" display="Download"/>
    <hyperlink ref="BP546" r:id="rId_hyperlink_543" tooltip="Download" display="Download"/>
    <hyperlink ref="BP547" r:id="rId_hyperlink_544" tooltip="Download" display="Download"/>
    <hyperlink ref="BP548" r:id="rId_hyperlink_545" tooltip="Download" display="Download"/>
    <hyperlink ref="BP549" r:id="rId_hyperlink_546" tooltip="Download" display="Download"/>
    <hyperlink ref="BP550" r:id="rId_hyperlink_547" tooltip="Download" display="Download"/>
    <hyperlink ref="BP551" r:id="rId_hyperlink_548" tooltip="Download" display="Download"/>
    <hyperlink ref="BP552" r:id="rId_hyperlink_549" tooltip="Download" display="Download"/>
    <hyperlink ref="BP553" r:id="rId_hyperlink_550" tooltip="Download" display="Download"/>
    <hyperlink ref="BP554" r:id="rId_hyperlink_551" tooltip="Download" display="Download"/>
    <hyperlink ref="BP555" r:id="rId_hyperlink_552" tooltip="Download" display="Download"/>
    <hyperlink ref="BP556" r:id="rId_hyperlink_553" tooltip="Download" display="Download"/>
    <hyperlink ref="BP557" r:id="rId_hyperlink_554" tooltip="Download" display="Download"/>
    <hyperlink ref="BP558" r:id="rId_hyperlink_555" tooltip="Download" display="Download"/>
    <hyperlink ref="BP559" r:id="rId_hyperlink_556" tooltip="Download" display="Download"/>
    <hyperlink ref="BP560" r:id="rId_hyperlink_557" tooltip="Download" display="Download"/>
    <hyperlink ref="BP561" r:id="rId_hyperlink_558" tooltip="Download" display="Download"/>
    <hyperlink ref="BP562" r:id="rId_hyperlink_559" tooltip="Download" display="Download"/>
    <hyperlink ref="BP563" r:id="rId_hyperlink_560" tooltip="Download" display="Download"/>
    <hyperlink ref="BP564" r:id="rId_hyperlink_561" tooltip="Download" display="Download"/>
    <hyperlink ref="BP565" r:id="rId_hyperlink_562" tooltip="Download" display="Download"/>
    <hyperlink ref="BP566" r:id="rId_hyperlink_563" tooltip="Download" display="Download"/>
    <hyperlink ref="BP567" r:id="rId_hyperlink_564" tooltip="Download" display="Download"/>
    <hyperlink ref="BP568" r:id="rId_hyperlink_565" tooltip="Download" display="Download"/>
    <hyperlink ref="BP569" r:id="rId_hyperlink_566" tooltip="Download" display="Download"/>
    <hyperlink ref="BP570" r:id="rId_hyperlink_567" tooltip="Download" display="Download"/>
    <hyperlink ref="BP571" r:id="rId_hyperlink_568" tooltip="Download" display="Download"/>
    <hyperlink ref="BP572" r:id="rId_hyperlink_569" tooltip="Download" display="Download"/>
    <hyperlink ref="BP573" r:id="rId_hyperlink_570" tooltip="Download" display="Download"/>
    <hyperlink ref="BP574" r:id="rId_hyperlink_571" tooltip="Download" display="Download"/>
    <hyperlink ref="BP575" r:id="rId_hyperlink_572" tooltip="Download" display="Download"/>
    <hyperlink ref="BP576" r:id="rId_hyperlink_573" tooltip="Download" display="Download"/>
    <hyperlink ref="BP577" r:id="rId_hyperlink_574" tooltip="Download" display="Download"/>
    <hyperlink ref="BP578" r:id="rId_hyperlink_575" tooltip="Download" display="Download"/>
    <hyperlink ref="BP579" r:id="rId_hyperlink_576" tooltip="Download" display="Download"/>
    <hyperlink ref="BP580" r:id="rId_hyperlink_577" tooltip="Download" display="Download"/>
    <hyperlink ref="BP581" r:id="rId_hyperlink_578" tooltip="Download" display="Download"/>
    <hyperlink ref="BP582" r:id="rId_hyperlink_579" tooltip="Download" display="Download"/>
    <hyperlink ref="BP583" r:id="rId_hyperlink_580" tooltip="Download" display="Download"/>
    <hyperlink ref="BP584" r:id="rId_hyperlink_581" tooltip="Download" display="Download"/>
    <hyperlink ref="BP585" r:id="rId_hyperlink_582" tooltip="Download" display="Download"/>
    <hyperlink ref="BP586" r:id="rId_hyperlink_583" tooltip="Download" display="Download"/>
    <hyperlink ref="BP587" r:id="rId_hyperlink_584" tooltip="Download" display="Download"/>
    <hyperlink ref="BP588" r:id="rId_hyperlink_585" tooltip="Download" display="Download"/>
    <hyperlink ref="BP589" r:id="rId_hyperlink_586" tooltip="Download" display="Download"/>
    <hyperlink ref="BP590" r:id="rId_hyperlink_587" tooltip="Download" display="Download"/>
    <hyperlink ref="BP591" r:id="rId_hyperlink_588" tooltip="Download" display="Download"/>
    <hyperlink ref="BP592" r:id="rId_hyperlink_589" tooltip="Download" display="Download"/>
    <hyperlink ref="BP593" r:id="rId_hyperlink_590" tooltip="Download" display="Download"/>
    <hyperlink ref="BP594" r:id="rId_hyperlink_591" tooltip="Download" display="Download"/>
    <hyperlink ref="BP595" r:id="rId_hyperlink_592" tooltip="Download" display="Download"/>
    <hyperlink ref="BP596" r:id="rId_hyperlink_593" tooltip="Download" display="Download"/>
    <hyperlink ref="BP597" r:id="rId_hyperlink_594" tooltip="Download" display="Download"/>
    <hyperlink ref="BP598" r:id="rId_hyperlink_595" tooltip="Download" display="Download"/>
    <hyperlink ref="BP599" r:id="rId_hyperlink_596" tooltip="Download" display="Download"/>
    <hyperlink ref="BP600" r:id="rId_hyperlink_597" tooltip="Download" display="Download"/>
    <hyperlink ref="BP601" r:id="rId_hyperlink_598" tooltip="Download" display="Download"/>
    <hyperlink ref="BP602" r:id="rId_hyperlink_599" tooltip="Download" display="Download"/>
    <hyperlink ref="BP603" r:id="rId_hyperlink_600" tooltip="Download" display="Download"/>
    <hyperlink ref="BP604" r:id="rId_hyperlink_601" tooltip="Download" display="Download"/>
    <hyperlink ref="BP605" r:id="rId_hyperlink_602" tooltip="Download" display="Download"/>
    <hyperlink ref="BP606" r:id="rId_hyperlink_603" tooltip="Download" display="Download"/>
    <hyperlink ref="BP607" r:id="rId_hyperlink_604" tooltip="Download" display="Download"/>
    <hyperlink ref="BP608" r:id="rId_hyperlink_605" tooltip="Download" display="Download"/>
    <hyperlink ref="BP609" r:id="rId_hyperlink_606" tooltip="Download" display="Download"/>
    <hyperlink ref="BP610" r:id="rId_hyperlink_607" tooltip="Download" display="Download"/>
    <hyperlink ref="BP611" r:id="rId_hyperlink_608" tooltip="Download" display="Download"/>
    <hyperlink ref="BP612" r:id="rId_hyperlink_609" tooltip="Download" display="Download"/>
    <hyperlink ref="BP613" r:id="rId_hyperlink_610" tooltip="Download" display="Download"/>
    <hyperlink ref="BP614" r:id="rId_hyperlink_611" tooltip="Download" display="Download"/>
    <hyperlink ref="BP615" r:id="rId_hyperlink_612" tooltip="Download" display="Download"/>
    <hyperlink ref="BP616" r:id="rId_hyperlink_613" tooltip="Download" display="Download"/>
    <hyperlink ref="BP617" r:id="rId_hyperlink_614" tooltip="Download" display="Download"/>
    <hyperlink ref="BP618" r:id="rId_hyperlink_615" tooltip="Download" display="Download"/>
    <hyperlink ref="BP619" r:id="rId_hyperlink_616" tooltip="Download" display="Download"/>
    <hyperlink ref="BP620" r:id="rId_hyperlink_617" tooltip="Download" display="Download"/>
    <hyperlink ref="BP621" r:id="rId_hyperlink_618" tooltip="Download" display="Download"/>
    <hyperlink ref="BP622" r:id="rId_hyperlink_619" tooltip="Download" display="Download"/>
    <hyperlink ref="BP623" r:id="rId_hyperlink_620" tooltip="Download" display="Download"/>
    <hyperlink ref="BP624" r:id="rId_hyperlink_621" tooltip="Download" display="Download"/>
    <hyperlink ref="BP625" r:id="rId_hyperlink_622" tooltip="Download" display="Download"/>
    <hyperlink ref="BP626" r:id="rId_hyperlink_623" tooltip="Download" display="Download"/>
    <hyperlink ref="BP627" r:id="rId_hyperlink_624" tooltip="Download" display="Download"/>
    <hyperlink ref="BP628" r:id="rId_hyperlink_625" tooltip="Download" display="Download"/>
    <hyperlink ref="BP629" r:id="rId_hyperlink_626" tooltip="Download" display="Download"/>
    <hyperlink ref="BP630" r:id="rId_hyperlink_627" tooltip="Download" display="Download"/>
    <hyperlink ref="BP631" r:id="rId_hyperlink_628" tooltip="Download" display="Download"/>
    <hyperlink ref="BP632" r:id="rId_hyperlink_629" tooltip="Download" display="Download"/>
    <hyperlink ref="BP633" r:id="rId_hyperlink_630" tooltip="Download" display="Download"/>
    <hyperlink ref="BP634" r:id="rId_hyperlink_631" tooltip="Download" display="Download"/>
    <hyperlink ref="BP635" r:id="rId_hyperlink_632" tooltip="Download" display="Download"/>
    <hyperlink ref="BP636" r:id="rId_hyperlink_633" tooltip="Download" display="Download"/>
    <hyperlink ref="BP637" r:id="rId_hyperlink_634" tooltip="Download" display="Download"/>
    <hyperlink ref="BP638" r:id="rId_hyperlink_635" tooltip="Download" display="Download"/>
    <hyperlink ref="BP639" r:id="rId_hyperlink_636" tooltip="Download" display="Download"/>
    <hyperlink ref="BP640" r:id="rId_hyperlink_637" tooltip="Download" display="Download"/>
    <hyperlink ref="BP641" r:id="rId_hyperlink_638" tooltip="Download" display="Download"/>
    <hyperlink ref="BP642" r:id="rId_hyperlink_639" tooltip="Download" display="Download"/>
    <hyperlink ref="BP643" r:id="rId_hyperlink_640" tooltip="Download" display="Download"/>
    <hyperlink ref="BP644" r:id="rId_hyperlink_641" tooltip="Download" display="Download"/>
    <hyperlink ref="BP645" r:id="rId_hyperlink_642" tooltip="Download" display="Download"/>
    <hyperlink ref="BP646" r:id="rId_hyperlink_643" tooltip="Download" display="Download"/>
    <hyperlink ref="BP647" r:id="rId_hyperlink_644" tooltip="Download" display="Download"/>
    <hyperlink ref="BP648" r:id="rId_hyperlink_645" tooltip="Download" display="Download"/>
    <hyperlink ref="BP649" r:id="rId_hyperlink_646" tooltip="Download" display="Download"/>
    <hyperlink ref="BP650" r:id="rId_hyperlink_647" tooltip="Download" display="Download"/>
    <hyperlink ref="BP651" r:id="rId_hyperlink_648" tooltip="Download" display="Download"/>
    <hyperlink ref="BP652" r:id="rId_hyperlink_649" tooltip="Download" display="Download"/>
    <hyperlink ref="BP653" r:id="rId_hyperlink_650" tooltip="Download" display="Download"/>
    <hyperlink ref="BP654" r:id="rId_hyperlink_651" tooltip="Download" display="Download"/>
    <hyperlink ref="BP655" r:id="rId_hyperlink_652" tooltip="Download" display="Download"/>
    <hyperlink ref="BP656" r:id="rId_hyperlink_653" tooltip="Download" display="Download"/>
    <hyperlink ref="BP657" r:id="rId_hyperlink_654" tooltip="Download" display="Download"/>
    <hyperlink ref="BP658" r:id="rId_hyperlink_655" tooltip="Download" display="Download"/>
    <hyperlink ref="BP659" r:id="rId_hyperlink_656" tooltip="Download" display="Download"/>
    <hyperlink ref="BP660" r:id="rId_hyperlink_657" tooltip="Download" display="Download"/>
    <hyperlink ref="BP661" r:id="rId_hyperlink_658" tooltip="Download" display="Download"/>
    <hyperlink ref="BP662" r:id="rId_hyperlink_659" tooltip="Download" display="Download"/>
    <hyperlink ref="BP663" r:id="rId_hyperlink_660" tooltip="Download" display="Download"/>
    <hyperlink ref="BP664" r:id="rId_hyperlink_661" tooltip="Download" display="Download"/>
    <hyperlink ref="BP665" r:id="rId_hyperlink_662" tooltip="Download" display="Download"/>
    <hyperlink ref="BP666" r:id="rId_hyperlink_663" tooltip="Download" display="Download"/>
    <hyperlink ref="BP667" r:id="rId_hyperlink_664" tooltip="Download" display="Download"/>
    <hyperlink ref="BP668" r:id="rId_hyperlink_665" tooltip="Download" display="Download"/>
    <hyperlink ref="BP669" r:id="rId_hyperlink_666" tooltip="Download" display="Download"/>
    <hyperlink ref="BP670" r:id="rId_hyperlink_667" tooltip="Download" display="Download"/>
    <hyperlink ref="BP671" r:id="rId_hyperlink_668" tooltip="Download" display="Download"/>
    <hyperlink ref="BP672" r:id="rId_hyperlink_669" tooltip="Download" display="Download"/>
    <hyperlink ref="BP673" r:id="rId_hyperlink_670" tooltip="Download" display="Download"/>
    <hyperlink ref="BP674" r:id="rId_hyperlink_671" tooltip="Download" display="Download"/>
    <hyperlink ref="BP675" r:id="rId_hyperlink_672" tooltip="Download" display="Download"/>
    <hyperlink ref="BP676" r:id="rId_hyperlink_673" tooltip="Download" display="Download"/>
    <hyperlink ref="BP677" r:id="rId_hyperlink_674" tooltip="Download" display="Download"/>
    <hyperlink ref="BP678" r:id="rId_hyperlink_675" tooltip="Download" display="Download"/>
    <hyperlink ref="BP679" r:id="rId_hyperlink_676" tooltip="Download" display="Download"/>
    <hyperlink ref="BP680" r:id="rId_hyperlink_677" tooltip="Download" display="Download"/>
    <hyperlink ref="BP681" r:id="rId_hyperlink_678" tooltip="Download" display="Download"/>
    <hyperlink ref="BP682" r:id="rId_hyperlink_679" tooltip="Download" display="Download"/>
    <hyperlink ref="BP683" r:id="rId_hyperlink_680" tooltip="Download" display="Download"/>
    <hyperlink ref="BP684" r:id="rId_hyperlink_681" tooltip="Download" display="Download"/>
    <hyperlink ref="BP685" r:id="rId_hyperlink_682" tooltip="Download" display="Download"/>
    <hyperlink ref="BP686" r:id="rId_hyperlink_683" tooltip="Download" display="Download"/>
    <hyperlink ref="BP687" r:id="rId_hyperlink_684" tooltip="Download" display="Download"/>
    <hyperlink ref="BP688" r:id="rId_hyperlink_685" tooltip="Download" display="Download"/>
    <hyperlink ref="BP689" r:id="rId_hyperlink_686" tooltip="Download" display="Download"/>
    <hyperlink ref="BP690" r:id="rId_hyperlink_687" tooltip="Download" display="Download"/>
    <hyperlink ref="BP691" r:id="rId_hyperlink_688" tooltip="Download" display="Download"/>
    <hyperlink ref="BP692" r:id="rId_hyperlink_689" tooltip="Download" display="Download"/>
    <hyperlink ref="BP693" r:id="rId_hyperlink_690" tooltip="Download" display="Download"/>
    <hyperlink ref="BP694" r:id="rId_hyperlink_691" tooltip="Download" display="Download"/>
    <hyperlink ref="BP695" r:id="rId_hyperlink_692" tooltip="Download" display="Download"/>
    <hyperlink ref="BP696" r:id="rId_hyperlink_693" tooltip="Download" display="Download"/>
    <hyperlink ref="BP697" r:id="rId_hyperlink_694" tooltip="Download" display="Download"/>
    <hyperlink ref="BP698" r:id="rId_hyperlink_695" tooltip="Download" display="Download"/>
    <hyperlink ref="BP699" r:id="rId_hyperlink_696" tooltip="Download" display="Download"/>
    <hyperlink ref="BP700" r:id="rId_hyperlink_697" tooltip="Download" display="Download"/>
    <hyperlink ref="BP701" r:id="rId_hyperlink_698" tooltip="Download" display="Download"/>
    <hyperlink ref="BP702" r:id="rId_hyperlink_699" tooltip="Download" display="Download"/>
    <hyperlink ref="BP703" r:id="rId_hyperlink_700" tooltip="Download" display="Download"/>
    <hyperlink ref="BP704" r:id="rId_hyperlink_701" tooltip="Download" display="Download"/>
    <hyperlink ref="BP705" r:id="rId_hyperlink_702" tooltip="Download" display="Download"/>
    <hyperlink ref="BP706" r:id="rId_hyperlink_703" tooltip="Download" display="Download"/>
    <hyperlink ref="BP707" r:id="rId_hyperlink_704" tooltip="Download" display="Download"/>
    <hyperlink ref="BP708" r:id="rId_hyperlink_705" tooltip="Download" display="Download"/>
    <hyperlink ref="BP709" r:id="rId_hyperlink_706" tooltip="Download" display="Download"/>
    <hyperlink ref="BP710" r:id="rId_hyperlink_707" tooltip="Download" display="Download"/>
    <hyperlink ref="BP711" r:id="rId_hyperlink_708" tooltip="Download" display="Download"/>
    <hyperlink ref="BP712" r:id="rId_hyperlink_709" tooltip="Download" display="Download"/>
    <hyperlink ref="BP713" r:id="rId_hyperlink_710" tooltip="Download" display="Download"/>
    <hyperlink ref="BP714" r:id="rId_hyperlink_711" tooltip="Download" display="Download"/>
    <hyperlink ref="BP715" r:id="rId_hyperlink_712" tooltip="Download" display="Download"/>
    <hyperlink ref="BP716" r:id="rId_hyperlink_713" tooltip="Download" display="Download"/>
    <hyperlink ref="BP717" r:id="rId_hyperlink_714" tooltip="Download" display="Download"/>
    <hyperlink ref="BP718" r:id="rId_hyperlink_715" tooltip="Download" display="Download"/>
    <hyperlink ref="BP719" r:id="rId_hyperlink_716" tooltip="Download" display="Download"/>
    <hyperlink ref="BP720" r:id="rId_hyperlink_717" tooltip="Download" display="Download"/>
    <hyperlink ref="BP721" r:id="rId_hyperlink_718" tooltip="Download" display="Download"/>
    <hyperlink ref="BP722" r:id="rId_hyperlink_719" tooltip="Download" display="Download"/>
    <hyperlink ref="BP723" r:id="rId_hyperlink_720" tooltip="Download" display="Download"/>
    <hyperlink ref="BP724" r:id="rId_hyperlink_721" tooltip="Download" display="Download"/>
    <hyperlink ref="BP725" r:id="rId_hyperlink_722" tooltip="Download" display="Download"/>
    <hyperlink ref="BP726" r:id="rId_hyperlink_723" tooltip="Download" display="Download"/>
    <hyperlink ref="BP727" r:id="rId_hyperlink_724" tooltip="Download" display="Download"/>
    <hyperlink ref="BP728" r:id="rId_hyperlink_725" tooltip="Download" display="Download"/>
    <hyperlink ref="BP729" r:id="rId_hyperlink_726" tooltip="Download" display="Download"/>
    <hyperlink ref="BP730" r:id="rId_hyperlink_727" tooltip="Download" display="Download"/>
    <hyperlink ref="BP731" r:id="rId_hyperlink_728" tooltip="Download" display="Download"/>
    <hyperlink ref="BP732" r:id="rId_hyperlink_729" tooltip="Download" display="Download"/>
    <hyperlink ref="BP733" r:id="rId_hyperlink_730" tooltip="Download" display="Download"/>
    <hyperlink ref="BP734" r:id="rId_hyperlink_731" tooltip="Download" display="Download"/>
    <hyperlink ref="BP735" r:id="rId_hyperlink_732" tooltip="Download" display="Download"/>
    <hyperlink ref="BP736" r:id="rId_hyperlink_733" tooltip="Download" display="Download"/>
    <hyperlink ref="BP737" r:id="rId_hyperlink_734" tooltip="Download" display="Download"/>
    <hyperlink ref="BP738" r:id="rId_hyperlink_735" tooltip="Download" display="Download"/>
    <hyperlink ref="BP739" r:id="rId_hyperlink_736" tooltip="Download" display="Download"/>
    <hyperlink ref="BP740" r:id="rId_hyperlink_737" tooltip="Download" display="Download"/>
    <hyperlink ref="BP741" r:id="rId_hyperlink_738" tooltip="Download" display="Download"/>
    <hyperlink ref="BP742" r:id="rId_hyperlink_739" tooltip="Download" display="Download"/>
    <hyperlink ref="BP743" r:id="rId_hyperlink_740" tooltip="Download" display="Download"/>
    <hyperlink ref="BP744" r:id="rId_hyperlink_741" tooltip="Download" display="Download"/>
    <hyperlink ref="BP745" r:id="rId_hyperlink_742" tooltip="Download" display="Download"/>
    <hyperlink ref="BP746" r:id="rId_hyperlink_743" tooltip="Download" display="Download"/>
    <hyperlink ref="BP747" r:id="rId_hyperlink_744" tooltip="Download" display="Download"/>
    <hyperlink ref="BP748" r:id="rId_hyperlink_745" tooltip="Download" display="Download"/>
    <hyperlink ref="BP749" r:id="rId_hyperlink_746" tooltip="Download" display="Download"/>
    <hyperlink ref="BP750" r:id="rId_hyperlink_747" tooltip="Download" display="Download"/>
    <hyperlink ref="BP751" r:id="rId_hyperlink_748" tooltip="Download" display="Download"/>
    <hyperlink ref="BP752" r:id="rId_hyperlink_749" tooltip="Download" display="Download"/>
    <hyperlink ref="BP753" r:id="rId_hyperlink_750" tooltip="Download" display="Download"/>
    <hyperlink ref="BP754" r:id="rId_hyperlink_751" tooltip="Download" display="Download"/>
    <hyperlink ref="BP755" r:id="rId_hyperlink_752" tooltip="Download" display="Download"/>
    <hyperlink ref="BP756" r:id="rId_hyperlink_753" tooltip="Download" display="Download"/>
    <hyperlink ref="BP757" r:id="rId_hyperlink_754" tooltip="Download" display="Download"/>
    <hyperlink ref="BP758" r:id="rId_hyperlink_755" tooltip="Download" display="Download"/>
    <hyperlink ref="BP759" r:id="rId_hyperlink_756" tooltip="Download" display="Download"/>
    <hyperlink ref="BP760" r:id="rId_hyperlink_757" tooltip="Download" display="Download"/>
    <hyperlink ref="BP761" r:id="rId_hyperlink_758" tooltip="Download" display="Download"/>
    <hyperlink ref="BP762" r:id="rId_hyperlink_759" tooltip="Download" display="Download"/>
    <hyperlink ref="BP763" r:id="rId_hyperlink_760" tooltip="Download" display="Download"/>
    <hyperlink ref="BP764" r:id="rId_hyperlink_761" tooltip="Download" display="Download"/>
    <hyperlink ref="BP765" r:id="rId_hyperlink_762" tooltip="Download" display="Download"/>
    <hyperlink ref="BP766" r:id="rId_hyperlink_763" tooltip="Download" display="Download"/>
    <hyperlink ref="BP767" r:id="rId_hyperlink_764" tooltip="Download" display="Download"/>
    <hyperlink ref="BP768" r:id="rId_hyperlink_765" tooltip="Download" display="Download"/>
    <hyperlink ref="BP769" r:id="rId_hyperlink_766" tooltip="Download" display="Download"/>
    <hyperlink ref="BP770" r:id="rId_hyperlink_767" tooltip="Download" display="Download"/>
    <hyperlink ref="BP771" r:id="rId_hyperlink_768" tooltip="Download" display="Download"/>
    <hyperlink ref="BP772" r:id="rId_hyperlink_769" tooltip="Download" display="Download"/>
    <hyperlink ref="BP773" r:id="rId_hyperlink_770" tooltip="Download" display="Download"/>
    <hyperlink ref="BP774" r:id="rId_hyperlink_771" tooltip="Download" display="Download"/>
    <hyperlink ref="BP775" r:id="rId_hyperlink_772" tooltip="Download" display="Download"/>
    <hyperlink ref="BP776" r:id="rId_hyperlink_773" tooltip="Download" display="Download"/>
    <hyperlink ref="BP777" r:id="rId_hyperlink_774" tooltip="Download" display="Download"/>
    <hyperlink ref="BP778" r:id="rId_hyperlink_775" tooltip="Download" display="Download"/>
    <hyperlink ref="BP779" r:id="rId_hyperlink_776" tooltip="Download" display="Download"/>
    <hyperlink ref="BP780" r:id="rId_hyperlink_777" tooltip="Download" display="Download"/>
    <hyperlink ref="BP781" r:id="rId_hyperlink_778" tooltip="Download" display="Download"/>
    <hyperlink ref="BP782" r:id="rId_hyperlink_779" tooltip="Download" display="Download"/>
    <hyperlink ref="BP783" r:id="rId_hyperlink_780" tooltip="Download" display="Download"/>
    <hyperlink ref="BP784" r:id="rId_hyperlink_781" tooltip="Download" display="Download"/>
    <hyperlink ref="BP785" r:id="rId_hyperlink_782" tooltip="Download" display="Download"/>
    <hyperlink ref="BP786" r:id="rId_hyperlink_783" tooltip="Download" display="Download"/>
    <hyperlink ref="BP787" r:id="rId_hyperlink_784" tooltip="Download" display="Download"/>
    <hyperlink ref="BP788" r:id="rId_hyperlink_785" tooltip="Download" display="Download"/>
    <hyperlink ref="BP789" r:id="rId_hyperlink_786" tooltip="Download" display="Download"/>
    <hyperlink ref="BP790" r:id="rId_hyperlink_787" tooltip="Download" display="Download"/>
    <hyperlink ref="BP791" r:id="rId_hyperlink_788" tooltip="Download" display="Download"/>
    <hyperlink ref="BP792" r:id="rId_hyperlink_789" tooltip="Download" display="Download"/>
    <hyperlink ref="BP793" r:id="rId_hyperlink_790" tooltip="Download" display="Download"/>
    <hyperlink ref="BP794" r:id="rId_hyperlink_791" tooltip="Download" display="Download"/>
    <hyperlink ref="BP795" r:id="rId_hyperlink_792" tooltip="Download" display="Download"/>
    <hyperlink ref="BP796" r:id="rId_hyperlink_793" tooltip="Download" display="Download"/>
    <hyperlink ref="BP797" r:id="rId_hyperlink_794" tooltip="Download" display="Download"/>
    <hyperlink ref="BP798" r:id="rId_hyperlink_795" tooltip="Download" display="Download"/>
    <hyperlink ref="BP799" r:id="rId_hyperlink_796" tooltip="Download" display="Download"/>
    <hyperlink ref="BP800" r:id="rId_hyperlink_797" tooltip="Download" display="Download"/>
    <hyperlink ref="BP801" r:id="rId_hyperlink_798" tooltip="Download" display="Download"/>
    <hyperlink ref="BP802" r:id="rId_hyperlink_799" tooltip="Download" display="Download"/>
    <hyperlink ref="BP803" r:id="rId_hyperlink_800" tooltip="Download" display="Download"/>
    <hyperlink ref="BP804" r:id="rId_hyperlink_801" tooltip="Download" display="Download"/>
    <hyperlink ref="BP805" r:id="rId_hyperlink_802" tooltip="Download" display="Download"/>
    <hyperlink ref="BP806" r:id="rId_hyperlink_803" tooltip="Download" display="Download"/>
    <hyperlink ref="BP807" r:id="rId_hyperlink_804" tooltip="Download" display="Download"/>
    <hyperlink ref="BP808" r:id="rId_hyperlink_805" tooltip="Download" display="Download"/>
    <hyperlink ref="BP809" r:id="rId_hyperlink_806" tooltip="Download" display="Download"/>
    <hyperlink ref="BP810" r:id="rId_hyperlink_807" tooltip="Download" display="Download"/>
    <hyperlink ref="BP811" r:id="rId_hyperlink_808" tooltip="Download" display="Download"/>
    <hyperlink ref="BP812" r:id="rId_hyperlink_809" tooltip="Download" display="Download"/>
    <hyperlink ref="BP813" r:id="rId_hyperlink_810" tooltip="Download" display="Download"/>
    <hyperlink ref="BP814" r:id="rId_hyperlink_811" tooltip="Download" display="Download"/>
    <hyperlink ref="BP815" r:id="rId_hyperlink_812" tooltip="Download" display="Download"/>
    <hyperlink ref="BP816" r:id="rId_hyperlink_813" tooltip="Download" display="Download"/>
    <hyperlink ref="BP817" r:id="rId_hyperlink_814" tooltip="Download" display="Download"/>
    <hyperlink ref="BP818" r:id="rId_hyperlink_815" tooltip="Download" display="Download"/>
    <hyperlink ref="BP819" r:id="rId_hyperlink_816" tooltip="Download" display="Download"/>
    <hyperlink ref="BP820" r:id="rId_hyperlink_817" tooltip="Download" display="Download"/>
    <hyperlink ref="BP821" r:id="rId_hyperlink_818" tooltip="Download" display="Download"/>
    <hyperlink ref="BP822" r:id="rId_hyperlink_819" tooltip="Download" display="Download"/>
    <hyperlink ref="BP823" r:id="rId_hyperlink_820" tooltip="Download" display="Download"/>
    <hyperlink ref="BP824" r:id="rId_hyperlink_821" tooltip="Download" display="Download"/>
    <hyperlink ref="BP825" r:id="rId_hyperlink_822" tooltip="Download" display="Download"/>
    <hyperlink ref="BP826" r:id="rId_hyperlink_823" tooltip="Download" display="Download"/>
    <hyperlink ref="BP827" r:id="rId_hyperlink_824" tooltip="Download" display="Download"/>
    <hyperlink ref="BP828" r:id="rId_hyperlink_825" tooltip="Download" display="Download"/>
    <hyperlink ref="BP829" r:id="rId_hyperlink_826" tooltip="Download" display="Download"/>
    <hyperlink ref="BP830" r:id="rId_hyperlink_827" tooltip="Download" display="Download"/>
    <hyperlink ref="BP831" r:id="rId_hyperlink_828" tooltip="Download" display="Download"/>
    <hyperlink ref="BP832" r:id="rId_hyperlink_829" tooltip="Download" display="Download"/>
    <hyperlink ref="BP833" r:id="rId_hyperlink_830" tooltip="Download" display="Download"/>
    <hyperlink ref="BP834" r:id="rId_hyperlink_831" tooltip="Download" display="Download"/>
    <hyperlink ref="BP835" r:id="rId_hyperlink_832" tooltip="Download" display="Download"/>
    <hyperlink ref="BP836" r:id="rId_hyperlink_833" tooltip="Download" display="Download"/>
    <hyperlink ref="BP837" r:id="rId_hyperlink_834" tooltip="Download" display="Download"/>
    <hyperlink ref="BP838" r:id="rId_hyperlink_835" tooltip="Download" display="Download"/>
    <hyperlink ref="BP839" r:id="rId_hyperlink_836" tooltip="Download" display="Download"/>
    <hyperlink ref="BP840" r:id="rId_hyperlink_837" tooltip="Download" display="Download"/>
    <hyperlink ref="BP841" r:id="rId_hyperlink_838" tooltip="Download" display="Download"/>
    <hyperlink ref="BP842" r:id="rId_hyperlink_839" tooltip="Download" display="Download"/>
    <hyperlink ref="BP843" r:id="rId_hyperlink_840" tooltip="Download" display="Download"/>
    <hyperlink ref="BP844" r:id="rId_hyperlink_841" tooltip="Download" display="Download"/>
    <hyperlink ref="BP845" r:id="rId_hyperlink_842" tooltip="Download" display="Download"/>
    <hyperlink ref="BP846" r:id="rId_hyperlink_843" tooltip="Download" display="Download"/>
    <hyperlink ref="BP847" r:id="rId_hyperlink_844" tooltip="Download" display="Download"/>
    <hyperlink ref="BP848" r:id="rId_hyperlink_845" tooltip="Download" display="Download"/>
    <hyperlink ref="BP849" r:id="rId_hyperlink_846" tooltip="Download" display="Download"/>
    <hyperlink ref="BP850" r:id="rId_hyperlink_847" tooltip="Download" display="Download"/>
    <hyperlink ref="BP851" r:id="rId_hyperlink_848" tooltip="Download" display="Download"/>
    <hyperlink ref="BP852" r:id="rId_hyperlink_849" tooltip="Download" display="Download"/>
    <hyperlink ref="BP853" r:id="rId_hyperlink_850" tooltip="Download" display="Download"/>
    <hyperlink ref="BP854" r:id="rId_hyperlink_851" tooltip="Download" display="Download"/>
    <hyperlink ref="BP855" r:id="rId_hyperlink_852" tooltip="Download" display="Download"/>
    <hyperlink ref="BP856" r:id="rId_hyperlink_853" tooltip="Download" display="Download"/>
    <hyperlink ref="BP857" r:id="rId_hyperlink_854" tooltip="Download" display="Download"/>
    <hyperlink ref="BP858" r:id="rId_hyperlink_855" tooltip="Download" display="Download"/>
    <hyperlink ref="BP859" r:id="rId_hyperlink_856" tooltip="Download" display="Download"/>
    <hyperlink ref="BP860" r:id="rId_hyperlink_857" tooltip="Download" display="Download"/>
    <hyperlink ref="BP861" r:id="rId_hyperlink_858" tooltip="Download" display="Download"/>
    <hyperlink ref="BP862" r:id="rId_hyperlink_859" tooltip="Download" display="Download"/>
    <hyperlink ref="BP863" r:id="rId_hyperlink_860" tooltip="Download" display="Download"/>
    <hyperlink ref="BP864" r:id="rId_hyperlink_861" tooltip="Download" display="Download"/>
    <hyperlink ref="BP865" r:id="rId_hyperlink_862" tooltip="Download" display="Download"/>
    <hyperlink ref="BP866" r:id="rId_hyperlink_863" tooltip="Download" display="Download"/>
    <hyperlink ref="BP867" r:id="rId_hyperlink_864" tooltip="Download" display="Download"/>
    <hyperlink ref="BP868" r:id="rId_hyperlink_865" tooltip="Download" display="Download"/>
    <hyperlink ref="BP869" r:id="rId_hyperlink_866" tooltip="Download" display="Download"/>
    <hyperlink ref="BP870" r:id="rId_hyperlink_867" tooltip="Download" display="Download"/>
    <hyperlink ref="BP871" r:id="rId_hyperlink_868" tooltip="Download" display="Download"/>
    <hyperlink ref="BP872" r:id="rId_hyperlink_869" tooltip="Download" display="Download"/>
    <hyperlink ref="BP873" r:id="rId_hyperlink_870" tooltip="Download" display="Download"/>
    <hyperlink ref="BP874" r:id="rId_hyperlink_871" tooltip="Download" display="Download"/>
    <hyperlink ref="BP875" r:id="rId_hyperlink_872" tooltip="Download" display="Download"/>
    <hyperlink ref="BP877" r:id="rId_hyperlink_873" tooltip="Download" display="Download"/>
    <hyperlink ref="BP878" r:id="rId_hyperlink_874" tooltip="Download" display="Download"/>
    <hyperlink ref="BP879" r:id="rId_hyperlink_875" tooltip="Download" display="Download"/>
    <hyperlink ref="BP880" r:id="rId_hyperlink_876" tooltip="Download" display="Download"/>
    <hyperlink ref="BP881" r:id="rId_hyperlink_877" tooltip="Download" display="Download"/>
    <hyperlink ref="BP882" r:id="rId_hyperlink_878" tooltip="Download" display="Download"/>
    <hyperlink ref="BP883" r:id="rId_hyperlink_879" tooltip="Download" display="Download"/>
    <hyperlink ref="BP884" r:id="rId_hyperlink_880" tooltip="Download" display="Download"/>
    <hyperlink ref="BP885" r:id="rId_hyperlink_881" tooltip="Download" display="Download"/>
    <hyperlink ref="BP886" r:id="rId_hyperlink_882" tooltip="Download" display="Download"/>
    <hyperlink ref="BP887" r:id="rId_hyperlink_883" tooltip="Download" display="Download"/>
    <hyperlink ref="BP888" r:id="rId_hyperlink_884" tooltip="Download" display="Download"/>
    <hyperlink ref="BP889" r:id="rId_hyperlink_885" tooltip="Download" display="Download"/>
    <hyperlink ref="BP890" r:id="rId_hyperlink_886" tooltip="Download" display="Download"/>
    <hyperlink ref="BP891" r:id="rId_hyperlink_887" tooltip="Download" display="Download"/>
    <hyperlink ref="BP892" r:id="rId_hyperlink_888" tooltip="Download" display="Download"/>
    <hyperlink ref="BP893" r:id="rId_hyperlink_889" tooltip="Download" display="Download"/>
    <hyperlink ref="BP894" r:id="rId_hyperlink_890" tooltip="Download" display="Download"/>
    <hyperlink ref="BP895" r:id="rId_hyperlink_891" tooltip="Download" display="Download"/>
    <hyperlink ref="BP896" r:id="rId_hyperlink_892" tooltip="Download" display="Download"/>
    <hyperlink ref="BP897" r:id="rId_hyperlink_893" tooltip="Download" display="Download"/>
    <hyperlink ref="BP898" r:id="rId_hyperlink_894" tooltip="Download" display="Download"/>
    <hyperlink ref="BP900" r:id="rId_hyperlink_895" tooltip="Download" display="Download"/>
    <hyperlink ref="BP901" r:id="rId_hyperlink_896" tooltip="Download" display="Download"/>
    <hyperlink ref="BP902" r:id="rId_hyperlink_897" tooltip="Download" display="Download"/>
    <hyperlink ref="BP903" r:id="rId_hyperlink_898" tooltip="Download" display="Download"/>
    <hyperlink ref="BP904" r:id="rId_hyperlink_899" tooltip="Download" display="Download"/>
    <hyperlink ref="BP905" r:id="rId_hyperlink_900" tooltip="Download" display="Download"/>
    <hyperlink ref="BP906" r:id="rId_hyperlink_901" tooltip="Download" display="Download"/>
    <hyperlink ref="BP907" r:id="rId_hyperlink_902" tooltip="Download" display="Download"/>
    <hyperlink ref="BP908" r:id="rId_hyperlink_903" tooltip="Download" display="Download"/>
    <hyperlink ref="BP909" r:id="rId_hyperlink_904" tooltip="Download" display="Download"/>
    <hyperlink ref="BP910" r:id="rId_hyperlink_905" tooltip="Download" display="Download"/>
    <hyperlink ref="BP911" r:id="rId_hyperlink_906" tooltip="Download" display="Download"/>
    <hyperlink ref="BP912" r:id="rId_hyperlink_907" tooltip="Download" display="Download"/>
    <hyperlink ref="BP913" r:id="rId_hyperlink_908" tooltip="Download" display="Download"/>
    <hyperlink ref="BP914" r:id="rId_hyperlink_909" tooltip="Download" display="Download"/>
    <hyperlink ref="BP915" r:id="rId_hyperlink_910" tooltip="Download" display="Download"/>
    <hyperlink ref="BP916" r:id="rId_hyperlink_911" tooltip="Download" display="Download"/>
    <hyperlink ref="BP917" r:id="rId_hyperlink_912" tooltip="Download" display="Download"/>
    <hyperlink ref="BP918" r:id="rId_hyperlink_913" tooltip="Download" display="Download"/>
    <hyperlink ref="BP919" r:id="rId_hyperlink_914" tooltip="Download" display="Download"/>
    <hyperlink ref="BP920" r:id="rId_hyperlink_915" tooltip="Download" display="Download"/>
    <hyperlink ref="BP921" r:id="rId_hyperlink_916" tooltip="Download" display="Download"/>
    <hyperlink ref="BP922" r:id="rId_hyperlink_917" tooltip="Download" display="Download"/>
    <hyperlink ref="BP923" r:id="rId_hyperlink_918" tooltip="Download" display="Download"/>
    <hyperlink ref="BP924" r:id="rId_hyperlink_919" tooltip="Download" display="Download"/>
    <hyperlink ref="BP925" r:id="rId_hyperlink_920" tooltip="Download" display="Download"/>
    <hyperlink ref="BP926" r:id="rId_hyperlink_921" tooltip="Download" display="Download"/>
    <hyperlink ref="BP927" r:id="rId_hyperlink_922" tooltip="Download" display="Download"/>
    <hyperlink ref="BP928" r:id="rId_hyperlink_923" tooltip="Download" display="Download"/>
    <hyperlink ref="BP930" r:id="rId_hyperlink_924" tooltip="Download" display="Download"/>
    <hyperlink ref="BP931" r:id="rId_hyperlink_925" tooltip="Download" display="Download"/>
    <hyperlink ref="BP932" r:id="rId_hyperlink_926" tooltip="Download" display="Download"/>
    <hyperlink ref="BP933" r:id="rId_hyperlink_927" tooltip="Download" display="Download"/>
    <hyperlink ref="BP934" r:id="rId_hyperlink_928" tooltip="Download" display="Download"/>
    <hyperlink ref="BP935" r:id="rId_hyperlink_929" tooltip="Download" display="Download"/>
    <hyperlink ref="BP936" r:id="rId_hyperlink_930" tooltip="Download" display="Download"/>
    <hyperlink ref="BP937" r:id="rId_hyperlink_931" tooltip="Download" display="Download"/>
    <hyperlink ref="BP938" r:id="rId_hyperlink_932" tooltip="Download" display="Download"/>
    <hyperlink ref="BP939" r:id="rId_hyperlink_933" tooltip="Download" display="Download"/>
    <hyperlink ref="BP940" r:id="rId_hyperlink_934" tooltip="Download" display="Download"/>
    <hyperlink ref="BP941" r:id="rId_hyperlink_935" tooltip="Download" display="Download"/>
    <hyperlink ref="BP942" r:id="rId_hyperlink_936" tooltip="Download" display="Download"/>
    <hyperlink ref="BP943" r:id="rId_hyperlink_937" tooltip="Download" display="Download"/>
    <hyperlink ref="BP944" r:id="rId_hyperlink_938" tooltip="Download" display="Download"/>
    <hyperlink ref="BP945" r:id="rId_hyperlink_939" tooltip="Download" display="Download"/>
    <hyperlink ref="BP946" r:id="rId_hyperlink_940" tooltip="Download" display="Download"/>
    <hyperlink ref="BP947" r:id="rId_hyperlink_941" tooltip="Download" display="Download"/>
    <hyperlink ref="BP948" r:id="rId_hyperlink_942" tooltip="Download" display="Download"/>
    <hyperlink ref="BP949" r:id="rId_hyperlink_943" tooltip="Download" display="Download"/>
    <hyperlink ref="BP950" r:id="rId_hyperlink_944" tooltip="Download" display="Download"/>
    <hyperlink ref="BP951" r:id="rId_hyperlink_945" tooltip="Download" display="Download"/>
    <hyperlink ref="BP952" r:id="rId_hyperlink_946" tooltip="Download" display="Download"/>
    <hyperlink ref="BP953" r:id="rId_hyperlink_947" tooltip="Download" display="Download"/>
    <hyperlink ref="BP954" r:id="rId_hyperlink_948" tooltip="Download" display="Download"/>
    <hyperlink ref="BP955" r:id="rId_hyperlink_949" tooltip="Download" display="Download"/>
    <hyperlink ref="BP956" r:id="rId_hyperlink_950" tooltip="Download" display="Download"/>
    <hyperlink ref="BP957" r:id="rId_hyperlink_951" tooltip="Download" display="Download"/>
    <hyperlink ref="BP958" r:id="rId_hyperlink_952" tooltip="Download" display="Download"/>
    <hyperlink ref="BP959" r:id="rId_hyperlink_953" tooltip="Download" display="Download"/>
    <hyperlink ref="BP960" r:id="rId_hyperlink_954" tooltip="Download" display="Download"/>
    <hyperlink ref="BP961" r:id="rId_hyperlink_955" tooltip="Download" display="Download"/>
    <hyperlink ref="BP962" r:id="rId_hyperlink_956" tooltip="Download" display="Download"/>
    <hyperlink ref="BP963" r:id="rId_hyperlink_957" tooltip="Download" display="Download"/>
    <hyperlink ref="BP964" r:id="rId_hyperlink_958" tooltip="Download" display="Download"/>
    <hyperlink ref="BP965" r:id="rId_hyperlink_959" tooltip="Download" display="Download"/>
    <hyperlink ref="BP966" r:id="rId_hyperlink_960" tooltip="Download" display="Download"/>
    <hyperlink ref="BP967" r:id="rId_hyperlink_961" tooltip="Download" display="Download"/>
    <hyperlink ref="BP968" r:id="rId_hyperlink_962" tooltip="Download" display="Download"/>
    <hyperlink ref="BP969" r:id="rId_hyperlink_963" tooltip="Download" display="Download"/>
    <hyperlink ref="BP970" r:id="rId_hyperlink_964" tooltip="Download" display="Download"/>
    <hyperlink ref="BP971" r:id="rId_hyperlink_965" tooltip="Download" display="Download"/>
    <hyperlink ref="BP972" r:id="rId_hyperlink_966" tooltip="Download" display="Download"/>
    <hyperlink ref="BP973" r:id="rId_hyperlink_967" tooltip="Download" display="Download"/>
    <hyperlink ref="BP974" r:id="rId_hyperlink_968" tooltip="Download" display="Download"/>
    <hyperlink ref="BP975" r:id="rId_hyperlink_969" tooltip="Download" display="Download"/>
    <hyperlink ref="BP976" r:id="rId_hyperlink_970" tooltip="Download" display="Download"/>
    <hyperlink ref="BP977" r:id="rId_hyperlink_971" tooltip="Download" display="Download"/>
    <hyperlink ref="BP978" r:id="rId_hyperlink_972" tooltip="Download" display="Download"/>
    <hyperlink ref="BP979" r:id="rId_hyperlink_973" tooltip="Download" display="Download"/>
    <hyperlink ref="BP980" r:id="rId_hyperlink_974" tooltip="Download" display="Download"/>
    <hyperlink ref="BP981" r:id="rId_hyperlink_975" tooltip="Download" display="Download"/>
    <hyperlink ref="BP982" r:id="rId_hyperlink_976" tooltip="Download" display="Download"/>
    <hyperlink ref="BP983" r:id="rId_hyperlink_977" tooltip="Download" display="Download"/>
    <hyperlink ref="BP984" r:id="rId_hyperlink_978" tooltip="Download" display="Download"/>
    <hyperlink ref="BP985" r:id="rId_hyperlink_979" tooltip="Download" display="Download"/>
    <hyperlink ref="BP986" r:id="rId_hyperlink_980" tooltip="Download" display="Download"/>
    <hyperlink ref="BP987" r:id="rId_hyperlink_981" tooltip="Download" display="Download"/>
    <hyperlink ref="BP988" r:id="rId_hyperlink_982" tooltip="Download" display="Download"/>
    <hyperlink ref="BP989" r:id="rId_hyperlink_983" tooltip="Download" display="Download"/>
    <hyperlink ref="BP990" r:id="rId_hyperlink_984" tooltip="Download" display="Download"/>
    <hyperlink ref="BP991" r:id="rId_hyperlink_985" tooltip="Download" display="Download"/>
    <hyperlink ref="BP992" r:id="rId_hyperlink_986" tooltip="Download" display="Download"/>
    <hyperlink ref="BP993" r:id="rId_hyperlink_987" tooltip="Download" display="Download"/>
    <hyperlink ref="BP994" r:id="rId_hyperlink_988" tooltip="Download" display="Download"/>
    <hyperlink ref="BP995" r:id="rId_hyperlink_989" tooltip="Download" display="Download"/>
    <hyperlink ref="BP996" r:id="rId_hyperlink_990" tooltip="Download" display="Download"/>
    <hyperlink ref="BP997" r:id="rId_hyperlink_991" tooltip="Download" display="Download"/>
    <hyperlink ref="BP998" r:id="rId_hyperlink_992" tooltip="Download" display="Download"/>
    <hyperlink ref="BP999" r:id="rId_hyperlink_993" tooltip="Download" display="Download"/>
    <hyperlink ref="BP1000" r:id="rId_hyperlink_994" tooltip="Download" display="Download"/>
    <hyperlink ref="BP1001" r:id="rId_hyperlink_995" tooltip="Download" display="Download"/>
    <hyperlink ref="BP1002" r:id="rId_hyperlink_996" tooltip="Download" display="Download"/>
    <hyperlink ref="BP1003" r:id="rId_hyperlink_997" tooltip="Download" display="Download"/>
    <hyperlink ref="BP1004" r:id="rId_hyperlink_998" tooltip="Download" display="Download"/>
    <hyperlink ref="BP1005" r:id="rId_hyperlink_999" tooltip="Download" display="Download"/>
    <hyperlink ref="BP1006" r:id="rId_hyperlink_1000" tooltip="Download" display="Download"/>
    <hyperlink ref="BP1007" r:id="rId_hyperlink_1001" tooltip="Download" display="Download"/>
    <hyperlink ref="BP1008" r:id="rId_hyperlink_1002" tooltip="Download" display="Download"/>
    <hyperlink ref="BP1009" r:id="rId_hyperlink_1003" tooltip="Download" display="Download"/>
    <hyperlink ref="BP1010" r:id="rId_hyperlink_1004" tooltip="Download" display="Download"/>
    <hyperlink ref="BP1011" r:id="rId_hyperlink_1005" tooltip="Download" display="Download"/>
    <hyperlink ref="BP1012" r:id="rId_hyperlink_1006" tooltip="Download" display="Download"/>
    <hyperlink ref="BP1013" r:id="rId_hyperlink_1007" tooltip="Download" display="Download"/>
    <hyperlink ref="BP1014" r:id="rId_hyperlink_1008" tooltip="Download" display="Download"/>
    <hyperlink ref="BP1015" r:id="rId_hyperlink_1009" tooltip="Download" display="Download"/>
    <hyperlink ref="BP1016" r:id="rId_hyperlink_1010" tooltip="Download" display="Download"/>
    <hyperlink ref="BP1017" r:id="rId_hyperlink_1011" tooltip="Download" display="Download"/>
    <hyperlink ref="BP1018" r:id="rId_hyperlink_1012" tooltip="Download" display="Download"/>
    <hyperlink ref="BP1019" r:id="rId_hyperlink_1013" tooltip="Download" display="Download"/>
    <hyperlink ref="BP1020" r:id="rId_hyperlink_1014" tooltip="Download" display="Download"/>
    <hyperlink ref="BP1021" r:id="rId_hyperlink_1015" tooltip="Download" display="Download"/>
    <hyperlink ref="BP1022" r:id="rId_hyperlink_1016" tooltip="Download" display="Download"/>
    <hyperlink ref="BP1023" r:id="rId_hyperlink_1017" tooltip="Download" display="Download"/>
    <hyperlink ref="BP1024" r:id="rId_hyperlink_1018" tooltip="Download" display="Download"/>
    <hyperlink ref="BP1025" r:id="rId_hyperlink_1019" tooltip="Download" display="Download"/>
    <hyperlink ref="BP1026" r:id="rId_hyperlink_1020" tooltip="Download" display="Download"/>
    <hyperlink ref="BP1027" r:id="rId_hyperlink_1021" tooltip="Download" display="Download"/>
    <hyperlink ref="BP1028" r:id="rId_hyperlink_1022" tooltip="Download" display="Download"/>
    <hyperlink ref="BP1029" r:id="rId_hyperlink_1023" tooltip="Download" display="Download"/>
    <hyperlink ref="BP1030" r:id="rId_hyperlink_1024" tooltip="Download" display="Download"/>
    <hyperlink ref="BP1031" r:id="rId_hyperlink_1025" tooltip="Download" display="Download"/>
    <hyperlink ref="BP1032" r:id="rId_hyperlink_1026" tooltip="Download" display="Download"/>
    <hyperlink ref="BP1033" r:id="rId_hyperlink_1027" tooltip="Download" display="Download"/>
    <hyperlink ref="BP1034" r:id="rId_hyperlink_1028" tooltip="Download" display="Download"/>
    <hyperlink ref="BP1035" r:id="rId_hyperlink_1029" tooltip="Download" display="Download"/>
    <hyperlink ref="BP1036" r:id="rId_hyperlink_1030" tooltip="Download" display="Download"/>
    <hyperlink ref="BP1037" r:id="rId_hyperlink_1031" tooltip="Download" display="Download"/>
    <hyperlink ref="BP1038" r:id="rId_hyperlink_1032" tooltip="Download" display="Download"/>
    <hyperlink ref="BP1039" r:id="rId_hyperlink_1033" tooltip="Download" display="Download"/>
    <hyperlink ref="BP1040" r:id="rId_hyperlink_1034" tooltip="Download" display="Download"/>
    <hyperlink ref="BP1041" r:id="rId_hyperlink_1035" tooltip="Download" display="Download"/>
    <hyperlink ref="BP1042" r:id="rId_hyperlink_1036" tooltip="Download" display="Download"/>
    <hyperlink ref="BP1043" r:id="rId_hyperlink_1037" tooltip="Download" display="Download"/>
    <hyperlink ref="BP1044" r:id="rId_hyperlink_1038" tooltip="Download" display="Download"/>
    <hyperlink ref="BP1045" r:id="rId_hyperlink_1039" tooltip="Download" display="Download"/>
    <hyperlink ref="BP1046" r:id="rId_hyperlink_1040" tooltip="Download" display="Download"/>
    <hyperlink ref="BP1047" r:id="rId_hyperlink_1041" tooltip="Download" display="Download"/>
    <hyperlink ref="BP1048" r:id="rId_hyperlink_1042" tooltip="Download" display="Download"/>
    <hyperlink ref="BP1049" r:id="rId_hyperlink_1043" tooltip="Download" display="Download"/>
    <hyperlink ref="BP1050" r:id="rId_hyperlink_1044" tooltip="Download" display="Download"/>
    <hyperlink ref="BP1051" r:id="rId_hyperlink_1045" tooltip="Download" display="Download"/>
    <hyperlink ref="BP1052" r:id="rId_hyperlink_1046" tooltip="Download" display="Download"/>
    <hyperlink ref="BP1053" r:id="rId_hyperlink_1047" tooltip="Download" display="Download"/>
    <hyperlink ref="BP1054" r:id="rId_hyperlink_1048" tooltip="Download" display="Download"/>
    <hyperlink ref="BP1055" r:id="rId_hyperlink_1049" tooltip="Download" display="Download"/>
    <hyperlink ref="BP1056" r:id="rId_hyperlink_1050" tooltip="Download" display="Download"/>
    <hyperlink ref="BP1057" r:id="rId_hyperlink_1051" tooltip="Download" display="Download"/>
    <hyperlink ref="BP1058" r:id="rId_hyperlink_1052" tooltip="Download" display="Download"/>
    <hyperlink ref="BP1059" r:id="rId_hyperlink_1053" tooltip="Download" display="Download"/>
    <hyperlink ref="BP1060" r:id="rId_hyperlink_1054" tooltip="Download" display="Download"/>
    <hyperlink ref="BP1061" r:id="rId_hyperlink_1055" tooltip="Download" display="Download"/>
    <hyperlink ref="BP1062" r:id="rId_hyperlink_1056" tooltip="Download" display="Download"/>
    <hyperlink ref="BP1063" r:id="rId_hyperlink_1057" tooltip="Download" display="Download"/>
    <hyperlink ref="BP1064" r:id="rId_hyperlink_1058" tooltip="Download" display="Download"/>
    <hyperlink ref="BP1065" r:id="rId_hyperlink_1059" tooltip="Download" display="Download"/>
    <hyperlink ref="BP1066" r:id="rId_hyperlink_1060" tooltip="Download" display="Download"/>
    <hyperlink ref="BP1067" r:id="rId_hyperlink_1061" tooltip="Download" display="Download"/>
    <hyperlink ref="BP1068" r:id="rId_hyperlink_1062" tooltip="Download" display="Download"/>
    <hyperlink ref="BP1069" r:id="rId_hyperlink_1063" tooltip="Download" display="Download"/>
    <hyperlink ref="BP1070" r:id="rId_hyperlink_1064" tooltip="Download" display="Download"/>
    <hyperlink ref="BP1071" r:id="rId_hyperlink_1065" tooltip="Download" display="Download"/>
    <hyperlink ref="BP1072" r:id="rId_hyperlink_1066" tooltip="Download" display="Download"/>
    <hyperlink ref="BP1073" r:id="rId_hyperlink_1067" tooltip="Download" display="Download"/>
    <hyperlink ref="BP1074" r:id="rId_hyperlink_1068" tooltip="Download" display="Download"/>
    <hyperlink ref="BP1075" r:id="rId_hyperlink_1069" tooltip="Download" display="Download"/>
    <hyperlink ref="BP1076" r:id="rId_hyperlink_1070" tooltip="Download" display="Download"/>
    <hyperlink ref="BP1077" r:id="rId_hyperlink_1071" tooltip="Download" display="Download"/>
    <hyperlink ref="BP1078" r:id="rId_hyperlink_1072" tooltip="Download" display="Download"/>
    <hyperlink ref="BP1079" r:id="rId_hyperlink_1073" tooltip="Download" display="Download"/>
    <hyperlink ref="BP1080" r:id="rId_hyperlink_1074" tooltip="Download" display="Download"/>
    <hyperlink ref="BP1081" r:id="rId_hyperlink_1075" tooltip="Download" display="Download"/>
    <hyperlink ref="BP1082" r:id="rId_hyperlink_1076" tooltip="Download" display="Download"/>
    <hyperlink ref="BP1083" r:id="rId_hyperlink_1077" tooltip="Download" display="Download"/>
    <hyperlink ref="BP1084" r:id="rId_hyperlink_1078" tooltip="Download" display="Download"/>
    <hyperlink ref="BP1085" r:id="rId_hyperlink_1079" tooltip="Download" display="Download"/>
    <hyperlink ref="BP1086" r:id="rId_hyperlink_1080" tooltip="Download" display="Download"/>
    <hyperlink ref="BP1087" r:id="rId_hyperlink_1081" tooltip="Download" display="Download"/>
    <hyperlink ref="BP1088" r:id="rId_hyperlink_1082" tooltip="Download" display="Download"/>
    <hyperlink ref="BP1089" r:id="rId_hyperlink_1083" tooltip="Download" display="Download"/>
    <hyperlink ref="BP1090" r:id="rId_hyperlink_1084" tooltip="Download" display="Download"/>
    <hyperlink ref="BP1091" r:id="rId_hyperlink_1085" tooltip="Download" display="Download"/>
    <hyperlink ref="BP1092" r:id="rId_hyperlink_1086" tooltip="Download" display="Download"/>
    <hyperlink ref="BP1093" r:id="rId_hyperlink_1087" tooltip="Download" display="Download"/>
    <hyperlink ref="BP1094" r:id="rId_hyperlink_1088" tooltip="Download" display="Download"/>
    <hyperlink ref="BP1095" r:id="rId_hyperlink_1089" tooltip="Download" display="Download"/>
    <hyperlink ref="BP1096" r:id="rId_hyperlink_1090" tooltip="Download" display="Download"/>
    <hyperlink ref="BP1097" r:id="rId_hyperlink_1091" tooltip="Download" display="Download"/>
    <hyperlink ref="BP1098" r:id="rId_hyperlink_1092" tooltip="Download" display="Download"/>
    <hyperlink ref="BP1099" r:id="rId_hyperlink_1093" tooltip="Download" display="Download"/>
    <hyperlink ref="BP1100" r:id="rId_hyperlink_1094" tooltip="Download" display="Download"/>
    <hyperlink ref="BP1101" r:id="rId_hyperlink_1095" tooltip="Download" display="Download"/>
    <hyperlink ref="BP1102" r:id="rId_hyperlink_1096" tooltip="Download" display="Download"/>
    <hyperlink ref="BP1103" r:id="rId_hyperlink_1097" tooltip="Download" display="Download"/>
    <hyperlink ref="BP1104" r:id="rId_hyperlink_1098" tooltip="Download" display="Download"/>
    <hyperlink ref="BP1105" r:id="rId_hyperlink_1099" tooltip="Download" display="Download"/>
    <hyperlink ref="BP1106" r:id="rId_hyperlink_1100" tooltip="Download" display="Download"/>
    <hyperlink ref="BP1107" r:id="rId_hyperlink_1101" tooltip="Download" display="Download"/>
    <hyperlink ref="BP1108" r:id="rId_hyperlink_1102" tooltip="Download" display="Download"/>
    <hyperlink ref="BP1109" r:id="rId_hyperlink_1103" tooltip="Download" display="Download"/>
    <hyperlink ref="BP1110" r:id="rId_hyperlink_1104" tooltip="Download" display="Download"/>
    <hyperlink ref="BP1111" r:id="rId_hyperlink_1105" tooltip="Download" display="Download"/>
    <hyperlink ref="BP1112" r:id="rId_hyperlink_1106" tooltip="Download" display="Download"/>
    <hyperlink ref="BP1113" r:id="rId_hyperlink_1107" tooltip="Download" display="Download"/>
    <hyperlink ref="BP1114" r:id="rId_hyperlink_1108" tooltip="Download" display="Download"/>
    <hyperlink ref="BP1115" r:id="rId_hyperlink_1109" tooltip="Download" display="Download"/>
    <hyperlink ref="BP1116" r:id="rId_hyperlink_1110" tooltip="Download" display="Download"/>
    <hyperlink ref="BP1117" r:id="rId_hyperlink_1111" tooltip="Download" display="Download"/>
    <hyperlink ref="BP1118" r:id="rId_hyperlink_1112" tooltip="Download" display="Download"/>
    <hyperlink ref="BP1119" r:id="rId_hyperlink_1113" tooltip="Download" display="Download"/>
    <hyperlink ref="BP1120" r:id="rId_hyperlink_1114" tooltip="Download" display="Download"/>
    <hyperlink ref="BP1121" r:id="rId_hyperlink_1115" tooltip="Download" display="Download"/>
    <hyperlink ref="BP1122" r:id="rId_hyperlink_1116" tooltip="Download" display="Download"/>
    <hyperlink ref="BP1123" r:id="rId_hyperlink_1117" tooltip="Download" display="Download"/>
    <hyperlink ref="BP1124" r:id="rId_hyperlink_1118" tooltip="Download" display="Download"/>
    <hyperlink ref="BP1125" r:id="rId_hyperlink_1119" tooltip="Download" display="Download"/>
    <hyperlink ref="BP1126" r:id="rId_hyperlink_1120" tooltip="Download" display="Download"/>
    <hyperlink ref="BP1127" r:id="rId_hyperlink_1121" tooltip="Download" display="Download"/>
    <hyperlink ref="BP1128" r:id="rId_hyperlink_1122" tooltip="Download" display="Download"/>
    <hyperlink ref="BP1129" r:id="rId_hyperlink_1123" tooltip="Download" display="Download"/>
    <hyperlink ref="BP1130" r:id="rId_hyperlink_1124" tooltip="Download" display="Download"/>
    <hyperlink ref="BP1131" r:id="rId_hyperlink_1125" tooltip="Download" display="Download"/>
    <hyperlink ref="BP1132" r:id="rId_hyperlink_1126" tooltip="Download" display="Download"/>
    <hyperlink ref="BP1133" r:id="rId_hyperlink_1127" tooltip="Download" display="Download"/>
    <hyperlink ref="BP1134" r:id="rId_hyperlink_1128" tooltip="Download" display="Download"/>
    <hyperlink ref="BP1135" r:id="rId_hyperlink_1129" tooltip="Download" display="Download"/>
    <hyperlink ref="BP1136" r:id="rId_hyperlink_1130" tooltip="Download" display="Download"/>
    <hyperlink ref="BP1137" r:id="rId_hyperlink_1131" tooltip="Download" display="Download"/>
    <hyperlink ref="BP1138" r:id="rId_hyperlink_1132" tooltip="Download" display="Download"/>
    <hyperlink ref="BP1139" r:id="rId_hyperlink_1133" tooltip="Download" display="Download"/>
    <hyperlink ref="BP1140" r:id="rId_hyperlink_1134" tooltip="Download" display="Download"/>
    <hyperlink ref="BP1141" r:id="rId_hyperlink_1135" tooltip="Download" display="Download"/>
    <hyperlink ref="BP1142" r:id="rId_hyperlink_1136" tooltip="Download" display="Download"/>
    <hyperlink ref="BP1143" r:id="rId_hyperlink_1137" tooltip="Download" display="Download"/>
    <hyperlink ref="BP1144" r:id="rId_hyperlink_1138" tooltip="Download" display="Download"/>
    <hyperlink ref="BP1145" r:id="rId_hyperlink_1139" tooltip="Download" display="Download"/>
    <hyperlink ref="BP1146" r:id="rId_hyperlink_1140" tooltip="Download" display="Download"/>
    <hyperlink ref="BP1147" r:id="rId_hyperlink_1141" tooltip="Download" display="Download"/>
    <hyperlink ref="BP1148" r:id="rId_hyperlink_1142" tooltip="Download" display="Download"/>
    <hyperlink ref="BP1149" r:id="rId_hyperlink_1143" tooltip="Download" display="Download"/>
    <hyperlink ref="BP1150" r:id="rId_hyperlink_1144" tooltip="Download" display="Download"/>
    <hyperlink ref="BP1151" r:id="rId_hyperlink_1145" tooltip="Download" display="Download"/>
    <hyperlink ref="BP1152" r:id="rId_hyperlink_1146" tooltip="Download" display="Download"/>
    <hyperlink ref="BP1153" r:id="rId_hyperlink_1147" tooltip="Download" display="Download"/>
    <hyperlink ref="BP1154" r:id="rId_hyperlink_1148" tooltip="Download" display="Download"/>
    <hyperlink ref="BP1155" r:id="rId_hyperlink_1149" tooltip="Download" display="Download"/>
    <hyperlink ref="BP1156" r:id="rId_hyperlink_1150" tooltip="Download" display="Download"/>
    <hyperlink ref="BP1157" r:id="rId_hyperlink_1151" tooltip="Download" display="Download"/>
    <hyperlink ref="BP1158" r:id="rId_hyperlink_1152" tooltip="Download" display="Download"/>
    <hyperlink ref="BP1159" r:id="rId_hyperlink_1153" tooltip="Download" display="Download"/>
    <hyperlink ref="BP1160" r:id="rId_hyperlink_1154" tooltip="Download" display="Download"/>
    <hyperlink ref="BP1161" r:id="rId_hyperlink_1155" tooltip="Download" display="Download"/>
    <hyperlink ref="BP1162" r:id="rId_hyperlink_1156" tooltip="Download" display="Download"/>
    <hyperlink ref="BP1163" r:id="rId_hyperlink_1157" tooltip="Download" display="Download"/>
    <hyperlink ref="BP1164" r:id="rId_hyperlink_1158" tooltip="Download" display="Download"/>
    <hyperlink ref="BP1165" r:id="rId_hyperlink_1159" tooltip="Download" display="Download"/>
    <hyperlink ref="BP1166" r:id="rId_hyperlink_1160" tooltip="Download" display="Download"/>
    <hyperlink ref="BP1167" r:id="rId_hyperlink_1161" tooltip="Download" display="Download"/>
    <hyperlink ref="BP1168" r:id="rId_hyperlink_1162" tooltip="Download" display="Download"/>
    <hyperlink ref="BP1169" r:id="rId_hyperlink_1163" tooltip="Download" display="Download"/>
    <hyperlink ref="BP1170" r:id="rId_hyperlink_1164" tooltip="Download" display="Download"/>
    <hyperlink ref="BP1171" r:id="rId_hyperlink_1165" tooltip="Download" display="Download"/>
    <hyperlink ref="BP1172" r:id="rId_hyperlink_1166" tooltip="Download" display="Download"/>
    <hyperlink ref="BP1173" r:id="rId_hyperlink_1167" tooltip="Download" display="Download"/>
    <hyperlink ref="BP1174" r:id="rId_hyperlink_1168" tooltip="Download" display="Download"/>
    <hyperlink ref="BP1175" r:id="rId_hyperlink_1169" tooltip="Download" display="Download"/>
    <hyperlink ref="BP1176" r:id="rId_hyperlink_1170" tooltip="Download" display="Download"/>
    <hyperlink ref="BP1177" r:id="rId_hyperlink_1171" tooltip="Download" display="Download"/>
    <hyperlink ref="BP1178" r:id="rId_hyperlink_1172" tooltip="Download" display="Download"/>
    <hyperlink ref="BP1179" r:id="rId_hyperlink_1173" tooltip="Download" display="Download"/>
    <hyperlink ref="BP1180" r:id="rId_hyperlink_1174" tooltip="Download" display="Download"/>
    <hyperlink ref="BP1181" r:id="rId_hyperlink_1175" tooltip="Download" display="Download"/>
    <hyperlink ref="BP1182" r:id="rId_hyperlink_1176" tooltip="Download" display="Download"/>
    <hyperlink ref="BP1183" r:id="rId_hyperlink_1177" tooltip="Download" display="Download"/>
    <hyperlink ref="BP1184" r:id="rId_hyperlink_1178" tooltip="Download" display="Download"/>
    <hyperlink ref="BP1185" r:id="rId_hyperlink_1179" tooltip="Download" display="Download"/>
    <hyperlink ref="BP1186" r:id="rId_hyperlink_1180" tooltip="Download" display="Download"/>
    <hyperlink ref="BP1187" r:id="rId_hyperlink_1181" tooltip="Download" display="Download"/>
    <hyperlink ref="BP1188" r:id="rId_hyperlink_1182" tooltip="Download" display="Download"/>
    <hyperlink ref="BP1189" r:id="rId_hyperlink_1183" tooltip="Download" display="Download"/>
    <hyperlink ref="BP1190" r:id="rId_hyperlink_1184" tooltip="Download" display="Download"/>
    <hyperlink ref="BP1191" r:id="rId_hyperlink_1185" tooltip="Download" display="Download"/>
    <hyperlink ref="BP1192" r:id="rId_hyperlink_1186" tooltip="Download" display="Download"/>
    <hyperlink ref="BP1193" r:id="rId_hyperlink_1187" tooltip="Download" display="Download"/>
    <hyperlink ref="BP1194" r:id="rId_hyperlink_1188" tooltip="Download" display="Download"/>
    <hyperlink ref="BP1195" r:id="rId_hyperlink_1189" tooltip="Download" display="Download"/>
    <hyperlink ref="BP1196" r:id="rId_hyperlink_1190" tooltip="Download" display="Download"/>
    <hyperlink ref="BP1197" r:id="rId_hyperlink_1191" tooltip="Download" display="Download"/>
    <hyperlink ref="BP1198" r:id="rId_hyperlink_1192" tooltip="Download" display="Download"/>
    <hyperlink ref="BP1199" r:id="rId_hyperlink_1193" tooltip="Download" display="Download"/>
    <hyperlink ref="BP1200" r:id="rId_hyperlink_1194" tooltip="Download" display="Download"/>
    <hyperlink ref="BP1201" r:id="rId_hyperlink_1195" tooltip="Download" display="Download"/>
    <hyperlink ref="BP1202" r:id="rId_hyperlink_1196" tooltip="Download" display="Download"/>
    <hyperlink ref="BP1203" r:id="rId_hyperlink_1197" tooltip="Download" display="Download"/>
    <hyperlink ref="BP1204" r:id="rId_hyperlink_1198" tooltip="Download" display="Download"/>
    <hyperlink ref="BP1205" r:id="rId_hyperlink_1199" tooltip="Download" display="Download"/>
    <hyperlink ref="BP1206" r:id="rId_hyperlink_1200" tooltip="Download" display="Download"/>
    <hyperlink ref="BP1207" r:id="rId_hyperlink_1201" tooltip="Download" display="Download"/>
    <hyperlink ref="BP1208" r:id="rId_hyperlink_1202" tooltip="Download" display="Download"/>
    <hyperlink ref="BP1209" r:id="rId_hyperlink_1203" tooltip="Download" display="Download"/>
    <hyperlink ref="BP1210" r:id="rId_hyperlink_1204" tooltip="Download" display="Download"/>
    <hyperlink ref="BP1211" r:id="rId_hyperlink_1205" tooltip="Download" display="Download"/>
    <hyperlink ref="BP1212" r:id="rId_hyperlink_1206" tooltip="Download" display="Download"/>
    <hyperlink ref="BP1213" r:id="rId_hyperlink_1207" tooltip="Download" display="Download"/>
    <hyperlink ref="BP1214" r:id="rId_hyperlink_1208" tooltip="Download" display="Download"/>
    <hyperlink ref="BP1215" r:id="rId_hyperlink_1209" tooltip="Download" display="Download"/>
    <hyperlink ref="BP1216" r:id="rId_hyperlink_1210" tooltip="Download" display="Download"/>
    <hyperlink ref="BP1217" r:id="rId_hyperlink_1211" tooltip="Download" display="Download"/>
    <hyperlink ref="BP1218" r:id="rId_hyperlink_1212" tooltip="Download" display="Download"/>
    <hyperlink ref="BP1219" r:id="rId_hyperlink_1213" tooltip="Download" display="Download"/>
    <hyperlink ref="BP1220" r:id="rId_hyperlink_1214" tooltip="Download" display="Download"/>
    <hyperlink ref="BP1221" r:id="rId_hyperlink_1215" tooltip="Download" display="Download"/>
    <hyperlink ref="BP1222" r:id="rId_hyperlink_1216" tooltip="Download" display="Download"/>
    <hyperlink ref="BP1223" r:id="rId_hyperlink_1217" tooltip="Download" display="Download"/>
    <hyperlink ref="BP1224" r:id="rId_hyperlink_1218" tooltip="Download" display="Download"/>
    <hyperlink ref="BP1225" r:id="rId_hyperlink_1219" tooltip="Download" display="Download"/>
    <hyperlink ref="BP1226" r:id="rId_hyperlink_1220" tooltip="Download" display="Download"/>
    <hyperlink ref="BP1227" r:id="rId_hyperlink_1221" tooltip="Download" display="Download"/>
    <hyperlink ref="BP1228" r:id="rId_hyperlink_1222" tooltip="Download" display="Download"/>
    <hyperlink ref="BP1229" r:id="rId_hyperlink_1223" tooltip="Download" display="Download"/>
    <hyperlink ref="BP1230" r:id="rId_hyperlink_1224" tooltip="Download" display="Download"/>
    <hyperlink ref="BP1231" r:id="rId_hyperlink_1225" tooltip="Download" display="Download"/>
    <hyperlink ref="BP1232" r:id="rId_hyperlink_1226" tooltip="Download" display="Download"/>
    <hyperlink ref="BP1233" r:id="rId_hyperlink_1227" tooltip="Download" display="Download"/>
    <hyperlink ref="BP1234" r:id="rId_hyperlink_1228" tooltip="Download" display="Download"/>
    <hyperlink ref="BP1235" r:id="rId_hyperlink_1229" tooltip="Download" display="Download"/>
    <hyperlink ref="BP1236" r:id="rId_hyperlink_1230" tooltip="Download" display="Download"/>
    <hyperlink ref="BP1237" r:id="rId_hyperlink_1231" tooltip="Download" display="Download"/>
    <hyperlink ref="BP1238" r:id="rId_hyperlink_1232" tooltip="Download" display="Download"/>
    <hyperlink ref="BP1239" r:id="rId_hyperlink_1233" tooltip="Download" display="Download"/>
    <hyperlink ref="BP1240" r:id="rId_hyperlink_1234" tooltip="Download" display="Download"/>
    <hyperlink ref="BP1241" r:id="rId_hyperlink_1235" tooltip="Download" display="Download"/>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2026-07-26T18:53:42+05:30</dcterms:created>
  <dcterms:modified xsi:type="dcterms:W3CDTF">2026-07-26T18:53:42+05:30</dcterms:modified>
  <dc:title>Untitled Spreadsheet</dc:title>
  <dc:description/>
  <dc:subject/>
  <cp:keywords/>
  <cp:category/>
</cp:coreProperties>
</file>