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<sst xmlns="http://schemas.openxmlformats.org/spreadsheetml/2006/main" uniqueCount="8554">
  <si>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</si>
  <si>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</si>
  <si>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</si>
  <si>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</si>
  <si>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</si>
  <si>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</si>
  <si>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</si>
  <si>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</si>
  <si>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</si>
  <si>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</si>
  <si>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</si>
  <si>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</si>
  <si>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</si>
  <si>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</si>
  <si>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</si>
  <si>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</si>
  <si>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</si>
  <si>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</si>
  <si>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</si>
  <si>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</si>
  <si>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</si>
  <si>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</si>
  <si>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for this Institute before?</t>
  </si>
  <si>
    <t>Post Applied</t>
  </si>
  <si>
    <t>Where</t>
  </si>
  <si>
    <t>when</t>
  </si>
  <si>
    <t>Notice Period (In days)</t>
  </si>
  <si>
    <t>Referred By</t>
  </si>
  <si>
    <t>any medical?</t>
  </si>
  <si>
    <t>Chronic Disease</t>
  </si>
  <si>
    <t>surgeries</t>
  </si>
  <si>
    <t>Dedical Details</t>
  </si>
  <si>
    <t>If any, please specify (Yes/No)?</t>
  </si>
  <si>
    <t>Case Details</t>
  </si>
  <si>
    <t>10th School Name</t>
  </si>
  <si>
    <t>10th Board of Education with City/State</t>
  </si>
  <si>
    <t>10th Major Subjects</t>
  </si>
  <si>
    <t>10th Marks(In %)</t>
  </si>
  <si>
    <t>10th CGPA</t>
  </si>
  <si>
    <t>10th Year</t>
  </si>
  <si>
    <t>Applicable for 12th only</t>
  </si>
  <si>
    <t>12th School Name</t>
  </si>
  <si>
    <t>12th Board of Education with City/State</t>
  </si>
  <si>
    <t>12th Major Subjects</t>
  </si>
  <si>
    <t>12th Marks(In %)</t>
  </si>
  <si>
    <t>12th CGPA</t>
  </si>
  <si>
    <t>12th Year</t>
  </si>
  <si>
    <t>Applicable for Diploma only</t>
  </si>
  <si>
    <t>Diploma School Name</t>
  </si>
  <si>
    <t>Diploma Board of Education with City/State</t>
  </si>
  <si>
    <t>Diploma Major Subjects</t>
  </si>
  <si>
    <t>Diploma Marks(In %)</t>
  </si>
  <si>
    <t>Diploma CGPA</t>
  </si>
  <si>
    <t>Diploma Year</t>
  </si>
  <si>
    <t>Applicable for Under Graduate only</t>
  </si>
  <si>
    <t>Graduation University Name</t>
  </si>
  <si>
    <t>Graduation College Name with City/State</t>
  </si>
  <si>
    <t>Graduation Major Subjects</t>
  </si>
  <si>
    <t>Graduation Marks(In %)</t>
  </si>
  <si>
    <t>Graduation CGPA</t>
  </si>
  <si>
    <t>Graduation Year</t>
  </si>
  <si>
    <t>Graduation Degree</t>
  </si>
  <si>
    <t>Graduation other degree</t>
  </si>
  <si>
    <t>Graduation Specialization</t>
  </si>
  <si>
    <t>Graduation other specialization</t>
  </si>
  <si>
    <t>Applicable for Post Graduate/Master Degree only</t>
  </si>
  <si>
    <t>PG/Master University Name</t>
  </si>
  <si>
    <t>PG/Master College Name with City/State</t>
  </si>
  <si>
    <t>PG/Master Major Subjects</t>
  </si>
  <si>
    <t>PG/Master Marks(In %)</t>
  </si>
  <si>
    <t>PG/Master CGPA</t>
  </si>
  <si>
    <t>PG/Master Year</t>
  </si>
  <si>
    <t>PG/Master Degree</t>
  </si>
  <si>
    <t>PG/Master other degree</t>
  </si>
  <si>
    <t>PG/Master Specialization</t>
  </si>
  <si>
    <t>PG/Master other specialization</t>
  </si>
  <si>
    <t>Any Other Professional Qualification?</t>
  </si>
  <si>
    <t>University</t>
  </si>
  <si>
    <t>College</t>
  </si>
  <si>
    <t xml:space="preserve"> Major subject</t>
  </si>
  <si>
    <t>Other Marks</t>
  </si>
  <si>
    <t>CGPA</t>
  </si>
  <si>
    <t>Year</t>
  </si>
  <si>
    <t>Applicable for Phd only</t>
  </si>
  <si>
    <t>Area of PHD</t>
  </si>
  <si>
    <t>Name of College/Institute</t>
  </si>
  <si>
    <t>Phd status</t>
  </si>
  <si>
    <t>Phd Year</t>
  </si>
  <si>
    <t>Thesis submitted?</t>
  </si>
  <si>
    <t>You have any Certification?</t>
  </si>
  <si>
    <t>Certification Detail</t>
  </si>
  <si>
    <t>Any Achievements?</t>
  </si>
  <si>
    <t>Achievements Detail</t>
  </si>
  <si>
    <t>Technical Skills</t>
  </si>
  <si>
    <t>Applied Date</t>
  </si>
  <si>
    <t>Profile Photo</t>
  </si>
  <si>
    <t>Resume</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</si>
  <si>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</si>
  <si>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</si>
  <si>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</si>
  <si>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</si>
  <si>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</si>
  <si>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</si>
  <si>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</si>
  <si>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</si>
  <si>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</si>
  <si>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</si>
  <si>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</si>
  <si>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</si>
  <si>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</si>
  <si>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</si>
  <si>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</si>
  <si>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</si>
  <si>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</si>
  <si>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</si>
  <si>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</si>
  <si>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</si>
  <si>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</si>
  <si>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</si>
  <si>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</si>
  <si>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</si>
  <si>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</si>
  <si>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</si>
  <si>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</si>
  <si>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</si>
  <si>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</si>
  <si>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</si>
  <si>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</si>
  <si>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</si>
  <si>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</si>
  <si>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</si>
  <si>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</si>
  <si>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</si>
  <si>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</si>
  <si>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</si>
  <si>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18-Feb-26 08:41 AM</t>
  </si>
  <si>
    <t>No Uploaded</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</si>
  <si>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</si>
  <si>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</si>
  <si>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</si>
  <si>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</si>
  <si>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</si>
  <si>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</si>
  <si>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</si>
  <si>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</si>
  <si>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</si>
  <si>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</si>
  <si>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</si>
  <si>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</si>
  <si>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</si>
  <si>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</si>
  <si>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</si>
  <si>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</si>
  <si>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</si>
  <si>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</si>
  <si>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</si>
  <si>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</si>
  <si>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</si>
  <si>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</si>
  <si>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</si>
  <si>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</si>
  <si>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</si>
  <si>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</si>
  <si>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18-Feb-26 10:42 AM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</si>
  <si>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</si>
  <si>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</si>
  <si>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</si>
  <si>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</si>
  <si>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</si>
  <si>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</si>
  <si>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</si>
  <si>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</si>
  <si>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</si>
  <si>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</si>
  <si>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</si>
  <si>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</si>
  <si>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</si>
  <si>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</si>
  <si>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</si>
  <si>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</si>
  <si>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</si>
  <si>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</si>
  <si>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</si>
  <si>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</si>
  <si>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</si>
  <si>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</si>
  <si>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</si>
  <si>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</si>
  <si>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</si>
  <si>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</si>
  <si>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</si>
  <si>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</si>
  <si>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</si>
  <si>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</si>
  <si>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</si>
  <si>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</si>
  <si>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</si>
  <si>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</si>
  <si>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</si>
  <si>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</si>
  <si>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</si>
  <si>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</si>
  <si>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</si>
  <si>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</si>
  <si>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</si>
  <si>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</si>
  <si>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</si>
  <si>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</si>
  <si>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</si>
  <si>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</si>
  <si>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</si>
  <si>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</si>
  <si>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</si>
  <si>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</si>
  <si>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</si>
  <si>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</si>
  <si>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</si>
  <si>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</si>
  <si>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</si>
  <si>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</si>
  <si>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</si>
  <si>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</si>
  <si>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18-Feb-26 02:09 PM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</si>
  <si>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</si>
  <si>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</si>
  <si>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</si>
  <si>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</si>
  <si>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</si>
  <si>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</si>
  <si>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</si>
  <si>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</si>
  <si>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</si>
  <si>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</si>
  <si>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</si>
  <si>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</si>
  <si>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</si>
  <si>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</si>
  <si>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</si>
  <si>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</si>
  <si>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</si>
  <si>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</si>
  <si>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</si>
  <si>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</si>
  <si>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18-Feb-26 02:18 PM</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</si>
  <si>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</si>
  <si>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</si>
  <si>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</si>
  <si>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</si>
  <si>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</si>
  <si>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</si>
  <si>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</si>
  <si>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</si>
  <si>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</si>
  <si>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</si>
  <si>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</si>
  <si>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</si>
  <si>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</si>
  <si>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</si>
  <si>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</si>
  <si>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</si>
  <si>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</si>
  <si>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</si>
  <si>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</si>
  <si>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</si>
  <si>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</si>
  <si>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</si>
  <si>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</si>
  <si>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</si>
  <si>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18-Feb-26 03:18 PM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</si>
  <si>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</si>
  <si>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</si>
  <si>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</si>
  <si>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</si>
  <si>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</si>
  <si>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</si>
  <si>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</si>
  <si>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</si>
  <si>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</si>
  <si>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</si>
  <si>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</si>
  <si>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</si>
  <si>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</si>
  <si>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</si>
  <si>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</si>
  <si>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</si>
  <si>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</si>
  <si>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</si>
  <si>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</si>
  <si>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</si>
  <si>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</si>
  <si>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</si>
  <si>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</si>
  <si>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</si>
  <si>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18-Feb-26 03:35 PM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</si>
  <si>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</si>
  <si>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</si>
  <si>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</si>
  <si>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</si>
  <si>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</si>
  <si>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</si>
  <si>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</si>
  <si>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</si>
  <si>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</si>
  <si>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</si>
  <si>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</si>
  <si>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</si>
  <si>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</si>
  <si>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</si>
  <si>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</si>
  <si>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</si>
  <si>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</si>
  <si>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</si>
  <si>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</si>
  <si>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</si>
  <si>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</si>
  <si>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</si>
  <si>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18-Feb-26 05:37 PM</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</si>
  <si>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</si>
  <si>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</si>
  <si>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</si>
  <si>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</si>
  <si>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</si>
  <si>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</si>
  <si>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</si>
  <si>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</si>
  <si>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</si>
  <si>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</si>
  <si>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</si>
  <si>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</si>
  <si>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</si>
  <si>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</si>
  <si>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</si>
  <si>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</si>
  <si>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</si>
  <si>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</si>
  <si>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</si>
  <si>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</si>
  <si>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</si>
  <si>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</si>
  <si>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</si>
  <si>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</si>
  <si>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</si>
  <si>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NA</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</si>
  <si>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</si>
  <si>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</si>
  <si>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</si>
  <si>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</si>
  <si>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</si>
  <si>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</si>
  <si>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</si>
  <si>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</si>
  <si>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</si>
  <si>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</si>
  <si>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</si>
  <si>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</si>
  <si>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</si>
  <si>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</si>
  <si>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</si>
  <si>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</si>
  <si>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</si>
  <si>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</si>
  <si>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</si>
  <si>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</si>
  <si>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</si>
  <si>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</si>
  <si>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18-Feb-26 06:33 PM</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</si>
  <si>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</si>
  <si>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</si>
  <si>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</si>
  <si>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</si>
  <si>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</si>
  <si>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</si>
  <si>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</si>
  <si>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</si>
  <si>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</si>
  <si>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</si>
  <si>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</si>
  <si>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</si>
  <si>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</si>
  <si>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</si>
  <si>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</si>
  <si>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</si>
  <si>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</si>
  <si>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</si>
  <si>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</si>
  <si>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</si>
  <si>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</si>
  <si>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</si>
  <si>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</si>
  <si>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</si>
  <si>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</si>
  <si>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</si>
  <si>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</si>
  <si>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</si>
  <si>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</si>
  <si>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</si>
  <si>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</si>
  <si>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</si>
  <si>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</si>
  <si>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</si>
  <si>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</si>
  <si>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</si>
  <si>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</si>
  <si>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</si>
  <si>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</si>
  <si>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</si>
  <si>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</si>
  <si>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</si>
  <si>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</si>
  <si>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</si>
  <si>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</si>
  <si>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</si>
  <si>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</si>
  <si>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</si>
  <si>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</si>
  <si>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18-Feb-26 07:39 PM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</si>
  <si>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</si>
  <si>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</si>
  <si>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</si>
  <si>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</si>
  <si>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</si>
  <si>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</si>
  <si>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</si>
  <si>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</si>
  <si>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</si>
  <si>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</si>
  <si>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</si>
  <si>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</si>
  <si>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</si>
  <si>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</si>
  <si>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</si>
  <si>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</si>
  <si>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</si>
  <si>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</si>
  <si>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</si>
  <si>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</si>
  <si>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18-Feb-26 07:48 PM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</si>
  <si>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</si>
  <si>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</si>
  <si>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</si>
  <si>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</si>
  <si>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</si>
  <si>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</si>
  <si>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</si>
  <si>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</si>
  <si>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</si>
  <si>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</si>
  <si>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</si>
  <si>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</si>
  <si>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</si>
  <si>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</si>
  <si>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</si>
  <si>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</si>
  <si>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</si>
  <si>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</si>
  <si>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</si>
  <si>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</si>
  <si>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</si>
  <si>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</si>
  <si>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</si>
  <si>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</si>
  <si>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18-Feb-26 08:22 PM</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</si>
  <si>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</si>
  <si>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</si>
  <si>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</si>
  <si>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</si>
  <si>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</si>
  <si>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</si>
  <si>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</si>
  <si>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</si>
  <si>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</si>
  <si>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</si>
  <si>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</si>
  <si>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</si>
  <si>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</si>
  <si>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</si>
  <si>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</si>
  <si>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</si>
  <si>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</si>
  <si>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18-Feb-26 08:51 PM</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</si>
  <si>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</si>
  <si>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</si>
  <si>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</si>
  <si>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</si>
  <si>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</si>
  <si>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</si>
  <si>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</si>
  <si>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</si>
  <si>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</si>
  <si>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</si>
  <si>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</si>
  <si>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</si>
  <si>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</si>
  <si>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</si>
  <si>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</si>
  <si>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</si>
  <si>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</si>
  <si>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</si>
  <si>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</si>
  <si>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</si>
  <si>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18-Feb-26 09:02 PM</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</si>
  <si>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</si>
  <si>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</si>
  <si>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</si>
  <si>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</si>
  <si>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</si>
  <si>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</si>
  <si>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</si>
  <si>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</si>
  <si>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</si>
  <si>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</si>
  <si>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</si>
  <si>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</si>
  <si>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</si>
  <si>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</si>
  <si>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</si>
  <si>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</si>
  <si>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</si>
  <si>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</si>
  <si>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</si>
  <si>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</si>
  <si>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</si>
  <si>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</si>
  <si>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</si>
  <si>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</si>
  <si>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</si>
  <si>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</si>
  <si>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</si>
  <si>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</si>
  <si>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</si>
  <si>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</si>
  <si>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</si>
  <si>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</si>
  <si>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</si>
  <si>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</si>
  <si>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</si>
  <si>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</si>
  <si>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</si>
  <si>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</si>
  <si>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</si>
  <si>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</si>
  <si>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</si>
  <si>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</si>
  <si>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</si>
  <si>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</si>
  <si>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</si>
  <si>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</si>
  <si>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</si>
  <si>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18-Feb-26 09:51 PM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</si>
  <si>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</si>
  <si>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</si>
  <si>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</si>
  <si>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</si>
  <si>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</si>
  <si>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</si>
  <si>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</si>
  <si>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</si>
  <si>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</si>
  <si>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</si>
  <si>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</si>
  <si>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</si>
  <si>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</si>
  <si>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</si>
  <si>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</si>
  <si>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</si>
  <si>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</si>
  <si>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</si>
  <si>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</si>
  <si>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</si>
  <si>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</si>
  <si>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18-Feb-26 10:03 PM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</si>
  <si>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</si>
  <si>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</si>
  <si>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</si>
  <si>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</si>
  <si>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</si>
  <si>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</si>
  <si>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</si>
  <si>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</si>
  <si>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</si>
  <si>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</si>
  <si>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</si>
  <si>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</si>
  <si>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</si>
  <si>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</si>
  <si>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</si>
  <si>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</si>
  <si>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</si>
  <si>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</si>
  <si>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</si>
  <si>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</si>
  <si>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18-Feb-26 10:12 PM</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</si>
  <si>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</si>
  <si>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</si>
  <si>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</si>
  <si>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</si>
  <si>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</si>
  <si>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</si>
  <si>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</si>
  <si>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</si>
  <si>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</si>
  <si>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</si>
  <si>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</si>
  <si>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</si>
  <si>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</si>
  <si>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</si>
  <si>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</si>
  <si>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</si>
  <si>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</si>
  <si>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</si>
  <si>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</si>
  <si>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</si>
  <si>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</si>
  <si>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18-Feb-26 10:41 PM</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</si>
  <si>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</si>
  <si>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</si>
  <si>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</si>
  <si>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</si>
  <si>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</si>
  <si>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</si>
  <si>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</si>
  <si>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</si>
  <si>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</si>
  <si>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</si>
  <si>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</si>
  <si>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</si>
  <si>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</si>
  <si>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</si>
  <si>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</si>
  <si>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</si>
  <si>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18-Feb-26 10:50 PM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</si>
  <si>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</si>
  <si>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</si>
  <si>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</si>
  <si>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</si>
  <si>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</si>
  <si>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</si>
  <si>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</si>
  <si>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</si>
  <si>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</si>
  <si>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</si>
  <si>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</si>
  <si>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</si>
  <si>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</si>
  <si>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</si>
  <si>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</si>
  <si>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</si>
  <si>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</si>
  <si>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</si>
  <si>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</si>
  <si>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</si>
  <si>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</si>
  <si>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</si>
  <si>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</si>
  <si>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</si>
  <si>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18-Feb-26 11:13 PM</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</si>
  <si>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</si>
  <si>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</si>
  <si>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</si>
  <si>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</si>
  <si>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</si>
  <si>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</si>
  <si>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</si>
  <si>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</si>
  <si>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</si>
  <si>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</si>
  <si>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</si>
  <si>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</si>
  <si>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</si>
  <si>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</si>
  <si>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</si>
  <si>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</si>
  <si>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</si>
  <si>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</si>
  <si>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</si>
  <si>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</si>
  <si>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</si>
  <si>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18-Feb-26 11:35 PM</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</si>
  <si>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</si>
  <si>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</si>
  <si>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</si>
  <si>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</si>
  <si>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</si>
  <si>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</si>
  <si>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</si>
  <si>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</si>
  <si>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</si>
  <si>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</si>
  <si>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</si>
  <si>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</si>
  <si>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</si>
  <si>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</si>
  <si>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</si>
  <si>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</si>
  <si>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</si>
  <si>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</si>
  <si>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</si>
  <si>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</si>
  <si>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</si>
  <si>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</si>
  <si>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</si>
  <si>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</si>
  <si>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</si>
  <si>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</si>
  <si>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</si>
  <si>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</si>
  <si>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</si>
  <si>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</si>
  <si>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</si>
  <si>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</si>
  <si>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</si>
  <si>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</si>
  <si>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</si>
  <si>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</si>
  <si>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</si>
  <si>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</si>
  <si>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</si>
  <si>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</si>
  <si>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</si>
  <si>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</si>
  <si>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</si>
  <si>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</si>
  <si>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</si>
  <si>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</si>
  <si>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</si>
  <si>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</si>
  <si>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</si>
  <si>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</si>
  <si>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18-Feb-26 11:38 PM</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</si>
  <si>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</si>
  <si>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</si>
  <si>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</si>
  <si>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</si>
  <si>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</si>
  <si>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</si>
  <si>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</si>
  <si>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</si>
  <si>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</si>
  <si>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</si>
  <si>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</si>
  <si>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</si>
  <si>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</si>
  <si>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</si>
  <si>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</si>
  <si>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</si>
  <si>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</si>
  <si>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</si>
  <si>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</si>
  <si>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</si>
  <si>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</si>
  <si>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</si>
  <si>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18-Feb-26 11:47 PM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</si>
  <si>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</si>
  <si>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</si>
  <si>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</si>
  <si>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</si>
  <si>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</si>
  <si>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</si>
  <si>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</si>
  <si>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</si>
  <si>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</si>
  <si>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</si>
  <si>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</si>
  <si>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</si>
  <si>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</si>
  <si>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</si>
  <si>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</si>
  <si>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</si>
  <si>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</si>
  <si>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</si>
  <si>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</si>
  <si>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18-Feb-26 11:53 PM</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</si>
  <si>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</si>
  <si>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</si>
  <si>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</si>
  <si>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</si>
  <si>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</si>
  <si>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</si>
  <si>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</si>
  <si>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</si>
  <si>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</si>
  <si>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</si>
  <si>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</si>
  <si>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</si>
  <si>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</si>
  <si>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</si>
  <si>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</si>
  <si>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</si>
  <si>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</si>
  <si>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</si>
  <si>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</si>
  <si>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</si>
  <si>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</si>
  <si>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</si>
  <si>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</si>
  <si>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</si>
  <si>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</si>
  <si>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</si>
  <si>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</si>
  <si>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</si>
  <si>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</si>
  <si>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19-Feb-26 12:02 AM</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</si>
  <si>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</si>
  <si>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</si>
  <si>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</si>
  <si>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</si>
  <si>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</si>
  <si>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</si>
  <si>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</si>
  <si>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</si>
  <si>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</si>
  <si>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</si>
  <si>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</si>
  <si>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</si>
  <si>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</si>
  <si>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</si>
  <si>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</si>
  <si>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</si>
  <si>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</si>
  <si>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</si>
  <si>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</si>
  <si>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</si>
  <si>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</si>
  <si>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</si>
  <si>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</si>
  <si>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</si>
  <si>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19-Feb-26 12:41 AM</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</si>
  <si>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</si>
  <si>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</si>
  <si>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</si>
  <si>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</si>
  <si>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</si>
  <si>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</si>
  <si>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</si>
  <si>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</si>
  <si>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</si>
  <si>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</si>
  <si>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</si>
  <si>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</si>
  <si>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</si>
  <si>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</si>
  <si>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</si>
  <si>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</si>
  <si>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</si>
  <si>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</si>
  <si>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19-Feb-26 12:46 AM</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</si>
  <si>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</si>
  <si>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</si>
  <si>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</si>
  <si>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</si>
  <si>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</si>
  <si>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</si>
  <si>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</si>
  <si>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</si>
  <si>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</si>
  <si>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</si>
  <si>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</si>
  <si>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</si>
  <si>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</si>
  <si>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</si>
  <si>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</si>
  <si>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</si>
  <si>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</si>
  <si>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</si>
  <si>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</si>
  <si>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</si>
  <si>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</si>
  <si>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</si>
  <si>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</si>
  <si>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</si>
  <si>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</si>
  <si>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</si>
  <si>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</si>
  <si>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</si>
  <si>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</si>
  <si>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19-Feb-26 02:09 AM</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</si>
  <si>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</si>
  <si>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</si>
  <si>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</si>
  <si>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</si>
  <si>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</si>
  <si>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</si>
  <si>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</si>
  <si>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</si>
  <si>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</si>
  <si>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</si>
  <si>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</si>
  <si>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</si>
  <si>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</si>
  <si>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</si>
  <si>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</si>
  <si>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</si>
  <si>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</si>
  <si>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</si>
  <si>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</si>
  <si>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</si>
  <si>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</si>
  <si>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</si>
  <si>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</si>
  <si>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</si>
  <si>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19-Feb-26 05:39 AM</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</si>
  <si>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</si>
  <si>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</si>
  <si>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</si>
  <si>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</si>
  <si>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</si>
  <si>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</si>
  <si>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</si>
  <si>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</si>
  <si>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</si>
  <si>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</si>
  <si>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</si>
  <si>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</si>
  <si>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</si>
  <si>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</si>
  <si>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</si>
  <si>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</si>
  <si>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</si>
  <si>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</si>
  <si>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</si>
  <si>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</si>
  <si>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</si>
  <si>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</si>
  <si>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</si>
  <si>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</si>
  <si>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19-Feb-26 05:53 AM</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</si>
  <si>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</si>
  <si>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</si>
  <si>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</si>
  <si>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</si>
  <si>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</si>
  <si>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</si>
  <si>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</si>
  <si>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</si>
  <si>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</si>
  <si>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</si>
  <si>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</si>
  <si>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</si>
  <si>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</si>
  <si>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</si>
  <si>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</si>
  <si>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</si>
  <si>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</si>
  <si>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</si>
  <si>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</si>
  <si>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</si>
  <si>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</si>
  <si>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19-Feb-26 06:50 AM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</si>
  <si>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</si>
  <si>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</si>
  <si>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</si>
  <si>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</si>
  <si>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</si>
  <si>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</si>
  <si>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</si>
  <si>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</si>
  <si>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</si>
  <si>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</si>
  <si>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</si>
  <si>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</si>
  <si>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</si>
  <si>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</si>
  <si>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</si>
  <si>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</si>
  <si>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</si>
  <si>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</si>
  <si>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</si>
  <si>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</si>
  <si>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</si>
  <si>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</si>
  <si>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</si>
  <si>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19-Feb-26 07:22 AM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</si>
  <si>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</si>
  <si>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</si>
  <si>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</si>
  <si>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</si>
  <si>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</si>
  <si>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</si>
  <si>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</si>
  <si>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</si>
  <si>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</si>
  <si>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</si>
  <si>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</si>
  <si>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</si>
  <si>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</si>
  <si>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</si>
  <si>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</si>
  <si>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</si>
  <si>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</si>
  <si>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</si>
  <si>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</si>
  <si>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</si>
  <si>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</si>
  <si>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19-Feb-26 09:26 AM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</si>
  <si>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</si>
  <si>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</si>
  <si>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</si>
  <si>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</si>
  <si>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</si>
  <si>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</si>
  <si>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</si>
  <si>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</si>
  <si>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</si>
  <si>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</si>
  <si>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</si>
  <si>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</si>
  <si>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</si>
  <si>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</si>
  <si>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</si>
  <si>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</si>
  <si>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</si>
  <si>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</si>
  <si>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</si>
  <si>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</si>
  <si>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</si>
  <si>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</si>
  <si>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</si>
  <si>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19-Feb-26 09:35 AM</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</si>
  <si>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</si>
  <si>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</si>
  <si>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</si>
  <si>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</si>
  <si>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</si>
  <si>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</si>
  <si>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</si>
  <si>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</si>
  <si>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</si>
  <si>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</si>
  <si>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</si>
  <si>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</si>
  <si>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</si>
  <si>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</si>
  <si>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</si>
  <si>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</si>
  <si>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</si>
  <si>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</si>
  <si>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</si>
  <si>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</si>
  <si>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</si>
  <si>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</si>
  <si>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</si>
  <si>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</si>
  <si>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</si>
  <si>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</si>
  <si>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</si>
  <si>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</si>
  <si>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</si>
  <si>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</si>
  <si>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</si>
  <si>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</si>
  <si>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</si>
  <si>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</si>
  <si>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</si>
  <si>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</si>
  <si>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</si>
  <si>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</si>
  <si>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19-Feb-26 10:43 AM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</si>
  <si>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</si>
  <si>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</si>
  <si>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</si>
  <si>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</si>
  <si>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</si>
  <si>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</si>
  <si>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</si>
  <si>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</si>
  <si>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</si>
  <si>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</si>
  <si>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</si>
  <si>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</si>
  <si>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</si>
  <si>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</si>
  <si>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</si>
  <si>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</si>
  <si>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</si>
  <si>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</si>
  <si>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</si>
  <si>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19-Feb-26 11:09 AM</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</si>
  <si>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</si>
  <si>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</si>
  <si>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</si>
  <si>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</si>
  <si>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</si>
  <si>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</si>
  <si>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</si>
  <si>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</si>
  <si>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</si>
  <si>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</si>
  <si>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</si>
  <si>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</si>
  <si>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</si>
  <si>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</si>
  <si>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</si>
  <si>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</si>
  <si>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</si>
  <si>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</si>
  <si>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</si>
  <si>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19-Feb-26 11:16 AM</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</si>
  <si>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</si>
  <si>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</si>
  <si>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</si>
  <si>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</si>
  <si>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</si>
  <si>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</si>
  <si>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</si>
  <si>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</si>
  <si>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</si>
  <si>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</si>
  <si>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</si>
  <si>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</si>
  <si>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</si>
  <si>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</si>
  <si>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</si>
  <si>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</si>
  <si>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</si>
  <si>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</si>
  <si>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</si>
  <si>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</si>
  <si>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</si>
  <si>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</si>
  <si>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</si>
  <si>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</si>
  <si>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</si>
  <si>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</si>
  <si>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</si>
  <si>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</si>
  <si>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</si>
  <si>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</si>
  <si>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</si>
  <si>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</si>
  <si>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</si>
  <si>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</si>
  <si>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</si>
  <si>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</si>
  <si>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</si>
  <si>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</si>
  <si>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</si>
  <si>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</si>
  <si>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</si>
  <si>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19-Feb-26 11:20 AM</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</si>
  <si>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</si>
  <si>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</si>
  <si>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</si>
  <si>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</si>
  <si>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</si>
  <si>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</si>
  <si>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</si>
  <si>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</si>
  <si>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</si>
  <si>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</si>
  <si>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</si>
  <si>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</si>
  <si>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</si>
  <si>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</si>
  <si>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</si>
  <si>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</si>
  <si>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</si>
  <si>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</si>
  <si>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</si>
  <si>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</si>
  <si>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</si>
  <si>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</si>
  <si>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</si>
  <si>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</si>
  <si>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</si>
  <si>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</si>
  <si>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</si>
  <si>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</si>
  <si>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</si>
  <si>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</si>
  <si>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</si>
  <si>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</si>
  <si>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</si>
  <si>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</si>
  <si>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</si>
  <si>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</si>
  <si>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</si>
  <si>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</si>
  <si>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</si>
  <si>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</si>
  <si>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</si>
  <si>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</si>
  <si>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</si>
  <si>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</si>
  <si>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</si>
  <si>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</si>
  <si>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</si>
  <si>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</si>
  <si>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</si>
  <si>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</si>
  <si>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</si>
  <si>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</si>
  <si>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</si>
  <si>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</si>
  <si>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</si>
  <si>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</si>
  <si>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</si>
  <si>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</si>
  <si>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</si>
  <si>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</si>
  <si>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</si>
  <si>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</si>
  <si>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</si>
  <si>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19-Feb-26 11:28 AM</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</si>
  <si>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</si>
  <si>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</si>
  <si>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</si>
  <si>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</si>
  <si>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</si>
  <si>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</si>
  <si>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</si>
  <si>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</si>
  <si>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</si>
  <si>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</si>
  <si>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</si>
  <si>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</si>
  <si>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</si>
  <si>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</si>
  <si>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</si>
  <si>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</si>
  <si>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</si>
  <si>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</si>
  <si>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</si>
  <si>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19-Feb-26 11:43 AM</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</si>
  <si>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</si>
  <si>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</si>
  <si>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</si>
  <si>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</si>
  <si>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</si>
  <si>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</si>
  <si>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</si>
  <si>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</si>
  <si>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</si>
  <si>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</si>
  <si>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</si>
  <si>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</si>
  <si>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</si>
  <si>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</si>
  <si>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</si>
  <si>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</si>
  <si>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</si>
  <si>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</si>
  <si>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</si>
  <si>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</si>
  <si>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</si>
  <si>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</si>
  <si>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</si>
  <si>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19-Feb-26 11:49 AM</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</si>
  <si>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</si>
  <si>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</si>
  <si>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</si>
  <si>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</si>
  <si>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</si>
  <si>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</si>
  <si>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</si>
  <si>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</si>
  <si>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</si>
  <si>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</si>
  <si>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</si>
  <si>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</si>
  <si>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</si>
  <si>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</si>
  <si>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</si>
  <si>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</si>
  <si>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</si>
  <si>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</si>
  <si>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</si>
  <si>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19-Feb-26 11:51 AM</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</si>
  <si>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</si>
  <si>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</si>
  <si>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</si>
  <si>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</si>
  <si>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</si>
  <si>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</si>
  <si>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</si>
  <si>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</si>
  <si>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</si>
  <si>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</si>
  <si>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</si>
  <si>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</si>
  <si>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</si>
  <si>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</si>
  <si>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</si>
  <si>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</si>
  <si>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</si>
  <si>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</si>
  <si>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</si>
  <si>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</si>
  <si>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</si>
  <si>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</si>
  <si>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</si>
  <si>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19-Feb-26 11:52 AM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</si>
  <si>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</si>
  <si>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</si>
  <si>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</si>
  <si>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</si>
  <si>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</si>
  <si>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</si>
  <si>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</si>
  <si>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</si>
  <si>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</si>
  <si>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</si>
  <si>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</si>
  <si>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</si>
  <si>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</si>
  <si>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</si>
  <si>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</si>
  <si>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</si>
  <si>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</si>
  <si>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</si>
  <si>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</si>
  <si>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</si>
  <si>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</si>
  <si>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19-Feb-26 11:56 AM</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</si>
  <si>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</si>
  <si>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</si>
  <si>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</si>
  <si>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</si>
  <si>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</si>
  <si>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</si>
  <si>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</si>
  <si>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</si>
  <si>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</si>
  <si>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</si>
  <si>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</si>
  <si>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</si>
  <si>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</si>
  <si>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</si>
  <si>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</si>
  <si>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</si>
  <si>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</si>
  <si>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</si>
  <si>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</si>
  <si>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</si>
  <si>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</si>
  <si>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</si>
  <si>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19-Feb-26 11:57 AM</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</si>
  <si>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</si>
  <si>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</si>
  <si>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</si>
  <si>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</si>
  <si>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</si>
  <si>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</si>
  <si>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</si>
  <si>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</si>
  <si>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</si>
  <si>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</si>
  <si>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</si>
  <si>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</si>
  <si>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</si>
  <si>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</si>
  <si>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</si>
  <si>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</si>
  <si>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</si>
  <si>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</si>
  <si>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</si>
  <si>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</si>
  <si>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</si>
  <si>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</si>
  <si>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</si>
  <si>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</si>
  <si>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</si>
  <si>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</si>
  <si>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</si>
  <si>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</si>
  <si>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</si>
  <si>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</si>
  <si>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</si>
  <si>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19-Feb-26 12:12 PM</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</si>
  <si>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</si>
  <si>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</si>
  <si>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</si>
  <si>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</si>
  <si>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</si>
  <si>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</si>
  <si>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</si>
  <si>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</si>
  <si>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</si>
  <si>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</si>
  <si>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</si>
  <si>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</si>
  <si>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</si>
  <si>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</si>
  <si>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</si>
  <si>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</si>
  <si>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</si>
  <si>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</si>
  <si>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</si>
  <si>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</si>
  <si>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</si>
  <si>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</si>
  <si>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</si>
  <si>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</si>
  <si>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</si>
  <si>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</si>
  <si>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</si>
  <si>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</si>
  <si>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</si>
  <si>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</si>
  <si>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</si>
  <si>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</si>
  <si>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</si>
  <si>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</si>
  <si>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</si>
  <si>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</si>
  <si>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</si>
  <si>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</si>
  <si>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</si>
  <si>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</si>
  <si>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</si>
  <si>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</si>
  <si>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</si>
  <si>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</si>
  <si>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19-Feb-26 12:25 PM</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</si>
  <si>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</si>
  <si>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</si>
  <si>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</si>
  <si>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</si>
  <si>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</si>
  <si>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</si>
  <si>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</si>
  <si>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</si>
  <si>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</si>
  <si>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</si>
  <si>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</si>
  <si>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</si>
  <si>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</si>
  <si>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</si>
  <si>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</si>
  <si>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</si>
  <si>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</si>
  <si>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</si>
  <si>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</si>
  <si>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</si>
  <si>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</si>
  <si>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</si>
  <si>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</si>
  <si>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</si>
  <si>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</si>
  <si>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</si>
  <si>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</si>
  <si>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</si>
  <si>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19-Feb-26 12:26 PM</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</si>
  <si>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</si>
  <si>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</si>
  <si>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</si>
  <si>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</si>
  <si>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</si>
  <si>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</si>
  <si>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</si>
  <si>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</si>
  <si>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</si>
  <si>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</si>
  <si>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</si>
  <si>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</si>
  <si>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</si>
  <si>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</si>
  <si>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</si>
  <si>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</si>
  <si>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</si>
  <si>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</si>
  <si>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</si>
  <si>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</si>
  <si>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</si>
  <si>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</si>
  <si>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</si>
  <si>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</si>
  <si>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19-Feb-26 12:27 PM</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</si>
  <si>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</si>
  <si>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</si>
  <si>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</si>
  <si>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</si>
  <si>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</si>
  <si>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</si>
  <si>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</si>
  <si>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</si>
  <si>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</si>
  <si>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</si>
  <si>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</si>
  <si>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</si>
  <si>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</si>
  <si>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</si>
  <si>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</si>
  <si>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</si>
  <si>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</si>
  <si>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</si>
  <si>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</si>
  <si>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</si>
  <si>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</si>
  <si>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</si>
  <si>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</si>
  <si>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19-Feb-26 12:37 PM</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</si>
  <si>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</si>
  <si>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</si>
  <si>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</si>
  <si>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</si>
  <si>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</si>
  <si>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</si>
  <si>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</si>
  <si>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</si>
  <si>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</si>
  <si>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</si>
  <si>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</si>
  <si>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</si>
  <si>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</si>
  <si>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</si>
  <si>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</si>
  <si>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</si>
  <si>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</si>
  <si>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</si>
  <si>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</si>
  <si>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</si>
  <si>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</si>
  <si>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</si>
  <si>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</si>
  <si>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</si>
  <si>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</si>
  <si>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</si>
  <si>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</si>
  <si>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</si>
  <si>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</si>
  <si>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</si>
  <si>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</si>
  <si>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</si>
  <si>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</si>
  <si>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</si>
  <si>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</si>
  <si>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</si>
  <si>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</si>
  <si>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</si>
  <si>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</si>
  <si>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</si>
  <si>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</si>
  <si>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19-Feb-26 12:41 PM</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</si>
  <si>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</si>
  <si>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</si>
  <si>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</si>
  <si>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</si>
  <si>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</si>
  <si>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</si>
  <si>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</si>
  <si>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</si>
  <si>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</si>
  <si>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</si>
  <si>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</si>
  <si>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</si>
  <si>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</si>
  <si>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</si>
  <si>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</si>
  <si>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</si>
  <si>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</si>
  <si>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</si>
  <si>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</si>
  <si>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</si>
  <si>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</si>
  <si>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</si>
  <si>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19-Feb-26 12:46 PM</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</si>
  <si>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</si>
  <si>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</si>
  <si>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</si>
  <si>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</si>
  <si>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</si>
  <si>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</si>
  <si>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</si>
  <si>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</si>
  <si>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</si>
  <si>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</si>
  <si>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</si>
  <si>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</si>
  <si>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</si>
  <si>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</si>
  <si>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</si>
  <si>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</si>
  <si>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</si>
  <si>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</si>
  <si>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</si>
  <si>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</si>
  <si>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</si>
  <si>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</si>
  <si>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</si>
  <si>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</si>
  <si>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19-Feb-26 12:55 PM</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</si>
  <si>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</si>
  <si>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</si>
  <si>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</si>
  <si>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</si>
  <si>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</si>
  <si>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</si>
  <si>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</si>
  <si>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</si>
  <si>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</si>
  <si>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</si>
  <si>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</si>
  <si>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</si>
  <si>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</si>
  <si>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</si>
  <si>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</si>
  <si>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</si>
  <si>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</si>
  <si>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</si>
  <si>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</si>
  <si>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</si>
  <si>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</si>
  <si>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</si>
  <si>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</si>
  <si>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</si>
  <si>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</si>
  <si>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</si>
  <si>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</si>
  <si>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</si>
  <si>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</si>
  <si>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</si>
  <si>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</si>
  <si>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</si>
  <si>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</si>
  <si>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</si>
  <si>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</si>
  <si>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</si>
  <si>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</si>
  <si>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</si>
  <si>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</si>
  <si>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</si>
  <si>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</si>
  <si>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</si>
  <si>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19-Feb-26 01:14 PM</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</si>
  <si>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</si>
  <si>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</si>
  <si>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</si>
  <si>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</si>
  <si>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</si>
  <si>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</si>
  <si>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</si>
  <si>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</si>
  <si>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</si>
  <si>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</si>
  <si>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</si>
  <si>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</si>
  <si>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</si>
  <si>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</si>
  <si>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</si>
  <si>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</si>
  <si>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</si>
  <si>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</si>
  <si>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</si>
  <si>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</si>
  <si>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</si>
  <si>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</si>
  <si>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</si>
  <si>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</si>
  <si>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</si>
  <si>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</si>
  <si>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</si>
  <si>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</si>
  <si>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</si>
  <si>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</si>
  <si>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</si>
  <si>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</si>
  <si>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</si>
  <si>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</si>
  <si>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</si>
  <si>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</si>
  <si>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</si>
  <si>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</si>
  <si>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</si>
  <si>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</si>
  <si>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</si>
  <si>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</si>
  <si>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</si>
  <si>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</si>
  <si>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</si>
  <si>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</si>
  <si>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</si>
  <si>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</si>
  <si>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</si>
  <si>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</si>
  <si>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</si>
  <si>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</si>
  <si>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</si>
  <si>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</si>
  <si>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</si>
  <si>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</si>
  <si>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</si>
  <si>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</si>
  <si>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</si>
  <si>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</si>
  <si>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</si>
  <si>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</si>
  <si>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</si>
  <si>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</si>
  <si>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</si>
  <si>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</si>
  <si>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</si>
  <si>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19-Feb-26 01:35 PM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</si>
  <si>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</si>
  <si>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</si>
  <si>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</si>
  <si>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</si>
  <si>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</si>
  <si>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</si>
  <si>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</si>
  <si>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</si>
  <si>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</si>
  <si>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</si>
  <si>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</si>
  <si>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</si>
  <si>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</si>
  <si>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</si>
  <si>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</si>
  <si>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</si>
  <si>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</si>
  <si>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</si>
  <si>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</si>
  <si>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</si>
  <si>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</si>
  <si>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</si>
  <si>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</si>
  <si>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</si>
  <si>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</si>
  <si>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</si>
  <si>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</si>
  <si>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</si>
  <si>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</si>
  <si>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</si>
  <si>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</si>
  <si>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</si>
  <si>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</si>
  <si>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</si>
  <si>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</si>
  <si>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</si>
  <si>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</si>
  <si>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</si>
  <si>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</si>
  <si>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</si>
  <si>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</si>
  <si>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19-Feb-26 01:42 PM</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</si>
  <si>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</si>
  <si>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</si>
  <si>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</si>
  <si>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</si>
  <si>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</si>
  <si>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</si>
  <si>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</si>
  <si>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</si>
  <si>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</si>
  <si>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</si>
  <si>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</si>
  <si>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</si>
  <si>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</si>
  <si>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</si>
  <si>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</si>
  <si>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</si>
  <si>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</si>
  <si>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</si>
  <si>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</si>
  <si>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</si>
  <si>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</si>
  <si>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</si>
  <si>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19-Feb-26 01:52 PM</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</si>
  <si>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</si>
  <si>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</si>
  <si>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</si>
  <si>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</si>
  <si>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</si>
  <si>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</si>
  <si>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</si>
  <si>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</si>
  <si>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</si>
  <si>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</si>
  <si>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</si>
  <si>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</si>
  <si>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</si>
  <si>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</si>
  <si>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</si>
  <si>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</si>
  <si>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</si>
  <si>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</si>
  <si>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</si>
  <si>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</si>
  <si>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</si>
  <si>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</si>
  <si>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</si>
  <si>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19-Feb-26 01:57 PM</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</si>
  <si>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</si>
  <si>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</si>
  <si>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</si>
  <si>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</si>
  <si>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</si>
  <si>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</si>
  <si>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</si>
  <si>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</si>
  <si>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</si>
  <si>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</si>
  <si>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</si>
  <si>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</si>
  <si>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</si>
  <si>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</si>
  <si>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</si>
  <si>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</si>
  <si>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</si>
  <si>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</si>
  <si>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</si>
  <si>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19-Feb-26 01:58 PM</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</si>
  <si>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</si>
  <si>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</si>
  <si>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</si>
  <si>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</si>
  <si>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</si>
  <si>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</si>
  <si>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</si>
  <si>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</si>
  <si>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</si>
  <si>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</si>
  <si>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</si>
  <si>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</si>
  <si>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</si>
  <si>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</si>
  <si>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</si>
  <si>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</si>
  <si>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</si>
  <si>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</si>
  <si>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</si>
  <si>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</si>
  <si>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</si>
  <si>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19-Feb-26 02:17 PM</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</si>
  <si>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</si>
  <si>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</si>
  <si>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</si>
  <si>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</si>
  <si>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</si>
  <si>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</si>
  <si>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</si>
  <si>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</si>
  <si>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</si>
  <si>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</si>
  <si>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</si>
  <si>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</si>
  <si>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</si>
  <si>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</si>
  <si>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</si>
  <si>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</si>
  <si>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</si>
  <si>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</si>
  <si>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</si>
  <si>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</si>
  <si>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Nil</t>
  </si>
  <si>
    <t>19-Feb-26 02:22 PM</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</si>
  <si>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</si>
  <si>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</si>
  <si>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</si>
  <si>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</si>
  <si>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</si>
  <si>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</si>
  <si>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</si>
  <si>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</si>
  <si>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</si>
  <si>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</si>
  <si>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</si>
  <si>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</si>
  <si>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</si>
  <si>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</si>
  <si>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</si>
  <si>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</si>
  <si>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</si>
  <si>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</si>
  <si>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</si>
  <si>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</si>
  <si>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</si>
  <si>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</si>
  <si>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</si>
  <si>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</si>
  <si>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19-Feb-26 02:23 PM</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</si>
  <si>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</si>
  <si>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</si>
  <si>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</si>
  <si>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</si>
  <si>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</si>
  <si>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</si>
  <si>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</si>
  <si>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</si>
  <si>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</si>
  <si>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</si>
  <si>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</si>
  <si>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</si>
  <si>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</si>
  <si>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</si>
  <si>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</si>
  <si>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</si>
  <si>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</si>
  <si>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</si>
  <si>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19-Feb-26 02:25 PM</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</si>
  <si>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</si>
  <si>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</si>
  <si>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</si>
  <si>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</si>
  <si>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</si>
  <si>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</si>
  <si>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</si>
  <si>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</si>
  <si>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</si>
  <si>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</si>
  <si>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</si>
  <si>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</si>
  <si>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</si>
  <si>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</si>
  <si>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</si>
  <si>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</si>
  <si>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</si>
  <si>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</si>
  <si>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</si>
  <si>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</si>
  <si>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</si>
  <si>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</si>
  <si>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</si>
  <si>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</si>
  <si>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19-Feb-26 02:28 PM</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</si>
  <si>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</si>
  <si>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</si>
  <si>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</si>
  <si>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</si>
  <si>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</si>
  <si>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</si>
  <si>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</si>
  <si>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</si>
  <si>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</si>
  <si>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</si>
  <si>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</si>
  <si>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</si>
  <si>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</si>
  <si>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</si>
  <si>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</si>
  <si>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</si>
  <si>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</si>
  <si>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</si>
  <si>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</si>
  <si>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</si>
  <si>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</si>
  <si>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</si>
  <si>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</si>
  <si>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</si>
  <si>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</si>
  <si>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</si>
  <si>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</si>
  <si>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</si>
  <si>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</si>
  <si>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</si>
  <si>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</si>
  <si>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</si>
  <si>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</si>
  <si>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</si>
  <si>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19-Feb-26 02:32 PM</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</si>
  <si>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</si>
  <si>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</si>
  <si>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</si>
  <si>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</si>
  <si>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</si>
  <si>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</si>
  <si>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</si>
  <si>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</si>
  <si>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</si>
  <si>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</si>
  <si>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</si>
  <si>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</si>
  <si>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</si>
  <si>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</si>
  <si>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</si>
  <si>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</si>
  <si>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</si>
  <si>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</si>
  <si>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</si>
  <si>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</si>
  <si>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</si>
  <si>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</si>
  <si>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</si>
  <si>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</si>
  <si>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</si>
  <si>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</si>
  <si>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</si>
  <si>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</si>
  <si>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</si>
  <si>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</si>
  <si>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</si>
  <si>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</si>
  <si>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</si>
  <si>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</si>
  <si>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</si>
  <si>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</si>
  <si>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</si>
  <si>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</si>
  <si>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</si>
  <si>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</si>
  <si>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</si>
  <si>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</si>
  <si>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</si>
  <si>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</si>
  <si>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</si>
  <si>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</si>
  <si>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</si>
  <si>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</si>
  <si>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</si>
  <si>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</si>
  <si>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</si>
  <si>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</si>
  <si>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</si>
  <si>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</si>
  <si>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</si>
  <si>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</si>
  <si>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</si>
  <si>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</si>
  <si>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</si>
  <si>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</si>
  <si>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</si>
  <si>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</si>
  <si>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</si>
  <si>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</si>
  <si>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</si>
  <si>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</si>
  <si>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</si>
  <si>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</si>
  <si>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</si>
  <si>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</si>
  <si>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</si>
  <si>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</si>
  <si>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</si>
  <si>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</si>
  <si>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</si>
  <si>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</si>
  <si>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</si>
  <si>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</si>
  <si>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</si>
  <si>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</si>
  <si>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</si>
  <si>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</si>
  <si>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</si>
  <si>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</si>
  <si>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</si>
  <si>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</si>
  <si>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</si>
  <si>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</si>
  <si>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</si>
  <si>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</si>
  <si>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</si>
  <si>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</si>
  <si>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</si>
  <si>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</si>
  <si>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</si>
  <si>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</si>
  <si>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</si>
  <si>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</si>
  <si>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</si>
  <si>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</si>
  <si>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19-Feb-26 02:47 PM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</si>
  <si>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</si>
  <si>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</si>
  <si>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</si>
  <si>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</si>
  <si>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</si>
  <si>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</si>
  <si>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</si>
  <si>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</si>
  <si>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</si>
  <si>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</si>
  <si>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</si>
  <si>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</si>
  <si>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</si>
  <si>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</si>
  <si>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</si>
  <si>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</si>
  <si>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</si>
  <si>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</si>
  <si>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</si>
  <si>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</si>
  <si>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</si>
  <si>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</si>
  <si>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</si>
  <si>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</si>
  <si>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</si>
  <si>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</si>
  <si>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</si>
  <si>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</si>
  <si>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</si>
  <si>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</si>
  <si>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</si>
  <si>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</si>
  <si>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</si>
  <si>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</si>
  <si>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</si>
  <si>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19-Feb-26 02:50 PM</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</si>
  <si>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</si>
  <si>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</si>
  <si>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</si>
  <si>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</si>
  <si>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</si>
  <si>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</si>
  <si>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</si>
  <si>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</si>
  <si>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</si>
  <si>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</si>
  <si>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</si>
  <si>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</si>
  <si>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</si>
  <si>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</si>
  <si>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</si>
  <si>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</si>
  <si>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</si>
  <si>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</si>
  <si>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</si>
  <si>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</si>
  <si>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</si>
  <si>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19-Feb-26 02:51 PM</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</si>
  <si>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</si>
  <si>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</si>
  <si>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</si>
  <si>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</si>
  <si>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</si>
  <si>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</si>
  <si>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</si>
  <si>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</si>
  <si>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</si>
  <si>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</si>
  <si>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</si>
  <si>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</si>
  <si>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</si>
  <si>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</si>
  <si>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</si>
  <si>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19-Feb-26 02:54 PM</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</si>
  <si>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</si>
  <si>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</si>
  <si>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</si>
  <si>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</si>
  <si>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</si>
  <si>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</si>
  <si>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</si>
  <si>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</si>
  <si>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</si>
  <si>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</si>
  <si>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</si>
  <si>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</si>
  <si>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</si>
  <si>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</si>
  <si>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</si>
  <si>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</si>
  <si>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</si>
  <si>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</si>
  <si>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</si>
  <si>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</si>
  <si>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</si>
  <si>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</si>
  <si>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19-Feb-26 02:55 PM</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</si>
  <si>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</si>
  <si>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</si>
  <si>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</si>
  <si>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</si>
  <si>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</si>
  <si>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</si>
  <si>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</si>
  <si>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</si>
  <si>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</si>
  <si>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</si>
  <si>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</si>
  <si>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</si>
  <si>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</si>
  <si>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</si>
  <si>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19-Feb-26 03:00 PM</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</si>
  <si>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</si>
  <si>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</si>
  <si>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</si>
  <si>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</si>
  <si>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</si>
  <si>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</si>
  <si>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</si>
  <si>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</si>
  <si>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</si>
  <si>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</si>
  <si>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</si>
  <si>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</si>
  <si>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</si>
  <si>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</si>
  <si>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</si>
  <si>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</si>
  <si>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</si>
  <si>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</si>
  <si>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</si>
  <si>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19-Feb-26 03:01 PM</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</si>
  <si>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</si>
  <si>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</si>
  <si>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</si>
  <si>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</si>
  <si>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</si>
  <si>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</si>
  <si>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</si>
  <si>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</si>
  <si>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</si>
  <si>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</si>
  <si>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</si>
  <si>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</si>
  <si>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</si>
  <si>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</si>
  <si>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</si>
  <si>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</si>
  <si>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</si>
  <si>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</si>
  <si>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</si>
  <si>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</si>
  <si>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</si>
  <si>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</si>
  <si>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</si>
  <si>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</si>
  <si>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</si>
  <si>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</si>
  <si>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</si>
  <si>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</si>
  <si>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</si>
  <si>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</si>
  <si>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</si>
  <si>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</si>
  <si>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</si>
  <si>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</si>
  <si>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</si>
  <si>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</si>
  <si>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</si>
  <si>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</si>
  <si>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</si>
  <si>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</si>
  <si>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</si>
  <si>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</si>
  <si>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</si>
  <si>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19-Feb-26 03:24 PM</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</si>
  <si>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</si>
  <si>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</si>
  <si>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</si>
  <si>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</si>
  <si>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</si>
  <si>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</si>
  <si>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</si>
  <si>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</si>
  <si>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</si>
  <si>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</si>
  <si>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</si>
  <si>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</si>
  <si>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</si>
  <si>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</si>
  <si>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</si>
  <si>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</si>
  <si>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</si>
  <si>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</si>
  <si>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</si>
  <si>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</si>
  <si>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</si>
  <si>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</si>
  <si>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19-Feb-26 03:29 PM</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</si>
  <si>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</si>
  <si>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</si>
  <si>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</si>
  <si>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</si>
  <si>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</si>
  <si>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</si>
  <si>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</si>
  <si>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</si>
  <si>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</si>
  <si>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</si>
  <si>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</si>
  <si>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</si>
  <si>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</si>
  <si>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</si>
  <si>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</si>
  <si>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</si>
  <si>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</si>
  <si>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</si>
  <si>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</si>
  <si>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</si>
  <si>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</si>
  <si>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</si>
  <si>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</si>
  <si>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</si>
  <si>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</si>
  <si>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</si>
  <si>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</si>
  <si>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</si>
  <si>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</si>
  <si>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</si>
  <si>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</si>
  <si>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</si>
  <si>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</si>
  <si>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</si>
  <si>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</si>
  <si>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</si>
  <si>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</si>
  <si>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</si>
  <si>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</si>
  <si>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</si>
  <si>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</si>
  <si>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</si>
  <si>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</si>
  <si>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</si>
  <si>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</si>
  <si>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</si>
  <si>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</si>
  <si>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</si>
  <si>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</si>
  <si>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</si>
  <si>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</si>
  <si>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</si>
  <si>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</si>
  <si>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</si>
  <si>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</si>
  <si>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</si>
  <si>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</si>
  <si>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</si>
  <si>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</si>
  <si>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</si>
  <si>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</si>
  <si>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</si>
  <si>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</si>
  <si>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</si>
  <si>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</si>
  <si>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</si>
  <si>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</si>
  <si>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</si>
  <si>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</si>
  <si>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</si>
  <si>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19-Feb-26 03:46 PM</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</si>
  <si>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</si>
  <si>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</si>
  <si>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</si>
  <si>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</si>
  <si>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</si>
  <si>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</si>
  <si>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</si>
  <si>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</si>
  <si>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</si>
  <si>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</si>
  <si>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</si>
  <si>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</si>
  <si>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</si>
  <si>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19-Feb-26 03:54 PM</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</si>
  <si>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</si>
  <si>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</si>
  <si>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</si>
  <si>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</si>
  <si>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</si>
  <si>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</si>
  <si>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</si>
  <si>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</si>
  <si>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</si>
  <si>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</si>
  <si>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</si>
  <si>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</si>
  <si>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</si>
  <si>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</si>
  <si>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</si>
  <si>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</si>
  <si>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</si>
  <si>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</si>
  <si>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</si>
  <si>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19-Feb-26 04:02 PM</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</si>
  <si>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</si>
  <si>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</si>
  <si>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</si>
  <si>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</si>
  <si>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</si>
  <si>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</si>
  <si>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</si>
  <si>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</si>
  <si>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</si>
  <si>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</si>
  <si>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</si>
  <si>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</si>
  <si>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</si>
  <si>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</si>
  <si>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</si>
  <si>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</si>
  <si>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</si>
  <si>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</si>
  <si>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</si>
  <si>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</si>
  <si>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</si>
  <si>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</si>
  <si>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</si>
  <si>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</si>
  <si>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</si>
  <si>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</si>
  <si>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</si>
  <si>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</si>
  <si>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</si>
  <si>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</si>
  <si>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</si>
  <si>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</si>
  <si>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</si>
  <si>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</si>
  <si>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</si>
  <si>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19-Feb-26 04:17 PM</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</si>
  <si>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</si>
  <si>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</si>
  <si>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</si>
  <si>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</si>
  <si>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</si>
  <si>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</si>
  <si>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</si>
  <si>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</si>
  <si>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</si>
  <si>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</si>
  <si>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</si>
  <si>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</si>
  <si>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</si>
  <si>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</si>
  <si>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</si>
  <si>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</si>
  <si>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</si>
  <si>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</si>
  <si>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</si>
  <si>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19-Feb-26 04:32 PM</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</si>
  <si>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</si>
  <si>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</si>
  <si>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</si>
  <si>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</si>
  <si>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</si>
  <si>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</si>
  <si>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</si>
  <si>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</si>
  <si>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</si>
  <si>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</si>
  <si>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</si>
  <si>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</si>
  <si>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</si>
  <si>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</si>
  <si>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</si>
  <si>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</si>
  <si>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</si>
  <si>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</si>
  <si>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</si>
  <si>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</si>
  <si>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19-Feb-26 04:33 PM</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</si>
  <si>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</si>
  <si>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</si>
  <si>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</si>
  <si>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</si>
  <si>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</si>
  <si>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</si>
  <si>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</si>
  <si>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</si>
  <si>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</si>
  <si>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</si>
  <si>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</si>
  <si>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</si>
  <si>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</si>
  <si>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</si>
  <si>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</si>
  <si>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</si>
  <si>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</si>
  <si>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</si>
  <si>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</si>
  <si>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</si>
  <si>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</si>
  <si>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</si>
  <si>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</si>
  <si>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</si>
  <si>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</si>
  <si>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</si>
  <si>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</si>
  <si>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</si>
  <si>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</si>
  <si>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</si>
  <si>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</si>
  <si>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</si>
  <si>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</si>
  <si>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</si>
  <si>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</si>
  <si>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</si>
  <si>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</si>
  <si>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</si>
  <si>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</si>
  <si>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</si>
  <si>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</si>
  <si>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19-Feb-26 04:55 PM</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</si>
  <si>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</si>
  <si>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</si>
  <si>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</si>
  <si>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</si>
  <si>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</si>
  <si>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</si>
  <si>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</si>
  <si>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</si>
  <si>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</si>
  <si>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</si>
  <si>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</si>
  <si>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</si>
  <si>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</si>
  <si>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</si>
  <si>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</si>
  <si>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</si>
  <si>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</si>
  <si>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</si>
  <si>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</si>
  <si>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</si>
  <si>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</si>
  <si>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</si>
  <si>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19-Feb-26 04:58 PM</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</si>
  <si>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</si>
  <si>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</si>
  <si>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</si>
  <si>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</si>
  <si>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</si>
  <si>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</si>
  <si>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</si>
  <si>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</si>
  <si>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</si>
  <si>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</si>
  <si>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</si>
  <si>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</si>
  <si>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</si>
  <si>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</si>
  <si>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</si>
  <si>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</si>
  <si>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</si>
  <si>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</si>
  <si>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</si>
  <si>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19-Feb-26 05:10 PM</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</si>
  <si>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</si>
  <si>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</si>
  <si>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</si>
  <si>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</si>
  <si>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</si>
  <si>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</si>
  <si>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</si>
  <si>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</si>
  <si>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</si>
  <si>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</si>
  <si>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</si>
  <si>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</si>
  <si>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</si>
  <si>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</si>
  <si>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</si>
  <si>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</si>
  <si>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</si>
  <si>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</si>
  <si>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19-Feb-26 05:48 PM</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</si>
  <si>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</si>
  <si>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</si>
  <si>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</si>
  <si>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</si>
  <si>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</si>
  <si>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</si>
  <si>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</si>
  <si>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</si>
  <si>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</si>
  <si>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</si>
  <si>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</si>
  <si>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</si>
  <si>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</si>
  <si>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</si>
  <si>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</si>
  <si>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</si>
  <si>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19-Feb-26 05:55 PM</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</si>
  <si>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</si>
  <si>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</si>
  <si>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</si>
  <si>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</si>
  <si>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</si>
  <si>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</si>
  <si>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</si>
  <si>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</si>
  <si>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</si>
  <si>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</si>
  <si>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</si>
  <si>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</si>
  <si>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</si>
  <si>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</si>
  <si>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</si>
  <si>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</si>
  <si>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</si>
  <si>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</si>
  <si>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</si>
  <si>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19-Feb-26 06:25 PM</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</si>
  <si>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</si>
  <si>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</si>
  <si>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</si>
  <si>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</si>
  <si>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</si>
  <si>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</si>
  <si>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</si>
  <si>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</si>
  <si>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</si>
  <si>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</si>
  <si>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</si>
  <si>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</si>
  <si>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</si>
  <si>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</si>
  <si>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</si>
  <si>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</si>
  <si>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</si>
  <si>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</si>
  <si>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19-Feb-26 06:26 PM</t>
  </si>
  <si>
    <t>NUP-vacancy-005</t>
  </si>
  <si>
    <t>Project Procurement &amp; Tendering</t>
  </si>
  <si>
    <t>19-Feb-26 06:27 PM</t>
  </si>
  <si>
    <t>19-Feb-26 06:28 PM</t>
  </si>
  <si>
    <t>NUP-vacancy-027</t>
  </si>
  <si>
    <t>Professor</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</si>
  <si>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</si>
  <si>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</si>
  <si>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</si>
  <si>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</si>
  <si>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</si>
  <si>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</si>
  <si>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</si>
  <si>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</si>
  <si>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</si>
  <si>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</si>
  <si>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</si>
  <si>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</si>
  <si>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</si>
  <si>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</si>
  <si>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</si>
  <si>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</si>
  <si>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</si>
  <si>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</si>
  <si>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</si>
  <si>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</si>
  <si>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</si>
  <si>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19-Feb-26 07:05 PM</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</si>
  <si>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</si>
  <si>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</si>
  <si>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</si>
  <si>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</si>
  <si>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</si>
  <si>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</si>
  <si>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</si>
  <si>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</si>
  <si>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</si>
  <si>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</si>
  <si>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</si>
  <si>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</si>
  <si>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</si>
  <si>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</si>
  <si>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</si>
  <si>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</si>
  <si>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19-Feb-26 07:15 PM</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</si>
  <si>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</si>
  <si>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</si>
  <si>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</si>
  <si>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</si>
  <si>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</si>
  <si>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</si>
  <si>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</si>
  <si>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</si>
  <si>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</si>
  <si>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</si>
  <si>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</si>
  <si>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</si>
  <si>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</si>
  <si>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</si>
  <si>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College of Engineering Pune</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</si>
  <si>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</si>
  <si>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</si>
  <si>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</si>
  <si>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19-Feb-26 07:42 PM</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</si>
  <si>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</si>
  <si>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</si>
  <si>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</si>
  <si>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</si>
  <si>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</si>
  <si>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</si>
  <si>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</si>
  <si>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</si>
  <si>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</si>
  <si>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</si>
  <si>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</si>
  <si>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</si>
  <si>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</si>
  <si>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xml:space="preserve">• </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</si>
  <si>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</si>
  <si>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</si>
  <si>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19-Feb-26 08:32 PM</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</si>
  <si>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</si>
  <si>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</si>
  <si>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</si>
  <si>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</si>
  <si>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</si>
  <si>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</si>
  <si>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</si>
  <si>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</si>
  <si>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</si>
  <si>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</si>
  <si>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</si>
  <si>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</si>
  <si>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</si>
  <si>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</si>
  <si>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</si>
  <si>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</si>
  <si>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</si>
  <si>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</si>
  <si>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</si>
  <si>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</si>
  <si>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</si>
  <si>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</si>
  <si>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</si>
  <si>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</si>
  <si>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</si>
  <si>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19-Feb-26 08:33 PM</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</si>
  <si>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</si>
  <si>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</si>
  <si>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</si>
  <si>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</si>
  <si>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</si>
  <si>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</si>
  <si>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</si>
  <si>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</si>
  <si>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</si>
  <si>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</si>
  <si>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</si>
  <si>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</si>
  <si>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</si>
  <si>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</si>
  <si>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</si>
  <si>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</si>
  <si>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19-Feb-26 09:49 PM</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</si>
  <si>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</si>
  <si>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</si>
  <si>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</si>
  <si>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</si>
  <si>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</si>
  <si>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</si>
  <si>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</si>
  <si>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</si>
  <si>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</si>
  <si>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</si>
  <si>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</si>
  <si>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</si>
  <si>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</si>
  <si>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</si>
  <si>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</si>
  <si>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</si>
  <si>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</si>
  <si>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19-Feb-26 09:52 PM</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</si>
  <si>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</si>
  <si>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</si>
  <si>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</si>
  <si>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</si>
  <si>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</si>
  <si>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</si>
  <si>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</si>
  <si>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</si>
  <si>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</si>
  <si>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</si>
  <si>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</si>
  <si>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</si>
  <si>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</si>
  <si>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</si>
  <si>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</si>
  <si>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19-Feb-26 10:16 PM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</si>
  <si>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</si>
  <si>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</si>
  <si>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</si>
  <si>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</si>
  <si>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</si>
  <si>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</si>
  <si>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</si>
  <si>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</si>
  <si>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</si>
  <si>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</si>
  <si>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</si>
  <si>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</si>
  <si>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</si>
  <si>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</si>
  <si>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</si>
  <si>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</si>
  <si>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</si>
  <si>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</si>
  <si>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</si>
  <si>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</si>
  <si>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</si>
  <si>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</si>
  <si>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19-Feb-26 10:18 PM</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</si>
  <si>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</si>
  <si>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</si>
  <si>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</si>
  <si>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</si>
  <si>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</si>
  <si>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</si>
  <si>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</si>
  <si>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</si>
  <si>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</si>
  <si>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</si>
  <si>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</si>
  <si>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</si>
  <si>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</si>
  <si>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</si>
  <si>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UPES Dehradun</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</si>
  <si>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</si>
  <si>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</si>
  <si>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</si>
  <si>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</si>
  <si>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</si>
  <si>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</si>
  <si>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19-Feb-26 10:31 PM</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</si>
  <si>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</si>
  <si>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</si>
  <si>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</si>
  <si>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</si>
  <si>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</si>
  <si>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</si>
  <si>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</si>
  <si>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</si>
  <si>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</si>
  <si>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</si>
  <si>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</si>
  <si>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</si>
  <si>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</si>
  <si>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</si>
  <si>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</si>
  <si>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</si>
  <si>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</si>
  <si>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19-Feb-26 11:01 PM</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</si>
  <si>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</si>
  <si>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</si>
  <si>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</si>
  <si>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</si>
  <si>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</si>
  <si>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</si>
  <si>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</si>
  <si>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</si>
  <si>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</si>
  <si>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</si>
  <si>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</si>
  <si>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</si>
  <si>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</si>
  <si>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</si>
  <si>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</si>
  <si>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</si>
  <si>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</si>
  <si>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</si>
  <si>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19-Feb-26 11:11 PM</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</si>
  <si>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</si>
  <si>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</si>
  <si>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</si>
  <si>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</si>
  <si>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</si>
  <si>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</si>
  <si>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</si>
  <si>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</si>
  <si>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</si>
  <si>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</si>
  <si>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</si>
  <si>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</si>
  <si>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</si>
  <si>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</si>
  <si>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</si>
  <si>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</si>
  <si>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</si>
  <si>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</si>
  <si>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19-Feb-26 11:18 PM</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</si>
  <si>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</si>
  <si>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</si>
  <si>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</si>
  <si>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</si>
  <si>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</si>
  <si>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</si>
  <si>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</si>
  <si>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</si>
  <si>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</si>
  <si>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</si>
  <si>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</si>
  <si>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</si>
  <si>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</si>
  <si>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</si>
  <si>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</si>
  <si>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</si>
  <si>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</si>
  <si>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</si>
  <si>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</si>
  <si>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</si>
  <si>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</si>
  <si>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19-Feb-26 11:26 PM</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</si>
  <si>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</si>
  <si>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</si>
  <si>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</si>
  <si>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</si>
  <si>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</si>
  <si>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</si>
  <si>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</si>
  <si>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</si>
  <si>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</si>
  <si>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</si>
  <si>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</si>
  <si>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</si>
  <si>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</si>
  <si>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</si>
  <si>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</si>
  <si>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</si>
  <si>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</si>
  <si>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</si>
  <si>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</si>
  <si>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</si>
  <si>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</si>
  <si>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</si>
  <si>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19-Feb-26 11:37 PM</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</si>
  <si>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</si>
  <si>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</si>
  <si>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</si>
  <si>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</si>
  <si>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</si>
  <si>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</si>
  <si>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</si>
  <si>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</si>
  <si>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</si>
  <si>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</si>
  <si>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</si>
  <si>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</si>
  <si>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20-Feb-26 12:00 AM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</si>
  <si>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</si>
  <si>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</si>
  <si>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</si>
  <si>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</si>
  <si>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</si>
  <si>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</si>
  <si>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</si>
  <si>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</si>
  <si>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</si>
  <si>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</si>
  <si>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</si>
  <si>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</si>
  <si>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</si>
  <si>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</si>
  <si>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</si>
  <si>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</si>
  <si>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</si>
  <si>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</si>
  <si>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</si>
  <si>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</si>
  <si>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</si>
  <si>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</si>
  <si>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20-Feb-26 12:01 AM</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</si>
  <si>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</si>
  <si>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</si>
  <si>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</si>
  <si>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</si>
  <si>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</si>
  <si>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</si>
  <si>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</si>
  <si>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</si>
  <si>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</si>
  <si>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</si>
  <si>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</si>
  <si>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</si>
  <si>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</si>
  <si>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</si>
  <si>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</si>
  <si>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</si>
  <si>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</si>
  <si>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</si>
  <si>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</si>
  <si>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</si>
  <si>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</si>
  <si>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20-Feb-26 12:14 AM</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</si>
  <si>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</si>
  <si>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</si>
  <si>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</si>
  <si>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</si>
  <si>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</si>
  <si>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</si>
  <si>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</si>
  <si>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</si>
  <si>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</si>
  <si>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</si>
  <si>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</si>
  <si>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</si>
  <si>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</si>
  <si>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</si>
  <si>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</si>
  <si>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</si>
  <si>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</si>
  <si>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</si>
  <si>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</si>
  <si>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</si>
  <si>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</si>
  <si>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</si>
  <si>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20-Feb-26 12:39 AM</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</si>
  <si>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</si>
  <si>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</si>
  <si>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</si>
  <si>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</si>
  <si>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</si>
  <si>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</si>
  <si>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</si>
  <si>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</si>
  <si>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</si>
  <si>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</si>
  <si>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</si>
  <si>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</si>
  <si>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</si>
  <si>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</si>
  <si>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</si>
  <si>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</si>
  <si>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</si>
  <si>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</si>
  <si>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</si>
  <si>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</si>
  <si>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20-Feb-26 03:11 AM</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</si>
  <si>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</si>
  <si>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</si>
  <si>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</si>
  <si>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</si>
  <si>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</si>
  <si>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</si>
  <si>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</si>
  <si>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</si>
  <si>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</si>
  <si>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</si>
  <si>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</si>
  <si>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</si>
  <si>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</si>
  <si>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</si>
  <si>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</si>
  <si>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</si>
  <si>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</si>
  <si>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</si>
  <si>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</si>
  <si>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20-Feb-26 07:06 AM</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</si>
  <si>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</si>
  <si>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</si>
  <si>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</si>
  <si>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</si>
  <si>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</si>
  <si>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</si>
  <si>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</si>
  <si>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</si>
  <si>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</si>
  <si>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</si>
  <si>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</si>
  <si>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</si>
  <si>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</si>
  <si>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</si>
  <si>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</si>
  <si>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</si>
  <si>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</si>
  <si>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</si>
  <si>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</si>
  <si>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</si>
  <si>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</si>
  <si>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</si>
  <si>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</si>
  <si>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Sudhir Prabhakarrao Kulkarni</t>
  </si>
  <si>
    <t>KULKARNI_SPK@REDIFFMAIL.COM</t>
  </si>
  <si>
    <t>17-Feb-1978</t>
  </si>
  <si>
    <t>Prabhakarrao</t>
  </si>
  <si>
    <t>Mumbai</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</si>
  <si>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</si>
  <si>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</si>
  <si>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</si>
  <si>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</si>
  <si>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</si>
  <si>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</si>
  <si>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</si>
  <si>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</si>
  <si>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</si>
  <si>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</si>
  <si>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</si>
  <si>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</si>
  <si>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</si>
  <si>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</si>
  <si>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</si>
  <si>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</si>
  <si>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20-Feb-26 08:27 AM</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</si>
  <si>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</si>
  <si>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</si>
  <si>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</si>
  <si>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</si>
  <si>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</si>
  <si>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</si>
  <si>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</si>
  <si>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</si>
  <si>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</si>
  <si>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</si>
  <si>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</si>
  <si>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</si>
  <si>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</si>
  <si>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</si>
  <si>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</si>
  <si>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</si>
  <si>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</si>
  <si>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</si>
  <si>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</si>
  <si>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</si>
  <si>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</si>
  <si>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</si>
  <si>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</si>
  <si>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</si>
  <si>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</si>
  <si>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</si>
  <si>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</si>
  <si>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</si>
  <si>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</si>
  <si>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</si>
  <si>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</si>
  <si>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</si>
  <si>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</si>
  <si>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</si>
  <si>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</si>
  <si>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</si>
  <si>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</si>
  <si>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</si>
  <si>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</si>
  <si>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</si>
  <si>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</si>
  <si>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</si>
  <si>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20-Feb-26 09:23 AM</t>
  </si>
  <si>
    <t>Mohammed Rihan Maaze</t>
  </si>
  <si>
    <t>rihanmaaz@gmail.com</t>
  </si>
  <si>
    <t>21-May-1990</t>
  </si>
  <si>
    <t>English,Hindi,Kannada</t>
  </si>
  <si>
    <t xml:space="preserve">MD Gouse Patel </t>
  </si>
  <si>
    <t>T3 1203 Godrej Hillside 2 Mahalunge Pune</t>
  </si>
  <si>
    <t>Jawahar Navodaya Vidyalaya Gulbarga</t>
  </si>
  <si>
    <t>Regular</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</si>
  <si>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</si>
  <si>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</si>
  <si>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</si>
  <si>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</si>
  <si>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</si>
  <si>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</si>
  <si>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</si>
  <si>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</si>
  <si>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</si>
  <si>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20-Feb-26 09:55 AM</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</si>
  <si>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</si>
  <si>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</si>
  <si>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</si>
  <si>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</si>
  <si>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</si>
  <si>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</si>
  <si>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</si>
  <si>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</si>
  <si>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</si>
  <si>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Government Polytechnic</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</si>
  <si>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</si>
  <si>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</si>
  <si>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</si>
  <si>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</si>
  <si>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</si>
  <si>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</si>
  <si>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</si>
  <si>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</si>
  <si>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20-Feb-26 10:07 AM</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</si>
  <si>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</si>
  <si>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</si>
  <si>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</si>
  <si>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</si>
  <si>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</si>
  <si>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</si>
  <si>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</si>
  <si>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</si>
  <si>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</si>
  <si>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</si>
  <si>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</si>
  <si>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</si>
  <si>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</si>
  <si>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</si>
  <si>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</si>
  <si>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</si>
  <si>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</si>
  <si>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20-Feb-26 10:21 AM</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</si>
  <si>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</si>
  <si>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</si>
  <si>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</si>
  <si>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</si>
  <si>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</si>
  <si>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</si>
  <si>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</si>
  <si>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</si>
  <si>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</si>
  <si>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</si>
  <si>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</si>
  <si>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</si>
  <si>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</si>
  <si>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</si>
  <si>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</si>
  <si>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20-Feb-26 10:46 AM</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</si>
  <si>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</si>
  <si>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</si>
  <si>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</si>
  <si>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</si>
  <si>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</si>
  <si>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</si>
  <si>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</si>
  <si>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</si>
  <si>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</si>
  <si>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</si>
  <si>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</si>
  <si>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</si>
  <si>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</si>
  <si>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</si>
  <si>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</si>
  <si>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</si>
  <si>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</si>
  <si>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</si>
  <si>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</si>
  <si>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</si>
  <si>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</si>
  <si>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</si>
  <si>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</si>
  <si>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</si>
  <si>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</si>
  <si>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</si>
  <si>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</si>
  <si>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</si>
  <si>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</si>
  <si>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</si>
  <si>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</si>
  <si>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</si>
  <si>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</si>
  <si>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</si>
  <si>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</si>
  <si>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</si>
  <si>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</si>
  <si>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</si>
  <si>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</si>
  <si>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</si>
  <si>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20-Feb-26 11:16 AM</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</si>
  <si>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</si>
  <si>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</si>
  <si>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</si>
  <si>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</si>
  <si>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</si>
  <si>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</si>
  <si>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</si>
  <si>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</si>
  <si>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</si>
  <si>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</si>
  <si>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</si>
  <si>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</si>
  <si>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</si>
  <si>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</si>
  <si>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20-Feb-26 11:58 AM</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</si>
  <si>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</si>
  <si>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</si>
  <si>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</si>
  <si>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</si>
  <si>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</si>
  <si>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</si>
  <si>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</si>
  <si>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</si>
  <si>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</si>
  <si>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</si>
  <si>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</si>
  <si>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</si>
  <si>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</si>
  <si>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</si>
  <si>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</si>
  <si>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</si>
  <si>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</si>
  <si>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</si>
  <si>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</si>
  <si>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20-Feb-26 11:59 AM</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</si>
  <si>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</si>
  <si>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</si>
  <si>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</si>
  <si>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</si>
  <si>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</si>
  <si>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</si>
  <si>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</si>
  <si>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</si>
  <si>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</si>
  <si>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</si>
  <si>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Lovely Professional University, Punjab</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</si>
  <si>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</si>
  <si>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</si>
  <si>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</si>
  <si>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</si>
  <si>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</si>
  <si>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</si>
  <si>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</si>
  <si>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20-Feb-26 12:14 PM</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</si>
  <si>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</si>
  <si>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</si>
  <si>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</si>
  <si>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</si>
  <si>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</si>
  <si>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</si>
  <si>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</si>
  <si>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</si>
  <si>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</si>
  <si>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</si>
  <si>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</si>
  <si>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</si>
  <si>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</si>
  <si>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</si>
  <si>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</si>
  <si>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</si>
  <si>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</si>
  <si>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</si>
  <si>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</si>
  <si>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</si>
  <si>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</si>
  <si>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</si>
  <si>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</si>
  <si>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</si>
  <si>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20-Feb-26 12:15 PM</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</si>
  <si>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</si>
  <si>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</si>
  <si>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</si>
  <si>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</si>
  <si>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</si>
  <si>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</si>
  <si>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</si>
  <si>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</si>
  <si>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</si>
  <si>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</si>
  <si>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</si>
  <si>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</si>
  <si>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</si>
  <si>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</si>
  <si>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</si>
  <si>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</si>
  <si>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</si>
  <si>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</si>
  <si>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</si>
  <si>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</si>
  <si>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</si>
  <si>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20-Feb-26 12:19 PM</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</si>
  <si>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</si>
  <si>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</si>
  <si>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</si>
  <si>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</si>
  <si>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</si>
  <si>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</si>
  <si>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</si>
  <si>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</si>
  <si>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</si>
  <si>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</si>
  <si>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</si>
  <si>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</si>
  <si>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</si>
  <si>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</si>
  <si>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</si>
  <si>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20-Feb-26 12:28 PM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</si>
  <si>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</si>
  <si>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</si>
  <si>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</si>
  <si>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</si>
  <si>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</si>
  <si>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</si>
  <si>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</si>
  <si>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</si>
  <si>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</si>
  <si>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</si>
  <si>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</si>
  <si>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</si>
  <si>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</si>
  <si>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</si>
  <si>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</si>
  <si>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</si>
  <si>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</si>
  <si>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20-Feb-26 12:34 PM</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</si>
  <si>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</si>
  <si>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</si>
  <si>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</si>
  <si>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</si>
  <si>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</si>
  <si>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</si>
  <si>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</si>
  <si>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</si>
  <si>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</si>
  <si>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</si>
  <si>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</si>
  <si>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</si>
  <si>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</si>
  <si>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</si>
  <si>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</si>
  <si>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</si>
  <si>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</si>
  <si>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</si>
  <si>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</si>
  <si>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</si>
  <si>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</si>
  <si>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</si>
  <si>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</si>
  <si>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</si>
  <si>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</si>
  <si>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</si>
  <si>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</si>
  <si>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</si>
  <si>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</si>
  <si>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</si>
  <si>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</si>
  <si>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</si>
  <si>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</si>
  <si>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</si>
  <si>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</si>
  <si>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</si>
  <si>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</si>
  <si>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</si>
  <si>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</si>
  <si>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20-Feb-26 12:43 PM</t>
  </si>
  <si>
    <t>Shubhum Prakash</t>
  </si>
  <si>
    <t>Shubhampat41@gmail.com</t>
  </si>
  <si>
    <t>27-Dec-1995</t>
  </si>
  <si>
    <t>Om Prakash Sinha</t>
  </si>
  <si>
    <t>Teachers Colony Kumhrar near DAV School Kumhrar Patna -800026. Bihar</t>
  </si>
  <si>
    <t xml:space="preserve">ST.Michaels High School </t>
  </si>
  <si>
    <t>Patna</t>
  </si>
  <si>
    <t xml:space="preserve">English ,Hindi,Math,Science </t>
  </si>
  <si>
    <t xml:space="preserve">Baldwin Academy Dhawalpura </t>
  </si>
  <si>
    <t>English ,Physic,Chemistry,Math</t>
  </si>
  <si>
    <t>VIT University Vellore</t>
  </si>
  <si>
    <t>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</si>
  <si>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</si>
  <si>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</si>
  <si>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</si>
  <si>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</si>
  <si>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</si>
  <si>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</si>
  <si>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</si>
  <si>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</si>
  <si>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</si>
  <si>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</si>
  <si>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</si>
  <si>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</si>
  <si>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</si>
  <si>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</si>
  <si>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</si>
  <si>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</si>
  <si>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</si>
  <si>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</si>
  <si>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</si>
  <si>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</si>
  <si>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</si>
  <si>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</si>
  <si>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</si>
  <si>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</si>
  <si>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</si>
  <si>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</si>
  <si>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20-Feb-26 01:04 PM</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</si>
  <si>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</si>
  <si>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</si>
  <si>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</si>
  <si>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</si>
  <si>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</si>
  <si>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</si>
  <si>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</si>
  <si>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</si>
  <si>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</si>
  <si>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</si>
  <si>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</si>
  <si>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</si>
  <si>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</si>
  <si>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</si>
  <si>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</si>
  <si>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</si>
  <si>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</si>
  <si>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</si>
  <si>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t>
  </si>
  <si>
    <t>PowerBI, Tableau Public, Python, Stata, R, anylogistix,System Commands on Linux</t>
  </si>
  <si>
    <t>20-Feb-26 01:11 PM</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</si>
  <si>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</si>
  <si>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</si>
  <si>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</si>
  <si>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</si>
  <si>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</si>
  <si>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</si>
  <si>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</si>
  <si>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</si>
  <si>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</si>
  <si>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</si>
  <si>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</si>
  <si>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</si>
  <si>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20-Feb-26 01:22 PM</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</si>
  <si>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</si>
  <si>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</si>
  <si>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</si>
  <si>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</si>
  <si>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</si>
  <si>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</si>
  <si>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</si>
  <si>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</si>
  <si>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</si>
  <si>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</si>
  <si>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</si>
  <si>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</si>
  <si>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</si>
  <si>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</si>
  <si>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</si>
  <si>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</si>
  <si>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</si>
  <si>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</si>
  <si>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</si>
  <si>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</si>
  <si>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</si>
  <si>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</si>
  <si>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</si>
  <si>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20-Feb-26 01:35 PM</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</si>
  <si>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</si>
  <si>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</si>
  <si>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</si>
  <si>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</si>
  <si>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</si>
  <si>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</si>
  <si>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</si>
  <si>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</si>
  <si>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</si>
  <si>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</si>
  <si>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</si>
  <si>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</si>
  <si>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</si>
  <si>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</si>
  <si>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</si>
  <si>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</si>
  <si>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</si>
  <si>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</si>
  <si>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</si>
  <si>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</si>
  <si>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</si>
  <si>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</si>
  <si>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</si>
  <si>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</si>
  <si>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</si>
  <si>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</si>
  <si>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</si>
  <si>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</si>
  <si>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</si>
  <si>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</si>
  <si>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</si>
  <si>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</si>
  <si>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</si>
  <si>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</si>
  <si>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</si>
  <si>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</si>
  <si>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</si>
  <si>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</si>
  <si>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20-Feb-26 02:12 PM</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</si>
  <si>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</si>
  <si>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</si>
  <si>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</si>
  <si>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</si>
  <si>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</si>
  <si>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</si>
  <si>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</si>
  <si>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</si>
  <si>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</si>
  <si>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</si>
  <si>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</si>
  <si>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</si>
  <si>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</si>
  <si>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</si>
  <si>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</si>
  <si>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</si>
  <si>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</si>
  <si>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</si>
  <si>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</si>
  <si>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</si>
  <si>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</si>
  <si>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</si>
  <si>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</si>
  <si>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20-Feb-26 02:20 PM</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</si>
  <si>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</si>
  <si>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</si>
  <si>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</si>
  <si>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</si>
  <si>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</si>
  <si>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</si>
  <si>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</si>
  <si>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</si>
  <si>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</si>
  <si>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</si>
  <si>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</si>
  <si>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</si>
  <si>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</si>
  <si>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</si>
  <si>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20-Feb-26 02:25 PM</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</si>
  <si>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</si>
  <si>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</si>
  <si>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</si>
  <si>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</si>
  <si>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</si>
  <si>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</si>
  <si>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</si>
  <si>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</si>
  <si>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</si>
  <si>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</si>
  <si>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</si>
  <si>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</si>
  <si>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</si>
  <si>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</si>
  <si>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</si>
  <si>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</si>
  <si>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</si>
  <si>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</si>
  <si>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</si>
  <si>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20-Feb-26 02:29 PM</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</si>
  <si>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</si>
  <si>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</si>
  <si>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</si>
  <si>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</si>
  <si>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</si>
  <si>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</si>
  <si>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</si>
  <si>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</si>
  <si>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</si>
  <si>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</si>
  <si>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</si>
  <si>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</si>
  <si>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</si>
  <si>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</si>
  <si>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</si>
  <si>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</si>
  <si>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</si>
  <si>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</si>
  <si>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</si>
  <si>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</si>
  <si>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</si>
  <si>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20-Feb-26 02:35 PM</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</si>
  <si>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</si>
  <si>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</si>
  <si>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</si>
  <si>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</si>
  <si>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</si>
  <si>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</si>
  <si>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</si>
  <si>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</si>
  <si>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</si>
  <si>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</si>
  <si>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</si>
  <si>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</si>
  <si>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</si>
  <si>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</si>
  <si>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</si>
  <si>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20-Feb-26 02:38 PM</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</si>
  <si>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</si>
  <si>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</si>
  <si>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</si>
  <si>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</si>
  <si>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</si>
  <si>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</si>
  <si>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</si>
  <si>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</si>
  <si>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</si>
  <si>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</si>
  <si>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</si>
  <si>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</si>
  <si>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</si>
  <si>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</si>
  <si>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</si>
  <si>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</si>
  <si>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</si>
  <si>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</si>
  <si>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</si>
  <si>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</si>
  <si>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</si>
  <si>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</si>
  <si>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</si>
  <si>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</si>
  <si>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</si>
  <si>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</si>
  <si>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</si>
  <si>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</si>
  <si>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</si>
  <si>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</si>
  <si>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</si>
  <si>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</si>
  <si>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</si>
  <si>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</si>
  <si>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</si>
  <si>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</si>
  <si>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</si>
  <si>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</si>
  <si>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</si>
  <si>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</si>
  <si>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20-Feb-26 02:41 PM</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</si>
  <si>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</si>
  <si>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</si>
  <si>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</si>
  <si>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</si>
  <si>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</si>
  <si>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</si>
  <si>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</si>
  <si>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</si>
  <si>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</si>
  <si>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</si>
  <si>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</si>
  <si>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</si>
  <si>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</si>
  <si>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</si>
  <si>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</si>
  <si>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</si>
  <si>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20-Feb-26 02:44 PM</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</si>
  <si>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</si>
  <si>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</si>
  <si>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</si>
  <si>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</si>
  <si>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</si>
  <si>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</si>
  <si>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</si>
  <si>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</si>
  <si>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</si>
  <si>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</si>
  <si>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</si>
  <si>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</si>
  <si>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</si>
  <si>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</si>
  <si>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</si>
  <si>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</si>
  <si>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20-Feb-26 03:07 PM</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</si>
  <si>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</si>
  <si>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</si>
  <si>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</si>
  <si>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</si>
  <si>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</si>
  <si>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</si>
  <si>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</si>
  <si>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</si>
  <si>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</si>
  <si>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</si>
  <si>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</si>
  <si>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</si>
  <si>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</si>
  <si>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</si>
  <si>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</si>
  <si>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</si>
  <si>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</si>
  <si>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</si>
  <si>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</si>
  <si>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</si>
  <si>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20-Feb-26 03:09 PM</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</si>
  <si>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</si>
  <si>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</si>
  <si>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</si>
  <si>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</si>
  <si>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</si>
  <si>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</si>
  <si>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</si>
  <si>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</si>
  <si>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</si>
  <si>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</si>
  <si>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</si>
  <si>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</si>
  <si>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</si>
  <si>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</si>
  <si>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</si>
  <si>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</si>
  <si>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</si>
  <si>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</si>
  <si>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</si>
  <si>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</si>
  <si>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</si>
  <si>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</si>
  <si>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</si>
  <si>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20-Feb-26 03:17 PM</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</si>
  <si>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</si>
  <si>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</si>
  <si>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</si>
  <si>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</si>
  <si>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</si>
  <si>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</si>
  <si>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</si>
  <si>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</si>
  <si>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</si>
  <si>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</si>
  <si>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</si>
  <si>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</si>
  <si>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</si>
  <si>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</si>
  <si>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</si>
  <si>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20-Feb-26 03:51 PM</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</si>
  <si>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</si>
  <si>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</si>
  <si>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</si>
  <si>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</si>
  <si>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</si>
  <si>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</si>
  <si>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</si>
  <si>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</si>
  <si>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</si>
  <si>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</si>
  <si>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</si>
  <si>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</si>
  <si>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</si>
  <si>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</si>
  <si>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</si>
  <si>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</si>
  <si>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</si>
  <si>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</si>
  <si>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</si>
  <si>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</si>
  <si>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</si>
  <si>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</si>
  <si>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</si>
  <si>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</si>
  <si>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</si>
  <si>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</si>
  <si>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</si>
  <si>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</si>
  <si>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</si>
  <si>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</si>
  <si>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</si>
  <si>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</si>
  <si>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</si>
  <si>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</si>
  <si>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</si>
  <si>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</si>
  <si>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</si>
  <si>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</si>
  <si>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</si>
  <si>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</si>
  <si>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</si>
  <si>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</si>
  <si>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</si>
  <si>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</si>
  <si>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</si>
  <si>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</si>
  <si>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</si>
  <si>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</si>
  <si>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</si>
  <si>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</si>
  <si>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</si>
  <si>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</si>
  <si>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</si>
  <si>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</si>
  <si>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</si>
  <si>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</si>
  <si>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</si>
  <si>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</si>
  <si>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</si>
  <si>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</si>
  <si>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</si>
  <si>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</si>
  <si>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</si>
  <si>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</si>
  <si>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</si>
  <si>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</si>
  <si>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</si>
  <si>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</si>
  <si>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</si>
  <si>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</si>
  <si>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20-Feb-26 04:08 PM</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</si>
  <si>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</si>
  <si>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</si>
  <si>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</si>
  <si>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</si>
  <si>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</si>
  <si>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</si>
  <si>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</si>
  <si>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</si>
  <si>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</si>
  <si>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</si>
  <si>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</si>
  <si>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</si>
  <si>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</si>
  <si>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</si>
  <si>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</si>
  <si>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</si>
  <si>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20-Feb-26 04:35 PM</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</si>
  <si>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</si>
  <si>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</si>
  <si>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</si>
  <si>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</si>
  <si>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</si>
  <si>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</si>
  <si>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</si>
  <si>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Gujarat</t>
  </si>
  <si>
    <t xml:space="preserve">Vidya Bharti school </t>
  </si>
  <si>
    <t xml:space="preserve">Gujarat </t>
  </si>
  <si>
    <t>RGPV</t>
  </si>
  <si>
    <t xml:space="preserve">Btirt College </t>
  </si>
  <si>
    <t xml:space="preserve">Civil engineering </t>
  </si>
  <si>
    <t xml:space="preserve">Welingkar institute of technology </t>
  </si>
  <si>
    <t xml:space="preserve">Mumbai </t>
  </si>
  <si>
    <t xml:space="preserve">Operations management </t>
  </si>
  <si>
    <t xml:space="preserve">NICMAR </t>
  </si>
  <si>
    <t xml:space="preserve">Hyderabad </t>
  </si>
  <si>
    <t xml:space="preserve">Quantity surveying and contract management </t>
  </si>
  <si>
    <t>20-Feb-26 04:49 PM</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</si>
  <si>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</si>
  <si>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</si>
  <si>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</si>
  <si>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</si>
  <si>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</si>
  <si>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</si>
  <si>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</si>
  <si>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</si>
  <si>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</si>
  <si>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</si>
  <si>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</si>
  <si>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</si>
  <si>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</si>
  <si>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</si>
  <si>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</si>
  <si>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</si>
  <si>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</si>
  <si>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</si>
  <si>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20-Feb-26 04:55 PM</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</si>
  <si>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</si>
  <si>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</si>
  <si>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</si>
  <si>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</si>
  <si>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</si>
  <si>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</si>
  <si>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</si>
  <si>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</si>
  <si>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</si>
  <si>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</si>
  <si>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</si>
  <si>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</si>
  <si>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</si>
  <si>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</si>
  <si>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</si>
  <si>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</si>
  <si>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</si>
  <si>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</si>
  <si>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</si>
  <si>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</si>
  <si>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20-Feb-26 05:18 PM</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</si>
  <si>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</si>
  <si>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</si>
  <si>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</si>
  <si>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</si>
  <si>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</si>
  <si>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</si>
  <si>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</si>
  <si>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</si>
  <si>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</si>
  <si>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</si>
  <si>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</si>
  <si>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</si>
  <si>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</si>
  <si>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</si>
  <si>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</si>
  <si>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</si>
  <si>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</si>
  <si>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</si>
  <si>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</si>
  <si>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AutoCAD,MS Office</t>
  </si>
  <si>
    <t>20-Feb-26 05:26 PM</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</si>
  <si>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</si>
  <si>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</si>
  <si>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</si>
  <si>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</si>
  <si>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</si>
  <si>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</si>
  <si>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</si>
  <si>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</si>
  <si>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</si>
  <si>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</si>
  <si>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</si>
  <si>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</si>
  <si>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</si>
  <si>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</si>
  <si>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</si>
  <si>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</si>
  <si>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</si>
  <si>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</si>
  <si>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</si>
  <si>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</si>
  <si>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</si>
  <si>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</si>
  <si>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</si>
  <si>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</si>
  <si>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</si>
  <si>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</si>
  <si>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</si>
  <si>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</si>
  <si>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</si>
  <si>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</si>
  <si>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</si>
  <si>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</si>
  <si>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20-Feb-26 05:40 PM</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</si>
  <si>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</si>
  <si>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</si>
  <si>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</si>
  <si>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</si>
  <si>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</si>
  <si>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</si>
  <si>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</si>
  <si>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</si>
  <si>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</si>
  <si>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</si>
  <si>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</si>
  <si>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</si>
  <si>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</si>
  <si>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</si>
  <si>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</si>
  <si>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</si>
  <si>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</si>
  <si>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</si>
  <si>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</si>
  <si>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</si>
  <si>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</si>
  <si>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</si>
  <si>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</si>
  <si>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</si>
  <si>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</si>
  <si>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</si>
  <si>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</si>
  <si>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</si>
  <si>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</si>
  <si>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</si>
  <si>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</si>
  <si>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</si>
  <si>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</si>
  <si>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</si>
  <si>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</si>
  <si>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</si>
  <si>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</si>
  <si>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</si>
  <si>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</si>
  <si>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20-Feb-26 06:34 PM</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</si>
  <si>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</si>
  <si>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</si>
  <si>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</si>
  <si>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</si>
  <si>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</si>
  <si>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</si>
  <si>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</si>
  <si>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</si>
  <si>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</si>
  <si>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</si>
  <si>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</si>
  <si>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</si>
  <si>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</si>
  <si>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</si>
  <si>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</si>
  <si>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</si>
  <si>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</si>
  <si>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</si>
  <si>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</si>
  <si>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</si>
  <si>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</si>
  <si>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</si>
  <si>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</si>
  <si>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20-Feb-26 07:21 PM</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</si>
  <si>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</si>
  <si>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</si>
  <si>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</si>
  <si>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</si>
  <si>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</si>
  <si>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</si>
  <si>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</si>
  <si>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</si>
  <si>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</si>
  <si>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</si>
  <si>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</si>
  <si>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</si>
  <si>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</si>
  <si>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</si>
  <si>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</si>
  <si>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</si>
  <si>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20-Feb-26 07:26 PM</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</si>
  <si>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</si>
  <si>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</si>
  <si>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</si>
  <si>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</si>
  <si>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</si>
  <si>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</si>
  <si>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</si>
  <si>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</si>
  <si>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</si>
  <si>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</si>
  <si>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</si>
  <si>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</si>
  <si>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</si>
  <si>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</si>
  <si>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</si>
  <si>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</si>
  <si>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</si>
  <si>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</si>
  <si>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</si>
  <si>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</si>
  <si>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</si>
  <si>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</si>
  <si>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</si>
  <si>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</si>
  <si>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</si>
  <si>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</si>
  <si>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</si>
  <si>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</si>
  <si>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</si>
  <si>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</si>
  <si>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</si>
  <si>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</si>
  <si>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</si>
  <si>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</si>
  <si>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</si>
  <si>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20-Feb-26 08:30 PM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</si>
  <si>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</si>
  <si>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</si>
  <si>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</si>
  <si>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</si>
  <si>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</si>
  <si>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</si>
  <si>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</si>
  <si>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</si>
  <si>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</si>
  <si>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</si>
  <si>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</si>
  <si>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</si>
  <si>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</si>
  <si>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</si>
  <si>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</si>
  <si>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</si>
  <si>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</si>
  <si>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</si>
  <si>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</si>
  <si>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</si>
  <si>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</si>
  <si>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</si>
  <si>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</si>
  <si>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</si>
  <si>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</si>
  <si>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</si>
  <si>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20-Feb-26 09:22 PM</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</si>
  <si>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</si>
  <si>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</si>
  <si>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</si>
  <si>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</si>
  <si>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</si>
  <si>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</si>
  <si>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</si>
  <si>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</si>
  <si>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</si>
  <si>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</si>
  <si>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</si>
  <si>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</si>
  <si>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</si>
  <si>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</si>
  <si>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</si>
  <si>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20-Feb-26 09:23 PM</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</si>
  <si>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</si>
  <si>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</si>
  <si>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</si>
  <si>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</si>
  <si>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</si>
  <si>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</si>
  <si>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</si>
  <si>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</si>
  <si>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</si>
  <si>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</si>
  <si>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</si>
  <si>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</si>
  <si>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</si>
  <si>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</si>
  <si>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</si>
  <si>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20-Feb-26 09:33 PM</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</si>
  <si>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</si>
  <si>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</si>
  <si>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</si>
  <si>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</si>
  <si>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</si>
  <si>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</si>
  <si>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</si>
  <si>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</si>
  <si>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</si>
  <si>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</si>
  <si>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</si>
  <si>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</si>
  <si>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</si>
  <si>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</si>
  <si>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</si>
  <si>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</si>
  <si>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</si>
  <si>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20-Feb-26 10:03 PM</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</si>
  <si>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</si>
  <si>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</si>
  <si>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</si>
  <si>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</si>
  <si>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</si>
  <si>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</si>
  <si>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</si>
  <si>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</si>
  <si>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</si>
  <si>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</si>
  <si>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</si>
  <si>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</si>
  <si>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</si>
  <si>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</si>
  <si>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</si>
  <si>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</si>
  <si>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20-Feb-26 10:57 PM</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</si>
  <si>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</si>
  <si>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</si>
  <si>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</si>
  <si>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</si>
  <si>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</si>
  <si>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</si>
  <si>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</si>
  <si>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</si>
  <si>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</si>
  <si>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</si>
  <si>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</si>
  <si>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</si>
  <si>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</si>
  <si>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</si>
  <si>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</si>
  <si>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</si>
  <si>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</si>
  <si>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20-Feb-26 11:41 PM</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</si>
  <si>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</si>
  <si>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</si>
  <si>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</si>
  <si>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</si>
  <si>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</si>
  <si>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</si>
  <si>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</si>
  <si>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</si>
  <si>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</si>
  <si>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</si>
  <si>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</si>
  <si>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</si>
  <si>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</si>
  <si>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</si>
  <si>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</si>
  <si>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</si>
  <si>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</si>
  <si>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20-Feb-26 11:57 PM</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</si>
  <si>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</si>
  <si>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</si>
  <si>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</si>
  <si>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</si>
  <si>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</si>
  <si>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</si>
  <si>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</si>
  <si>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</si>
  <si>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</si>
  <si>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</si>
  <si>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</si>
  <si>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</si>
  <si>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</si>
  <si>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</si>
  <si>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</si>
  <si>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</si>
  <si>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</si>
  <si>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21-Feb-26 12:09 AM</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</si>
  <si>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</si>
  <si>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</si>
  <si>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</si>
  <si>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</si>
  <si>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</si>
  <si>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</si>
  <si>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</si>
  <si>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</si>
  <si>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</si>
  <si>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</si>
  <si>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</si>
  <si>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</si>
  <si>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</si>
  <si>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</si>
  <si>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</si>
  <si>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</si>
  <si>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</si>
  <si>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</si>
  <si>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</si>
  <si>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</si>
  <si>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</si>
  <si>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</si>
  <si>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</si>
  <si>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</si>
  <si>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</si>
  <si>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</si>
  <si>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21-Feb-26 06:29 AM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</si>
  <si>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</si>
  <si>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</si>
  <si>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</si>
  <si>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</si>
  <si>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</si>
  <si>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</si>
  <si>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</si>
  <si>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</si>
  <si>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</si>
  <si>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</si>
  <si>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</si>
  <si>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</si>
  <si>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</si>
  <si>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</si>
  <si>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</si>
  <si>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</si>
  <si>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</si>
  <si>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</si>
  <si>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</si>
  <si>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</si>
  <si>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</si>
  <si>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</si>
  <si>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</si>
  <si>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</si>
  <si>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</si>
  <si>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</si>
  <si>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</si>
  <si>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</si>
  <si>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</si>
  <si>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</si>
  <si>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</si>
  <si>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</si>
  <si>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</si>
  <si>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</si>
  <si>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</si>
  <si>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</si>
  <si>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</si>
  <si>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</si>
  <si>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21-Feb-26 10:44 AM</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</si>
  <si>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</si>
  <si>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</si>
  <si>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</si>
  <si>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</si>
  <si>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</si>
  <si>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</si>
  <si>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</si>
  <si>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</si>
  <si>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</si>
  <si>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</si>
  <si>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</si>
  <si>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</si>
  <si>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</si>
  <si>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</si>
  <si>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</si>
  <si>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21-Feb-26 10:51 AM</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</si>
  <si>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</si>
  <si>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</si>
  <si>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</si>
  <si>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</si>
  <si>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</si>
  <si>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</si>
  <si>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</si>
  <si>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</si>
  <si>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</si>
  <si>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</si>
  <si>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</si>
  <si>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</si>
  <si>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21-Feb-26 10:56 AM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</si>
  <si>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</si>
  <si>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</si>
  <si>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</si>
  <si>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</si>
  <si>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</si>
  <si>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</si>
  <si>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</si>
  <si>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</si>
  <si>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</si>
  <si>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</si>
  <si>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</si>
  <si>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</si>
  <si>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</si>
  <si>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</si>
  <si>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</si>
  <si>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</si>
  <si>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</si>
  <si>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</si>
  <si>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</si>
  <si>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</si>
  <si>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</si>
  <si>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</si>
  <si>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</si>
  <si>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</si>
  <si>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</si>
  <si>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</si>
  <si>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</si>
  <si>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</si>
  <si>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</si>
  <si>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</si>
  <si>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</si>
  <si>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</si>
  <si>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</si>
  <si>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</si>
  <si>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21-Feb-26 11:24 AM</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</si>
  <si>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</si>
  <si>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</si>
  <si>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</si>
  <si>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</si>
  <si>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</si>
  <si>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</si>
  <si>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</si>
  <si>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</si>
  <si>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</si>
  <si>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</si>
  <si>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</si>
  <si>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</si>
  <si>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</si>
  <si>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</si>
  <si>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21-Feb-26 11:29 AM</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</si>
  <si>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</si>
  <si>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</si>
  <si>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</si>
  <si>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</si>
  <si>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</si>
  <si>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</si>
  <si>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</si>
  <si>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</si>
  <si>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</si>
  <si>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</si>
  <si>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</si>
  <si>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</si>
  <si>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</si>
  <si>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</si>
  <si>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</si>
  <si>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21-Feb-26 11:34 AM</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</si>
  <si>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</si>
  <si>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</si>
  <si>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</si>
  <si>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</si>
  <si>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</si>
  <si>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</si>
  <si>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</si>
  <si>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</si>
  <si>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</si>
  <si>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</si>
  <si>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</si>
  <si>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</si>
  <si>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</si>
  <si>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</si>
  <si>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</si>
  <si>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</si>
  <si>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</si>
  <si>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</si>
  <si>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</si>
  <si>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</si>
  <si>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</si>
  <si>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</si>
  <si>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21-Feb-26 11:44 AM</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</si>
  <si>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</si>
  <si>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</si>
  <si>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</si>
  <si>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</si>
  <si>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</si>
  <si>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</si>
  <si>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</si>
  <si>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</si>
  <si>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</si>
  <si>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</si>
  <si>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</si>
  <si>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</si>
  <si>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</si>
  <si>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</si>
  <si>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</si>
  <si>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</si>
  <si>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</si>
  <si>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</si>
  <si>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</si>
  <si>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</si>
  <si>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</si>
  <si>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</si>
  <si>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21-Feb-26 11:54 AM</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</si>
  <si>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</si>
  <si>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</si>
  <si>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</si>
  <si>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</si>
  <si>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</si>
  <si>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</si>
  <si>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</si>
  <si>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</si>
  <si>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</si>
  <si>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</si>
  <si>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</si>
  <si>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</si>
  <si>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</si>
  <si>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</si>
  <si>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</si>
  <si>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21-Feb-26 12:06 PM</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</si>
  <si>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</si>
  <si>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</si>
  <si>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</si>
  <si>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</si>
  <si>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</si>
  <si>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</si>
  <si>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</si>
  <si>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</si>
  <si>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</si>
  <si>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</si>
  <si>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</si>
  <si>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</si>
  <si>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</si>
  <si>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</si>
  <si>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</si>
  <si>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21-Feb-26 12:13 PM</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</si>
  <si>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</si>
  <si>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</si>
  <si>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</si>
  <si>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</si>
  <si>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</si>
  <si>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</si>
  <si>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</si>
  <si>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</si>
  <si>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</si>
  <si>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</si>
  <si>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</si>
  <si>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</si>
  <si>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</si>
  <si>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</si>
  <si>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21-Feb-26 12:15 PM</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</si>
  <si>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</si>
  <si>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</si>
  <si>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</si>
  <si>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</si>
  <si>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</si>
  <si>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</si>
  <si>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</si>
  <si>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</si>
  <si>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</si>
  <si>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</si>
  <si>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</si>
  <si>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</si>
  <si>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</si>
  <si>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</si>
  <si>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</si>
  <si>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</si>
  <si>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</si>
  <si>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</si>
  <si>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21-Feb-26 12:28 PM</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</si>
  <si>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</si>
  <si>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</si>
  <si>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</si>
  <si>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</si>
  <si>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</si>
  <si>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</si>
  <si>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</si>
  <si>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</si>
  <si>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</si>
  <si>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</si>
  <si>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</si>
  <si>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</si>
  <si>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</si>
  <si>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</si>
  <si>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</si>
  <si>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</si>
  <si>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</si>
  <si>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</si>
  <si>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</si>
  <si>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</si>
  <si>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</si>
  <si>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21-Feb-26 12:55 PM</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</si>
  <si>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</si>
  <si>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</si>
  <si>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</si>
  <si>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</si>
  <si>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</si>
  <si>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</si>
  <si>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</si>
  <si>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</si>
  <si>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</si>
  <si>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</si>
  <si>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</si>
  <si>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</si>
  <si>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</si>
  <si>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</si>
  <si>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</si>
  <si>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</si>
  <si>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</si>
  <si>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21-Feb-26 01:33 PM</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</si>
  <si>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</si>
  <si>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</si>
  <si>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</si>
  <si>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</si>
  <si>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</si>
  <si>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</si>
  <si>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</si>
  <si>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</si>
  <si>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</si>
  <si>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</si>
  <si>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</si>
  <si>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</si>
  <si>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</si>
  <si>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</si>
  <si>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21-Feb-26 03:02 PM</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</si>
  <si>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</si>
  <si>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</si>
  <si>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</si>
  <si>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</si>
  <si>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</si>
  <si>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</si>
  <si>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</si>
  <si>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</si>
  <si>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</si>
  <si>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</si>
  <si>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</si>
  <si>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</si>
  <si>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</si>
  <si>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</si>
  <si>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21-Feb-26 03:15 PM</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</si>
  <si>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</si>
  <si>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</si>
  <si>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</si>
  <si>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</si>
  <si>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</si>
  <si>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</si>
  <si>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</si>
  <si>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</si>
  <si>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</si>
  <si>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</si>
  <si>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</si>
  <si>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</si>
  <si>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</si>
  <si>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</si>
  <si>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</si>
  <si>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</si>
  <si>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21-Feb-26 03:24 PM</t>
  </si>
  <si>
    <t>Santosh Prakash Deodhar</t>
  </si>
  <si>
    <t>deodharsp@gmail.com</t>
  </si>
  <si>
    <t>06-Feb-1968</t>
  </si>
  <si>
    <t>Marahi,English</t>
  </si>
  <si>
    <t>Prakash Rajaram Deodhar</t>
  </si>
  <si>
    <t>ARCHANA, 105 B AMBIKA NAGAR M G ROAD
OPP AXIS BANK DOMBIVALI WEST BRANCH</t>
  </si>
  <si>
    <t>R B Shirke Highschool, Ratnagiri</t>
  </si>
  <si>
    <t>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</si>
  <si>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</si>
  <si>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</si>
  <si>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</si>
  <si>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</si>
  <si>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</si>
  <si>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</si>
  <si>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</si>
  <si>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</si>
  <si>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</si>
  <si>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21-Feb-26 04:02 PM</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</si>
  <si>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</si>
  <si>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</si>
  <si>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</si>
  <si>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</si>
  <si>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</si>
  <si>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</si>
  <si>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</si>
  <si>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</si>
  <si>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</si>
  <si>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</si>
  <si>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</si>
  <si>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</si>
  <si>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</si>
  <si>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</si>
  <si>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</si>
  <si>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</si>
  <si>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</si>
  <si>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</si>
  <si>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</si>
  <si>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</si>
  <si>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</si>
  <si>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</si>
  <si>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21-Feb-26 04:07 PM</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</si>
  <si>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</si>
  <si>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</si>
  <si>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</si>
  <si>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</si>
  <si>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</si>
  <si>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</si>
  <si>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</si>
  <si>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</si>
  <si>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</si>
  <si>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</si>
  <si>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</si>
  <si>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</si>
  <si>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</si>
  <si>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</si>
  <si>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</si>
  <si>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</si>
  <si>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</si>
  <si>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</si>
  <si>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</si>
  <si>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</si>
  <si>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</si>
  <si>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</si>
  <si>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</si>
  <si>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21-Feb-26 04:11 PM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</si>
  <si>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</si>
  <si>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</si>
  <si>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</si>
  <si>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</si>
  <si>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</si>
  <si>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</si>
  <si>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</si>
  <si>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</si>
  <si>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</si>
  <si>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</si>
  <si>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</si>
  <si>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</si>
  <si>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</si>
  <si>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</si>
  <si>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</si>
  <si>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</si>
  <si>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</si>
  <si>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</si>
  <si>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</si>
  <si>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21-Feb-26 04:22 PM</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</si>
  <si>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</si>
  <si>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</si>
  <si>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</si>
  <si>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</si>
  <si>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</si>
  <si>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</si>
  <si>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</si>
  <si>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</si>
  <si>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</si>
  <si>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</si>
  <si>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</si>
  <si>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</si>
  <si>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</si>
  <si>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</si>
  <si>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</si>
  <si>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</si>
  <si>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</si>
  <si>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</si>
  <si>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</si>
  <si>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</si>
  <si>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</si>
  <si>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</si>
  <si>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</si>
  <si>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</si>
  <si>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</si>
  <si>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21-Feb-26 04:31 PM</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</si>
  <si>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</si>
  <si>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</si>
  <si>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</si>
  <si>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</si>
  <si>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</si>
  <si>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</si>
  <si>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</si>
  <si>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</si>
  <si>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</si>
  <si>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</si>
  <si>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</si>
  <si>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SR University, Warangal</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</si>
  <si>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</si>
  <si>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</si>
  <si>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</si>
  <si>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</si>
  <si>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</si>
  <si>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</si>
  <si>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</si>
  <si>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</si>
  <si>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</si>
  <si>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</si>
  <si>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</si>
  <si>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</si>
  <si>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</si>
  <si>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</si>
  <si>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</si>
  <si>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</si>
  <si>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21-Feb-26 04:33 PM</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</si>
  <si>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</si>
  <si>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</si>
  <si>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</si>
  <si>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</si>
  <si>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</si>
  <si>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</si>
  <si>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</si>
  <si>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</si>
  <si>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</si>
  <si>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</si>
  <si>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</si>
  <si>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</si>
  <si>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</si>
  <si>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</si>
  <si>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</si>
  <si>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</si>
  <si>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</si>
  <si>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</si>
  <si>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</si>
  <si>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</si>
  <si>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21-Feb-26 04:44 PM</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</si>
  <si>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</si>
  <si>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</si>
  <si>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</si>
  <si>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</si>
  <si>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</si>
  <si>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</si>
  <si>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</si>
  <si>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</si>
  <si>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</si>
  <si>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</si>
  <si>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</si>
  <si>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</si>
  <si>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</si>
  <si>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</si>
  <si>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</si>
  <si>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</si>
  <si>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</si>
  <si>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21-Feb-26 04:50 PM</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</si>
  <si>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</si>
  <si>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</si>
  <si>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</si>
  <si>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</si>
  <si>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</si>
  <si>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</si>
  <si>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</si>
  <si>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</si>
  <si>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</si>
  <si>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</si>
  <si>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</si>
  <si>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</si>
  <si>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</si>
  <si>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</si>
  <si>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</si>
  <si>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</si>
  <si>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</si>
  <si>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21-Feb-26 05:09 PM</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</si>
  <si>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</si>
  <si>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</si>
  <si>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</si>
  <si>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</si>
  <si>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</si>
  <si>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</si>
  <si>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</si>
  <si>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</si>
  <si>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</si>
  <si>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</si>
  <si>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</si>
  <si>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</si>
  <si>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</si>
  <si>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</si>
  <si>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</si>
  <si>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</si>
  <si>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</si>
  <si>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</si>
  <si>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</si>
  <si>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</si>
  <si>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</si>
  <si>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</si>
  <si>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</si>
  <si>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</si>
  <si>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</si>
  <si>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</si>
  <si>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</si>
  <si>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21-Feb-26 05:19 PM</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</si>
  <si>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</si>
  <si>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</si>
  <si>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</si>
  <si>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</si>
  <si>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</si>
  <si>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</si>
  <si>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</si>
  <si>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</si>
  <si>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</si>
  <si>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</si>
  <si>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</si>
  <si>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</si>
  <si>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</si>
  <si>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</si>
  <si>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</si>
  <si>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</si>
  <si>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21-Feb-26 05:23 PM</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</si>
  <si>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</si>
  <si>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</si>
  <si>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</si>
  <si>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</si>
  <si>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</si>
  <si>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</si>
  <si>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</si>
  <si>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</si>
  <si>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</si>
  <si>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</si>
  <si>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</si>
  <si>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</si>
  <si>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</si>
  <si>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</si>
  <si>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</si>
  <si>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</si>
  <si>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21-Feb-26 05:31 PM</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</si>
  <si>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</si>
  <si>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</si>
  <si>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</si>
  <si>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</si>
  <si>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</si>
  <si>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</si>
  <si>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</si>
  <si>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</si>
  <si>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</si>
  <si>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</si>
  <si>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</si>
  <si>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</si>
  <si>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</si>
  <si>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</si>
  <si>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</si>
  <si>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</si>
  <si>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</si>
  <si>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</si>
  <si>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</si>
  <si>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</si>
  <si>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</si>
  <si>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</si>
  <si>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</si>
  <si>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</si>
  <si>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</si>
  <si>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</si>
  <si>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</si>
  <si>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21-Feb-26 06:01 PM</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</si>
  <si>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</si>
  <si>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</si>
  <si>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</si>
  <si>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</si>
  <si>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</si>
  <si>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</si>
  <si>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</si>
  <si>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</si>
  <si>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</si>
  <si>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</si>
  <si>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</si>
  <si>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</si>
  <si>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</si>
  <si>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</si>
  <si>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</si>
  <si>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</si>
  <si>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</si>
  <si>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</si>
  <si>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</si>
  <si>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</si>
  <si>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</si>
  <si>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</si>
  <si>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</si>
  <si>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</si>
  <si>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</si>
  <si>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</si>
  <si>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</si>
  <si>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</si>
  <si>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</si>
  <si>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</si>
  <si>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</si>
  <si>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</si>
  <si>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</si>
  <si>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</si>
  <si>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21-Feb-26 06:18 PM</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</si>
  <si>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</si>
  <si>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</si>
  <si>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</si>
  <si>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</si>
  <si>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</si>
  <si>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</si>
  <si>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</si>
  <si>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</si>
  <si>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</si>
  <si>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</si>
  <si>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</si>
  <si>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</si>
  <si>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</si>
  <si>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</si>
  <si>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</si>
  <si>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</si>
  <si>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</si>
  <si>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</si>
  <si>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</si>
  <si>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</si>
  <si>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</si>
  <si>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21-Feb-26 06:42 PM</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</si>
  <si>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</si>
  <si>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</si>
  <si>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</si>
  <si>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</si>
  <si>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</si>
  <si>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</si>
  <si>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</si>
  <si>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</si>
  <si>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</si>
  <si>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</si>
  <si>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</si>
  <si>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</si>
  <si>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21-Feb-26 07:03 PM</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</si>
  <si>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</si>
  <si>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</si>
  <si>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</si>
  <si>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</si>
  <si>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</si>
  <si>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</si>
  <si>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</si>
  <si>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</si>
  <si>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</si>
  <si>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</si>
  <si>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</si>
  <si>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</si>
  <si>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</si>
  <si>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</si>
  <si>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</si>
  <si>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</si>
  <si>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</si>
  <si>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</si>
  <si>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</si>
  <si>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</si>
  <si>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</si>
  <si>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</si>
  <si>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</si>
  <si>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</si>
  <si>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21-Feb-26 07:18 PM</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</si>
  <si>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</si>
  <si>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</si>
  <si>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</si>
  <si>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</si>
  <si>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</si>
  <si>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</si>
  <si>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</si>
  <si>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</si>
  <si>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</si>
  <si>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</si>
  <si>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</si>
  <si>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</si>
  <si>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</si>
  <si>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</si>
  <si>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</si>
  <si>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</si>
  <si>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21-Feb-26 07:26 PM</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</si>
  <si>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</si>
  <si>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</si>
  <si>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</si>
  <si>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</si>
  <si>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</si>
  <si>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</si>
  <si>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</si>
  <si>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</si>
  <si>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</si>
  <si>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</si>
  <si>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</si>
  <si>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</si>
  <si>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</si>
  <si>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</si>
  <si>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</si>
  <si>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</si>
  <si>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</si>
  <si>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</si>
  <si>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21-Feb-26 07:29 PM</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</si>
  <si>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</si>
  <si>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</si>
  <si>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</si>
  <si>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</si>
  <si>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</si>
  <si>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</si>
  <si>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</si>
  <si>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</si>
  <si>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</si>
  <si>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</si>
  <si>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</si>
  <si>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</si>
  <si>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</si>
  <si>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</si>
  <si>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</si>
  <si>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</si>
  <si>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</si>
  <si>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21-Feb-26 07:38 PM</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</si>
  <si>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</si>
  <si>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</si>
  <si>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</si>
  <si>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</si>
  <si>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</si>
  <si>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</si>
  <si>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</si>
  <si>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</si>
  <si>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</si>
  <si>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</si>
  <si>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</si>
  <si>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</si>
  <si>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</si>
  <si>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</si>
  <si>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Indian Institute of Technology Bombay</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</si>
  <si>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</si>
  <si>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</si>
  <si>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</si>
  <si>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</si>
  <si>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</si>
  <si>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21-Feb-26 07:41 PM</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</si>
  <si>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</si>
  <si>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</si>
  <si>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</si>
  <si>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</si>
  <si>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</si>
  <si>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</si>
  <si>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</si>
  <si>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</si>
  <si>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</si>
  <si>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</si>
  <si>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</si>
  <si>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</si>
  <si>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</si>
  <si>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</si>
  <si>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</si>
  <si>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</si>
  <si>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</si>
  <si>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</si>
  <si>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</si>
  <si>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</si>
  <si>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21-Feb-26 08:02 PM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</si>
  <si>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</si>
  <si>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</si>
  <si>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</si>
  <si>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</si>
  <si>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</si>
  <si>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</si>
  <si>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</si>
  <si>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</si>
  <si>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</si>
  <si>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</si>
  <si>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</si>
  <si>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</si>
  <si>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</si>
  <si>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</si>
  <si>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</si>
  <si>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</si>
  <si>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</si>
  <si>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</si>
  <si>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</si>
  <si>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</si>
  <si>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</si>
  <si>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</si>
  <si>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</si>
  <si>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</si>
  <si>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21-Feb-26 09:00 PM</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</si>
  <si>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</si>
  <si>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</si>
  <si>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</si>
  <si>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</si>
  <si>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</si>
  <si>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</si>
  <si>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</si>
  <si>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</si>
  <si>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</si>
  <si>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</si>
  <si>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</si>
  <si>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</si>
  <si>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</si>
  <si>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</si>
  <si>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</si>
  <si>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</si>
  <si>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</si>
  <si>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</si>
  <si>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</si>
  <si>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</si>
  <si>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</si>
  <si>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21-Feb-26 09:11 PM</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</si>
  <si>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</si>
  <si>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</si>
  <si>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</si>
  <si>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</si>
  <si>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</si>
  <si>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</si>
  <si>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</si>
  <si>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</si>
  <si>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</si>
  <si>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</si>
  <si>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</si>
  <si>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</si>
  <si>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</si>
  <si>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</si>
  <si>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</si>
  <si>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</si>
  <si>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</si>
  <si>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</si>
  <si>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</si>
  <si>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</si>
  <si>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</si>
  <si>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</si>
  <si>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</si>
  <si>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</si>
  <si>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</si>
  <si>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</si>
  <si>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</si>
  <si>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</si>
  <si>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</si>
  <si>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</si>
  <si>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</si>
  <si>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</si>
  <si>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21-Feb-26 09:20 PM</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</si>
  <si>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</si>
  <si>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</si>
  <si>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</si>
  <si>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</si>
  <si>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</si>
  <si>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</si>
  <si>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</si>
  <si>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</si>
  <si>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</si>
  <si>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</si>
  <si>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</si>
  <si>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</si>
  <si>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</si>
  <si>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</si>
  <si>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</si>
  <si>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</si>
  <si>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</si>
  <si>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</si>
  <si>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</si>
  <si>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21-Feb-26 09:28 PM</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</si>
  <si>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</si>
  <si>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</si>
  <si>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</si>
  <si>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</si>
  <si>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</si>
  <si>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</si>
  <si>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</si>
  <si>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</si>
  <si>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</si>
  <si>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</si>
  <si>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</si>
  <si>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</si>
  <si>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</si>
  <si>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</si>
  <si>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</si>
  <si>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</si>
  <si>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</si>
  <si>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21-Feb-26 09:39 PM</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</si>
  <si>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</si>
  <si>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</si>
  <si>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</si>
  <si>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</si>
  <si>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</si>
  <si>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</si>
  <si>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</si>
  <si>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</si>
  <si>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</si>
  <si>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</si>
  <si>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</si>
  <si>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</si>
  <si>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</si>
  <si>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</si>
  <si>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</si>
  <si>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</si>
  <si>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</si>
  <si>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21-Feb-26 10:17 PM</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</si>
  <si>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</si>
  <si>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</si>
  <si>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</si>
  <si>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</si>
  <si>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</si>
  <si>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</si>
  <si>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</si>
  <si>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</si>
  <si>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</si>
  <si>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</si>
  <si>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</si>
  <si>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</si>
  <si>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</si>
  <si>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</si>
  <si>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</si>
  <si>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</si>
  <si>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</si>
  <si>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</si>
  <si>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</si>
  <si>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</si>
  <si>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</si>
  <si>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21-Feb-26 11:47 PM</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</si>
  <si>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</si>
  <si>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</si>
  <si>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</si>
  <si>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</si>
  <si>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</si>
  <si>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</si>
  <si>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</si>
  <si>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</si>
  <si>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</si>
  <si>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</si>
  <si>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</si>
  <si>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</si>
  <si>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</si>
  <si>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</si>
  <si>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</si>
  <si>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21-Feb-26 11:55 PM</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</si>
  <si>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</si>
  <si>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</si>
  <si>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</si>
  <si>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</si>
  <si>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</si>
  <si>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</si>
  <si>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</si>
  <si>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</si>
  <si>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</si>
  <si>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</si>
  <si>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</si>
  <si>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</si>
  <si>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</si>
  <si>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</si>
  <si>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</si>
  <si>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</si>
  <si>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</si>
  <si>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</si>
  <si>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</si>
  <si>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</si>
  <si>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</si>
  <si>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</si>
  <si>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</si>
  <si>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</si>
  <si>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</si>
  <si>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</si>
  <si>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</si>
  <si>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</si>
  <si>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</si>
  <si>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</si>
  <si>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</si>
  <si>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</si>
  <si>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</si>
  <si>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</si>
  <si>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</si>
  <si>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</si>
  <si>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</si>
  <si>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</si>
  <si>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</si>
  <si>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22-Feb-26 10:52 AM</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</si>
  <si>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</si>
  <si>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</si>
  <si>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</si>
  <si>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</si>
  <si>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</si>
  <si>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</si>
  <si>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</si>
  <si>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</si>
  <si>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</si>
  <si>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</si>
  <si>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</si>
  <si>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</si>
  <si>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</si>
  <si>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</si>
  <si>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</si>
  <si>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</si>
  <si>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</si>
  <si>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</si>
  <si>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</si>
  <si>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</si>
  <si>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22-Feb-26 10:53 AM</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</si>
  <si>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</si>
  <si>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</si>
  <si>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</si>
  <si>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</si>
  <si>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</si>
  <si>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</si>
  <si>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</si>
  <si>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</si>
  <si>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</si>
  <si>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</si>
  <si>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</si>
  <si>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</si>
  <si>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</si>
  <si>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</si>
  <si>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</si>
  <si>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</si>
  <si>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</si>
  <si>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22-Feb-26 11:19 AM</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</si>
  <si>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</si>
  <si>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</si>
  <si>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</si>
  <si>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</si>
  <si>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</si>
  <si>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</si>
  <si>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</si>
  <si>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</si>
  <si>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</si>
  <si>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</si>
  <si>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</si>
  <si>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</si>
  <si>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</si>
  <si>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</si>
  <si>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</si>
  <si>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</si>
  <si>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</si>
  <si>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</si>
  <si>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22-Feb-26 12:09 PM</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</si>
  <si>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</si>
  <si>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</si>
  <si>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</si>
  <si>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</si>
  <si>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</si>
  <si>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</si>
  <si>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</si>
  <si>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</si>
  <si>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</si>
  <si>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</si>
  <si>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</si>
  <si>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</si>
  <si>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</si>
  <si>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</si>
  <si>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</si>
  <si>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</si>
  <si>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22-Feb-26 12:17 PM</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</si>
  <si>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</si>
  <si>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</si>
  <si>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</si>
  <si>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</si>
  <si>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</si>
  <si>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</si>
  <si>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</si>
  <si>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</si>
  <si>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</si>
  <si>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</si>
  <si>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</si>
  <si>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</si>
  <si>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</si>
  <si>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</si>
  <si>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</si>
  <si>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</si>
  <si>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</si>
  <si>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22-Feb-26 12:20 PM</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</si>
  <si>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</si>
  <si>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</si>
  <si>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</si>
  <si>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</si>
  <si>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</si>
  <si>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</si>
  <si>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</si>
  <si>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</si>
  <si>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</si>
  <si>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</si>
  <si>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</si>
  <si>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</si>
  <si>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</si>
  <si>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</si>
  <si>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</si>
  <si>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</si>
  <si>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22-Feb-26 12:42 PM</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</si>
  <si>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</si>
  <si>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</si>
  <si>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</si>
  <si>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</si>
  <si>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</si>
  <si>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</si>
  <si>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</si>
  <si>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</si>
  <si>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</si>
  <si>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</si>
  <si>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</si>
  <si>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</si>
  <si>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</si>
  <si>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</si>
  <si>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</si>
  <si>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</si>
  <si>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</si>
  <si>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</si>
  <si>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</si>
  <si>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</si>
  <si>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</si>
  <si>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</si>
  <si>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</si>
  <si>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</si>
  <si>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</si>
  <si>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</si>
  <si>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</si>
  <si>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</si>
  <si>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</si>
  <si>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</si>
  <si>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</si>
  <si>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</si>
  <si>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</si>
  <si>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</si>
  <si>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</si>
  <si>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</si>
  <si>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</si>
  <si>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</si>
  <si>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22-Feb-26 01:48 PM</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</si>
  <si>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</si>
  <si>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</si>
  <si>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</si>
  <si>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</si>
  <si>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</si>
  <si>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</si>
  <si>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</si>
  <si>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</si>
  <si>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</si>
  <si>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</si>
  <si>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</si>
  <si>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</si>
  <si>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</si>
  <si>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</si>
  <si>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</si>
  <si>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</si>
  <si>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</si>
  <si>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</si>
  <si>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22-Feb-26 02:05 PM</t>
  </si>
  <si>
    <t>Rajesh Kumar Dogra</t>
  </si>
  <si>
    <t>dr.rajeshdogra@gmail.com</t>
  </si>
  <si>
    <t>17-Apr-1964</t>
  </si>
  <si>
    <t>English.Hindi</t>
  </si>
  <si>
    <t>Sh. Varinder Pal dogra</t>
  </si>
  <si>
    <t>20, Ambey Valley</t>
  </si>
  <si>
    <t>BSF SCHOOL</t>
  </si>
  <si>
    <t>GNDU</t>
  </si>
  <si>
    <t>GOVERNMENT COLLEGE</t>
  </si>
  <si>
    <t>PUNJABI UNIVERSITY</t>
  </si>
  <si>
    <t>HP UNIVERSITY SHIMLA</t>
  </si>
  <si>
    <t>22-Feb-26 02:07 PM</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</si>
  <si>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</si>
  <si>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</si>
  <si>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</si>
  <si>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</si>
  <si>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</si>
  <si>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</si>
  <si>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Hyderabad</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</si>
  <si>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</si>
  <si>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</si>
  <si>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</si>
  <si>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</si>
  <si>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</si>
  <si>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</si>
  <si>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</si>
  <si>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</si>
  <si>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22-Feb-26 02:56 PM</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</si>
  <si>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</si>
  <si>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</si>
  <si>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</si>
  <si>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</si>
  <si>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</si>
  <si>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</si>
  <si>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</si>
  <si>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</si>
  <si>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</si>
  <si>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</si>
  <si>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</si>
  <si>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</si>
  <si>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</si>
  <si>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22-Feb-26 03:17 PM</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</si>
  <si>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</si>
  <si>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</si>
  <si>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</si>
  <si>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</si>
  <si>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</si>
  <si>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</si>
  <si>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</si>
  <si>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</si>
  <si>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</si>
  <si>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</si>
  <si>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</si>
  <si>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</si>
  <si>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</si>
  <si>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</si>
  <si>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</si>
  <si>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</si>
  <si>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</si>
  <si>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</si>
  <si>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</si>
  <si>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</si>
  <si>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</si>
  <si>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</si>
  <si>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</si>
  <si>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</si>
  <si>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</si>
  <si>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</si>
  <si>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</si>
  <si>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</si>
  <si>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</si>
  <si>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</si>
  <si>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22-Feb-26 05:19 PM</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</si>
  <si>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</si>
  <si>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</si>
  <si>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</si>
  <si>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</si>
  <si>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</si>
  <si>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</si>
  <si>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</si>
  <si>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</si>
  <si>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</si>
  <si>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</si>
  <si>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</si>
  <si>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</si>
  <si>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</si>
  <si>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</si>
  <si>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</si>
  <si>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</si>
  <si>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</si>
  <si>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</si>
  <si>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</si>
  <si>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</si>
  <si>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</si>
  <si>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22-Feb-26 05:57 PM</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</si>
  <si>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</si>
  <si>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</si>
  <si>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</si>
  <si>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</si>
  <si>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</si>
  <si>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</si>
  <si>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</si>
  <si>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</si>
  <si>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</si>
  <si>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</si>
  <si>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</si>
  <si>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</si>
  <si>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</si>
  <si>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</si>
  <si>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</si>
  <si>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</si>
  <si>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</si>
  <si>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</si>
  <si>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</si>
  <si>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22-Feb-26 06:17 PM</t>
  </si>
  <si>
    <t>Dharmendra Kumar</t>
  </si>
  <si>
    <t>ipsdksingh@gmail.com</t>
  </si>
  <si>
    <t>02-Dec-1992</t>
  </si>
  <si>
    <t>Krishna Kumar</t>
  </si>
  <si>
    <t>C102 SAIRAM RESIDENCY ADAJAN PALANPORE SURAT 395009</t>
  </si>
  <si>
    <t>Saraswati Shishu Mandir Sr Sec School</t>
  </si>
  <si>
    <t>Gorakhpur</t>
  </si>
  <si>
    <t>Private CBSE</t>
  </si>
  <si>
    <t>Phagwara Punjab</t>
  </si>
  <si>
    <t>DELHI</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</si>
  <si>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</si>
  <si>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</si>
  <si>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</si>
  <si>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</si>
  <si>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</si>
  <si>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</si>
  <si>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</si>
  <si>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</si>
  <si>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</si>
  <si>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</si>
  <si>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</si>
  <si>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</si>
  <si>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</si>
  <si>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</si>
  <si>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</si>
  <si>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</si>
  <si>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</si>
  <si>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</si>
  <si>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</si>
  <si>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</si>
  <si>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</si>
  <si>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</si>
  <si>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</si>
  <si>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</si>
  <si>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</si>
  <si>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</si>
  <si>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</si>
  <si>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</si>
  <si>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</si>
  <si>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</si>
  <si>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</si>
  <si>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</si>
  <si>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</si>
  <si>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</si>
  <si>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22-Feb-26 06:59 PM</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</si>
  <si>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</si>
  <si>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</si>
  <si>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</si>
  <si>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</si>
  <si>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</si>
  <si>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</si>
  <si>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</si>
  <si>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</si>
  <si>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</si>
  <si>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</si>
  <si>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</si>
  <si>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</si>
  <si>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</si>
  <si>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22-Feb-26 07:19 PM</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</si>
  <si>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</si>
  <si>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</si>
  <si>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</si>
  <si>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</si>
  <si>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</si>
  <si>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</si>
  <si>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</si>
  <si>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</si>
  <si>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</si>
  <si>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</si>
  <si>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</si>
  <si>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</si>
  <si>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</si>
  <si>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</si>
  <si>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</si>
  <si>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</si>
  <si>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</si>
  <si>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</si>
  <si>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</si>
  <si>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22-Feb-26 07:23 PM</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</si>
  <si>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</si>
  <si>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</si>
  <si>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</si>
  <si>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</si>
  <si>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</si>
  <si>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</si>
  <si>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</si>
  <si>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</si>
  <si>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</si>
  <si>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</si>
  <si>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</si>
  <si>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</si>
  <si>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</si>
  <si>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</si>
  <si>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</si>
  <si>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</si>
  <si>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</si>
  <si>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</si>
  <si>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</si>
  <si>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22-Feb-26 07:39 PM</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</si>
  <si>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</si>
  <si>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</si>
  <si>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</si>
  <si>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</si>
  <si>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</si>
  <si>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</si>
  <si>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</si>
  <si>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</si>
  <si>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</si>
  <si>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</si>
  <si>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</si>
  <si>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</si>
  <si>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</si>
  <si>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</si>
  <si>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</si>
  <si>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</si>
  <si>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</si>
  <si>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</si>
  <si>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22-Feb-26 07:51 PM</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</si>
  <si>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</si>
  <si>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</si>
  <si>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</si>
  <si>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</si>
  <si>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</si>
  <si>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</si>
  <si>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</si>
  <si>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</si>
  <si>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</si>
  <si>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</si>
  <si>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</si>
  <si>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</si>
  <si>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</si>
  <si>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</si>
  <si>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</si>
  <si>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</si>
  <si>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</si>
  <si>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</si>
  <si>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</si>
  <si>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</si>
  <si>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</si>
  <si>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</si>
  <si>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</si>
  <si>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</si>
  <si>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</si>
  <si>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</si>
  <si>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</si>
  <si>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Indian Institute of Technology Madras</t>
  </si>
  <si>
    <t>IIT Madras, Chennai, Tamil Nadu</t>
  </si>
  <si>
    <t>• Primavera Training by Plan Academy
• L&amp;T IPM trianing in "Managing Financial Performance of EPC Projects" in 2020</t>
  </si>
  <si>
    <t>MS Office,MS Project,Primavera,AutoCAD</t>
  </si>
  <si>
    <t>22-Feb-26 10:33 PM</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</si>
  <si>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</si>
  <si>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</si>
  <si>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</si>
  <si>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</si>
  <si>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</si>
  <si>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</si>
  <si>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</si>
  <si>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</si>
  <si>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</si>
  <si>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</si>
  <si>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</si>
  <si>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</si>
  <si>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</si>
  <si>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</si>
  <si>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</si>
  <si>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22-Feb-26 10:55 PM</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</si>
  <si>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</si>
  <si>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</si>
  <si>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</si>
  <si>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</si>
  <si>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</si>
  <si>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</si>
  <si>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</si>
  <si>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</si>
  <si>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</si>
  <si>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</si>
  <si>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</si>
  <si>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</si>
  <si>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</si>
  <si>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</si>
  <si>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</si>
  <si>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</si>
  <si>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</si>
  <si>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</si>
  <si>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</si>
  <si>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</si>
  <si>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</si>
  <si>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22-Feb-26 11:38 PM</t>
  </si>
  <si>
    <t>Ruban Christopher  A</t>
  </si>
  <si>
    <t>drchrispmp@gmail.com</t>
  </si>
  <si>
    <t>01-Jan-1987</t>
  </si>
  <si>
    <t>Arockia Dass</t>
  </si>
  <si>
    <t>Riyadh, Saudi Arabia</t>
  </si>
  <si>
    <t>Don Bosco Hr Sec School</t>
  </si>
  <si>
    <t>Tamil Nadu Stateboard</t>
  </si>
  <si>
    <t>St. Peters Hr Sec School</t>
  </si>
  <si>
    <t>Loyola College</t>
  </si>
  <si>
    <t>Chennai, Tamil Nadu</t>
  </si>
  <si>
    <t>University of Madras</t>
  </si>
  <si>
    <t>Hindustan Institute of Technology and Science</t>
  </si>
  <si>
    <t>• Refer CV</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</si>
  <si>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</si>
  <si>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</si>
  <si>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</si>
  <si>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</si>
  <si>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</si>
  <si>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</si>
  <si>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</si>
  <si>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</si>
  <si>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</si>
  <si>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</si>
  <si>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</si>
  <si>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</si>
  <si>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</si>
  <si>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</si>
  <si>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</si>
  <si>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</si>
  <si>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</si>
  <si>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</si>
  <si>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</si>
  <si>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</si>
  <si>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</si>
  <si>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</si>
  <si>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</si>
  <si>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</si>
  <si>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23-Feb-26 12:55 AM</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</si>
  <si>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</si>
  <si>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</si>
  <si>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</si>
  <si>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</si>
  <si>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</si>
  <si>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</si>
  <si>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</si>
  <si>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</si>
  <si>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</si>
  <si>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</si>
  <si>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</si>
  <si>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</si>
  <si>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</si>
  <si>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</si>
  <si>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</si>
  <si>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</si>
  <si>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</si>
  <si>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</si>
  <si>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</si>
  <si>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</si>
  <si>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</si>
  <si>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23-Feb-26 09:06 AM</t>
  </si>
  <si>
    <t>Vidyapati Jha</t>
  </si>
  <si>
    <t>vidyapati.jha1989@gmail.com</t>
  </si>
  <si>
    <t>01-Feb-1989</t>
  </si>
  <si>
    <t>Kamal Kumar Jha</t>
  </si>
  <si>
    <t>B-37, XU-3, Greater Noida, Uttar Pradesh</t>
  </si>
  <si>
    <t>MPT High School</t>
  </si>
  <si>
    <t>BSEB, Bihar</t>
  </si>
  <si>
    <t>00</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</si>
  <si>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</si>
  <si>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</si>
  <si>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</si>
  <si>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</si>
  <si>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</si>
  <si>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</si>
  <si>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</si>
  <si>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</si>
  <si>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</si>
  <si>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</si>
  <si>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23-Feb-26 10:23 AM</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</si>
  <si>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</si>
  <si>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</si>
  <si>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</si>
  <si>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</si>
  <si>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</si>
  <si>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</si>
  <si>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</si>
  <si>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</si>
  <si>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</si>
  <si>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</si>
  <si>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</si>
  <si>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</si>
  <si>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</si>
  <si>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</si>
  <si>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23-Feb-26 10:38 AM</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</si>
  <si>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</si>
  <si>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</si>
  <si>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</si>
  <si>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</si>
  <si>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</si>
  <si>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</si>
  <si>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</si>
  <si>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</si>
  <si>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</si>
  <si>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</si>
  <si>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</si>
  <si>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</si>
  <si>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</si>
  <si>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</si>
  <si>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</si>
  <si>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</si>
  <si>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</si>
  <si>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</si>
  <si>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</si>
  <si>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23-Feb-26 11:17 AM</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</si>
  <si>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</si>
  <si>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</si>
  <si>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</si>
  <si>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</si>
  <si>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</si>
  <si>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</si>
  <si>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</si>
  <si>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</si>
  <si>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</si>
  <si>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</si>
  <si>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</si>
  <si>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</si>
  <si>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</si>
  <si>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</si>
  <si>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</si>
  <si>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</si>
  <si>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</si>
  <si>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23-Feb-26 11:25 AM</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</si>
  <si>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</si>
  <si>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</si>
  <si>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</si>
  <si>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</si>
  <si>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</si>
  <si>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</si>
  <si>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</si>
  <si>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</si>
  <si>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</si>
  <si>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</si>
  <si>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</si>
  <si>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</si>
  <si>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</si>
  <si>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</si>
  <si>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</si>
  <si>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</si>
  <si>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</si>
  <si>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</si>
  <si>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</si>
  <si>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</si>
  <si>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</si>
  <si>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</si>
  <si>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</si>
  <si>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</si>
  <si>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</si>
  <si>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</si>
  <si>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</si>
  <si>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</si>
  <si>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</si>
  <si>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</si>
  <si>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</si>
  <si>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</si>
  <si>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</si>
  <si>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</si>
  <si>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</si>
  <si>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</si>
  <si>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</si>
  <si>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</si>
  <si>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</si>
  <si>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</si>
  <si>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</si>
  <si>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</si>
  <si>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</si>
  <si>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</si>
  <si>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</si>
  <si>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</si>
  <si>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</si>
  <si>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</si>
  <si>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</si>
  <si>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</si>
  <si>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23-Feb-26 11:48 AM</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</si>
  <si>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</si>
  <si>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</si>
  <si>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</si>
  <si>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</si>
  <si>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</si>
  <si>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</si>
  <si>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</si>
  <si>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</si>
  <si>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</si>
  <si>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</si>
  <si>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</si>
  <si>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</si>
  <si>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</si>
  <si>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</si>
  <si>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</si>
  <si>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</si>
  <si>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</si>
  <si>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</si>
  <si>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</si>
  <si>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</si>
  <si>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23-Feb-26 11:58 AM</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</si>
  <si>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</si>
  <si>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</si>
  <si>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</si>
  <si>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</si>
  <si>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</si>
  <si>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</si>
  <si>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</si>
  <si>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</si>
  <si>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</si>
  <si>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23-Feb-26 12:15 PM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</si>
  <si>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</si>
  <si>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</si>
  <si>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</si>
  <si>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</si>
  <si>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</si>
  <si>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</si>
  <si>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</si>
  <si>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</si>
  <si>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</si>
  <si>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</si>
  <si>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</si>
  <si>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</si>
  <si>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</si>
  <si>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</si>
  <si>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</si>
  <si>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</si>
  <si>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</si>
  <si>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</si>
  <si>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</si>
  <si>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</si>
  <si>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</si>
  <si>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23-Feb-26 12:25 PM</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</si>
  <si>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</si>
  <si>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</si>
  <si>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</si>
  <si>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</si>
  <si>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</si>
  <si>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</si>
  <si>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</si>
  <si>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</si>
  <si>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</si>
  <si>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</si>
  <si>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</si>
  <si>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</si>
  <si>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</si>
  <si>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</si>
  <si>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</si>
  <si>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</si>
  <si>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</si>
  <si>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</si>
  <si>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</si>
  <si>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</si>
  <si>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</si>
  <si>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</si>
  <si>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23-Feb-26 01:14 PM</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</si>
  <si>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</si>
  <si>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</si>
  <si>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</si>
  <si>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</si>
  <si>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</si>
  <si>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</si>
  <si>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</si>
  <si>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</si>
  <si>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</si>
  <si>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</si>
  <si>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</si>
  <si>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</si>
  <si>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</si>
  <si>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</si>
  <si>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23-Feb-26 01:18 PM</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</si>
  <si>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</si>
  <si>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</si>
  <si>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</si>
  <si>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</si>
  <si>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</si>
  <si>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</si>
  <si>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</si>
  <si>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</si>
  <si>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</si>
  <si>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</si>
  <si>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</si>
  <si>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</si>
  <si>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</si>
  <si>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</si>
  <si>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</si>
  <si>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</si>
  <si>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</si>
  <si>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</si>
  <si>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23-Feb-26 01:28 PM</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</si>
  <si>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</si>
  <si>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</si>
  <si>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</si>
  <si>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</si>
  <si>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</si>
  <si>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</si>
  <si>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</si>
  <si>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</si>
  <si>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</si>
  <si>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</si>
  <si>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</si>
  <si>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</si>
  <si>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</si>
  <si>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</si>
  <si>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</si>
  <si>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</si>
  <si>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</si>
  <si>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</si>
  <si>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</si>
  <si>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</si>
  <si>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</si>
  <si>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</si>
  <si>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</si>
  <si>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23-Feb-26 02:02 PM</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</si>
  <si>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</si>
  <si>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</si>
  <si>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</si>
  <si>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</si>
  <si>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</si>
  <si>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</si>
  <si>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</si>
  <si>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</si>
  <si>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</si>
  <si>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</si>
  <si>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</si>
  <si>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</si>
  <si>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</si>
  <si>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</si>
  <si>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</si>
  <si>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</si>
  <si>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</si>
  <si>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</si>
  <si>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23-Feb-26 02:18 PM</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</si>
  <si>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</si>
  <si>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</si>
  <si>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</si>
  <si>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</si>
  <si>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</si>
  <si>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</si>
  <si>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</si>
  <si>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</si>
  <si>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</si>
  <si>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</si>
  <si>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</si>
  <si>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</si>
  <si>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</si>
  <si>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</si>
  <si>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</si>
  <si>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</si>
  <si>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</si>
  <si>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</si>
  <si>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</si>
  <si>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</si>
  <si>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</si>
  <si>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</si>
  <si>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23-Feb-26 02:52 PM</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</si>
  <si>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</si>
  <si>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</si>
  <si>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</si>
  <si>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</si>
  <si>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</si>
  <si>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</si>
  <si>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</si>
  <si>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</si>
  <si>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</si>
  <si>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</si>
  <si>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</si>
  <si>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</si>
  <si>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</si>
  <si>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</si>
  <si>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</si>
  <si>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</si>
  <si>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</si>
  <si>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23-Feb-26 03:06 PM</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</si>
  <si>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</si>
  <si>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</si>
  <si>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</si>
  <si>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</si>
  <si>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</si>
  <si>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</si>
  <si>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</si>
  <si>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</si>
  <si>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</si>
  <si>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</si>
  <si>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</si>
  <si>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</si>
  <si>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</si>
  <si>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</si>
  <si>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</si>
  <si>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</si>
  <si>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</si>
  <si>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</si>
  <si>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</si>
  <si>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Sri Balaji University Pune</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</si>
  <si>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</si>
  <si>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</si>
  <si>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</si>
  <si>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</si>
  <si>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</si>
  <si>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</si>
  <si>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</si>
  <si>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</si>
  <si>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</si>
  <si>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</si>
  <si>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</si>
  <si>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</si>
  <si>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</si>
  <si>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</si>
  <si>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</si>
  <si>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</si>
  <si>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</si>
  <si>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</si>
  <si>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</si>
  <si>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</si>
  <si>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</si>
  <si>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23-Feb-26 03:07 PM</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</si>
  <si>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</si>
  <si>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</si>
  <si>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</si>
  <si>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</si>
  <si>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</si>
  <si>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</si>
  <si>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</si>
  <si>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</si>
  <si>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</si>
  <si>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</si>
  <si>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</si>
  <si>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</si>
  <si>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</si>
  <si>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</si>
  <si>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</si>
  <si>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</si>
  <si>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</si>
  <si>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</si>
  <si>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</si>
  <si>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</si>
  <si>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23-Feb-26 03:30 PM</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</si>
  <si>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</si>
  <si>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</si>
  <si>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</si>
  <si>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</si>
  <si>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</si>
  <si>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</si>
  <si>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</si>
  <si>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</si>
  <si>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</si>
  <si>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</si>
  <si>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</si>
  <si>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</si>
  <si>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</si>
  <si>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</si>
  <si>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</si>
  <si>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</si>
  <si>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</si>
  <si>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</si>
  <si>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23-Feb-26 03:31 PM</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</si>
  <si>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</si>
  <si>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</si>
  <si>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</si>
  <si>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</si>
  <si>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</si>
  <si>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</si>
  <si>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</si>
  <si>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</si>
  <si>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</si>
  <si>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</si>
  <si>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</si>
  <si>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</si>
  <si>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</si>
  <si>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</si>
  <si>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</si>
  <si>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23-Feb-26 04:08 PM</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</si>
  <si>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</si>
  <si>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</si>
  <si>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</si>
  <si>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</si>
  <si>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</si>
  <si>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</si>
  <si>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</si>
  <si>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</si>
  <si>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</si>
  <si>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</si>
  <si>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</si>
  <si>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</si>
  <si>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</si>
  <si>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</si>
  <si>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</si>
  <si>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</si>
  <si>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</si>
  <si>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</si>
  <si>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</si>
  <si>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</si>
  <si>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</si>
  <si>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</si>
  <si>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</si>
  <si>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</si>
  <si>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</si>
  <si>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</si>
  <si>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</si>
  <si>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</si>
  <si>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</si>
  <si>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</si>
  <si>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</si>
  <si>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</si>
  <si>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</si>
  <si>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</si>
  <si>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</si>
  <si>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</si>
  <si>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</si>
  <si>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</si>
  <si>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</si>
  <si>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</si>
  <si>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</si>
  <si>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</si>
  <si>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</si>
  <si>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</si>
  <si>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</si>
  <si>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College of Engineering Pune (COEP)</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</si>
  <si>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</si>
  <si>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</si>
  <si>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</si>
  <si>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</si>
  <si>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</si>
  <si>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23-Feb-26 04:30 PM</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</si>
  <si>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</si>
  <si>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</si>
  <si>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</si>
  <si>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</si>
  <si>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</si>
  <si>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</si>
  <si>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</si>
  <si>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</si>
  <si>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</si>
  <si>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</si>
  <si>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</si>
  <si>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</si>
  <si>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Manipal</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</si>
  <si>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</si>
  <si>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</si>
  <si>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</si>
  <si>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</si>
  <si>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</si>
  <si>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</si>
  <si>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</si>
  <si>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</si>
  <si>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</si>
  <si>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</si>
  <si>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</si>
  <si>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23-Feb-26 05:24 PM</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</si>
  <si>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</si>
  <si>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</si>
  <si>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</si>
  <si>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</si>
  <si>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</si>
  <si>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</si>
  <si>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</si>
  <si>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</si>
  <si>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</si>
  <si>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</si>
  <si>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</si>
  <si>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</si>
  <si>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</si>
  <si>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</si>
  <si>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</si>
  <si>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</si>
  <si>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</si>
  <si>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</si>
  <si>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</si>
  <si>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</si>
  <si>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</si>
  <si>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</si>
  <si>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23-Feb-26 05:46 PM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</si>
  <si>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</si>
  <si>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</si>
  <si>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</si>
  <si>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</si>
  <si>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</si>
  <si>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</si>
  <si>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</si>
  <si>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</si>
  <si>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</si>
  <si>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</si>
  <si>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</si>
  <si>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</si>
  <si>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</si>
  <si>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</si>
  <si>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</si>
  <si>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</si>
  <si>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</si>
  <si>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</si>
  <si>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</si>
  <si>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</si>
  <si>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</si>
  <si>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</si>
  <si>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</si>
  <si>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</si>
  <si>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</si>
  <si>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</si>
  <si>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</si>
  <si>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</si>
  <si>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</si>
  <si>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</si>
  <si>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</si>
  <si>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</si>
  <si>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</si>
  <si>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</si>
  <si>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</si>
  <si>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</si>
  <si>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23-Feb-26 06:13 PM</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</si>
  <si>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</si>
  <si>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</si>
  <si>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</si>
  <si>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</si>
  <si>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</si>
  <si>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</si>
  <si>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</si>
  <si>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</si>
  <si>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</si>
  <si>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</si>
  <si>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</si>
  <si>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</si>
  <si>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</si>
  <si>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</si>
  <si>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</si>
  <si>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</si>
  <si>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</si>
  <si>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</si>
  <si>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</si>
  <si>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</si>
  <si>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23-Feb-26 06:19 PM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</si>
  <si>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</si>
  <si>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</si>
  <si>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</si>
  <si>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</si>
  <si>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</si>
  <si>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</si>
  <si>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</si>
  <si>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</si>
  <si>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</si>
  <si>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</si>
  <si>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</si>
  <si>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</si>
  <si>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</si>
  <si>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</si>
  <si>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</si>
  <si>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</si>
  <si>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</si>
  <si>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</si>
  <si>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</si>
  <si>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</si>
  <si>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</si>
  <si>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</si>
  <si>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23-Feb-26 06:39 PM</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</si>
  <si>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</si>
  <si>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</si>
  <si>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</si>
  <si>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</si>
  <si>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</si>
  <si>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</si>
  <si>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</si>
  <si>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</si>
  <si>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</si>
  <si>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</si>
  <si>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</si>
  <si>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</si>
  <si>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</si>
  <si>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</si>
  <si>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</si>
  <si>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</si>
  <si>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</si>
  <si>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</si>
  <si>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</si>
  <si>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</si>
  <si>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</si>
  <si>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</si>
  <si>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23-Feb-26 07:49 PM</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</si>
  <si>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</si>
  <si>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</si>
  <si>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</si>
  <si>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</si>
  <si>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</si>
  <si>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</si>
  <si>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</si>
  <si>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</si>
  <si>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</si>
  <si>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</si>
  <si>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</si>
  <si>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</si>
  <si>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</si>
  <si>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</si>
  <si>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</si>
  <si>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</si>
  <si>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</si>
  <si>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</si>
  <si>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</si>
  <si>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</si>
  <si>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</si>
  <si>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</si>
  <si>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</si>
  <si>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</si>
  <si>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</si>
  <si>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</si>
  <si>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</si>
  <si>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</si>
  <si>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</si>
  <si>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</si>
  <si>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</si>
  <si>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</si>
  <si>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</si>
  <si>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23-Feb-26 08:38 PM</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</si>
  <si>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</si>
  <si>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</si>
  <si>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</si>
  <si>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</si>
  <si>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</si>
  <si>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</si>
  <si>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</si>
  <si>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</si>
  <si>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</si>
  <si>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</si>
  <si>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</si>
  <si>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</si>
  <si>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</si>
  <si>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</si>
  <si>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</si>
  <si>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</si>
  <si>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</si>
  <si>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</si>
  <si>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</si>
  <si>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23-Feb-26 09:11 PM</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</si>
  <si>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</si>
  <si>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</si>
  <si>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</si>
  <si>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</si>
  <si>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</si>
  <si>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</si>
  <si>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</si>
  <si>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</si>
  <si>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</si>
  <si>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</si>
  <si>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</si>
  <si>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</si>
  <si>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</si>
  <si>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</si>
  <si>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</si>
  <si>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</si>
  <si>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</si>
  <si>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</si>
  <si>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</si>
  <si>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</si>
  <si>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</si>
  <si>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</si>
  <si>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23-Feb-26 09:19 PM</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</si>
  <si>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</si>
  <si>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</si>
  <si>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</si>
  <si>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</si>
  <si>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</si>
  <si>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</si>
  <si>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</si>
  <si>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</si>
  <si>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</si>
  <si>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</si>
  <si>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</si>
  <si>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</si>
  <si>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</si>
  <si>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</si>
  <si>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</si>
  <si>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</si>
  <si>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</si>
  <si>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</si>
  <si>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</si>
  <si>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</si>
  <si>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</si>
  <si>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</si>
  <si>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</si>
  <si>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</si>
  <si>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</si>
  <si>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</si>
  <si>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</si>
  <si>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</si>
  <si>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</si>
  <si>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</si>
  <si>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</si>
  <si>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</si>
  <si>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</si>
  <si>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</si>
  <si>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</si>
  <si>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</si>
  <si>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23-Feb-26 10:16 PM</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</si>
  <si>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</si>
  <si>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</si>
  <si>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</si>
  <si>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</si>
  <si>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</si>
  <si>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</si>
  <si>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</si>
  <si>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</si>
  <si>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</si>
  <si>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</si>
  <si>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</si>
  <si>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</si>
  <si>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</si>
  <si>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</si>
  <si>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</si>
  <si>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</si>
  <si>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</si>
  <si>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</si>
  <si>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</si>
  <si>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</si>
  <si>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</si>
  <si>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</si>
  <si>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23-Feb-26 10:46 PM</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</si>
  <si>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</si>
  <si>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</si>
  <si>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</si>
  <si>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</si>
  <si>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</si>
  <si>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</si>
  <si>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</si>
  <si>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</si>
  <si>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</si>
  <si>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</si>
  <si>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</si>
  <si>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</si>
  <si>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</si>
  <si>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</si>
  <si>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</si>
  <si>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</si>
  <si>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</si>
  <si>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</si>
  <si>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</si>
  <si>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23-Feb-26 10:54 PM</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</si>
  <si>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</si>
  <si>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</si>
  <si>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</si>
  <si>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</si>
  <si>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</si>
  <si>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</si>
  <si>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</si>
  <si>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</si>
  <si>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</si>
  <si>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</si>
  <si>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</si>
  <si>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</si>
  <si>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</si>
  <si>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</si>
  <si>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</si>
  <si>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</si>
  <si>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</si>
  <si>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</si>
  <si>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</si>
  <si>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</si>
  <si>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</si>
  <si>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</si>
  <si>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</si>
  <si>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</si>
  <si>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</si>
  <si>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</si>
  <si>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</si>
  <si>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</si>
  <si>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</si>
  <si>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</si>
  <si>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</si>
  <si>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</si>
  <si>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</si>
  <si>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</si>
  <si>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</si>
  <si>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24-Feb-26 01:41 AM</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</si>
  <si>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</si>
  <si>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</si>
  <si>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</si>
  <si>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</si>
  <si>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</si>
  <si>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</si>
  <si>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</si>
  <si>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</si>
  <si>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</si>
  <si>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</si>
  <si>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</si>
  <si>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</si>
  <si>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24-Feb-26 04:58 AM</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</si>
  <si>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</si>
  <si>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</si>
  <si>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</si>
  <si>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</si>
  <si>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</si>
  <si>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</si>
  <si>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</si>
  <si>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</si>
  <si>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</si>
  <si>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</si>
  <si>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</si>
  <si>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</si>
  <si>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</si>
  <si>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</si>
  <si>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</si>
  <si>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24-Feb-26 10:26 AM</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</si>
  <si>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</si>
  <si>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</si>
  <si>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</si>
  <si>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</si>
  <si>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</si>
  <si>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</si>
  <si>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</si>
  <si>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</si>
  <si>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</si>
  <si>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</si>
  <si>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</si>
  <si>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</si>
  <si>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</si>
  <si>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</si>
  <si>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</si>
  <si>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</si>
  <si>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</si>
  <si>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</si>
  <si>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</si>
  <si>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</si>
  <si>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</si>
  <si>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</si>
  <si>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</si>
  <si>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</si>
  <si>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</si>
  <si>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</si>
  <si>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</si>
  <si>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</si>
  <si>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</si>
  <si>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</si>
  <si>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</si>
  <si>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</si>
  <si>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</si>
  <si>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</si>
  <si>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24-Feb-26 10:34 AM</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</si>
  <si>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</si>
  <si>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</si>
  <si>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</si>
  <si>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</si>
  <si>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</si>
  <si>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</si>
  <si>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</si>
  <si>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</si>
  <si>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</si>
  <si>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</si>
  <si>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</si>
  <si>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</si>
  <si>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</si>
  <si>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</si>
  <si>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</si>
  <si>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</si>
  <si>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</si>
  <si>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</si>
  <si>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</si>
  <si>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</si>
  <si>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</si>
  <si>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</si>
  <si>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</si>
  <si>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</si>
  <si>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</si>
  <si>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</si>
  <si>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</si>
  <si>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</si>
  <si>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</si>
  <si>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</si>
  <si>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24-Feb-26 12:31 PM</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</si>
  <si>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</si>
  <si>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</si>
  <si>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</si>
  <si>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</si>
  <si>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</si>
  <si>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</si>
  <si>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</si>
  <si>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</si>
  <si>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</si>
  <si>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</si>
  <si>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</si>
  <si>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</si>
  <si>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</si>
  <si>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</si>
  <si>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</si>
  <si>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</si>
  <si>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</si>
  <si>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</si>
  <si>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</si>
  <si>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</si>
  <si>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</si>
  <si>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</si>
  <si>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</si>
  <si>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</si>
  <si>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</si>
  <si>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</si>
  <si>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</si>
  <si>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</si>
  <si>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</si>
  <si>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</si>
  <si>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</si>
  <si>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</si>
  <si>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</si>
  <si>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</si>
  <si>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</si>
  <si>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</si>
  <si>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</si>
  <si>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24-Feb-26 12:47 PM</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</si>
  <si>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</si>
  <si>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</si>
  <si>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</si>
  <si>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</si>
  <si>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</si>
  <si>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</si>
  <si>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</si>
  <si>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</si>
  <si>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</si>
  <si>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</si>
  <si>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</si>
  <si>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</si>
  <si>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</si>
  <si>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</si>
  <si>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</si>
  <si>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</si>
  <si>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</si>
  <si>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</si>
  <si>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</si>
  <si>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24-Feb-26 01:02 PM</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</si>
  <si>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</si>
  <si>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</si>
  <si>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</si>
  <si>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</si>
  <si>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</si>
  <si>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</si>
  <si>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</si>
  <si>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</si>
  <si>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</si>
  <si>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</si>
  <si>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</si>
  <si>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</si>
  <si>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</si>
  <si>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</si>
  <si>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</si>
  <si>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</si>
  <si>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</si>
  <si>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</si>
  <si>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24-Feb-26 01:32 PM</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</si>
  <si>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</si>
  <si>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</si>
  <si>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</si>
  <si>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</si>
  <si>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</si>
  <si>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</si>
  <si>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</si>
  <si>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</si>
  <si>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</si>
  <si>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</si>
  <si>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</si>
  <si>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</si>
  <si>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</si>
  <si>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</si>
  <si>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</si>
  <si>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</si>
  <si>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</si>
  <si>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</si>
  <si>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</si>
  <si>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</si>
  <si>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</si>
  <si>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</si>
  <si>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</si>
  <si>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24-Feb-26 02:03 PM</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</si>
  <si>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</si>
  <si>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</si>
  <si>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</si>
  <si>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</si>
  <si>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</si>
  <si>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</si>
  <si>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</si>
  <si>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</si>
  <si>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</si>
  <si>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</si>
  <si>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</si>
  <si>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</si>
  <si>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</si>
  <si>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</si>
  <si>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</si>
  <si>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</si>
  <si>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</si>
  <si>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</si>
  <si>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</si>
  <si>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24-Feb-26 02:34 PM</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</si>
  <si>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</si>
  <si>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</si>
  <si>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</si>
  <si>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</si>
  <si>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</si>
  <si>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</si>
  <si>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</si>
  <si>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</si>
  <si>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</si>
  <si>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</si>
  <si>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</si>
  <si>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</si>
  <si>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</si>
  <si>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</si>
  <si>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</si>
  <si>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24-Feb-26 03:02 PM</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</si>
  <si>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</si>
  <si>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</si>
  <si>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</si>
  <si>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</si>
  <si>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</si>
  <si>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</si>
  <si>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</si>
  <si>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</si>
  <si>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</si>
  <si>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</si>
  <si>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</si>
  <si>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</si>
  <si>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</si>
  <si>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</si>
  <si>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</si>
  <si>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</si>
  <si>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</si>
  <si>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</si>
  <si>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</si>
  <si>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24-Feb-26 03:05 PM</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</si>
  <si>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</si>
  <si>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</si>
  <si>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</si>
  <si>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</si>
  <si>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</si>
  <si>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</si>
  <si>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</si>
  <si>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</si>
  <si>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</si>
  <si>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</si>
  <si>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</si>
  <si>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</si>
  <si>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</si>
  <si>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</si>
  <si>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</si>
  <si>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</si>
  <si>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</si>
  <si>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</si>
  <si>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</si>
  <si>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</si>
  <si>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</si>
  <si>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</si>
  <si>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</si>
  <si>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</si>
  <si>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</si>
  <si>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</si>
  <si>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</si>
  <si>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</si>
  <si>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</si>
  <si>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</si>
  <si>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</si>
  <si>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</si>
  <si>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</si>
  <si>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</si>
  <si>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24-Feb-26 03:12 PM</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</si>
  <si>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</si>
  <si>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</si>
  <si>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</si>
  <si>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</si>
  <si>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</si>
  <si>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</si>
  <si>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</si>
  <si>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</si>
  <si>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</si>
  <si>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</si>
  <si>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</si>
  <si>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</si>
  <si>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</si>
  <si>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</si>
  <si>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</si>
  <si>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</si>
  <si>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</si>
  <si>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</si>
  <si>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</si>
  <si>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</si>
  <si>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</si>
  <si>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24-Feb-26 03:22 PM</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</si>
  <si>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</si>
  <si>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</si>
  <si>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</si>
  <si>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</si>
  <si>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</si>
  <si>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</si>
  <si>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</si>
  <si>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</si>
  <si>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</si>
  <si>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</si>
  <si>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</si>
  <si>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</si>
  <si>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</si>
  <si>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</si>
  <si>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</si>
  <si>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</si>
  <si>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</si>
  <si>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</si>
  <si>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</si>
  <si>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</si>
  <si>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24-Feb-26 03:26 PM</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</si>
  <si>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</si>
  <si>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</si>
  <si>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</si>
  <si>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</si>
  <si>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</si>
  <si>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</si>
  <si>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</si>
  <si>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</si>
  <si>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</si>
  <si>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</si>
  <si>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</si>
  <si>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</si>
  <si>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</si>
  <si>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</si>
  <si>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</si>
  <si>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</si>
  <si>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24-Feb-26 03:55 PM</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</si>
  <si>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</si>
  <si>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</si>
  <si>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</si>
  <si>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</si>
  <si>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</si>
  <si>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</si>
  <si>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</si>
  <si>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</si>
  <si>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</si>
  <si>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</si>
  <si>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</si>
  <si>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24-Feb-26 03:58 PM</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</si>
  <si>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</si>
  <si>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</si>
  <si>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</si>
  <si>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</si>
  <si>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</si>
  <si>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</si>
  <si>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</si>
  <si>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</si>
  <si>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</si>
  <si>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</si>
  <si>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</si>
  <si>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</si>
  <si>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</si>
  <si>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</si>
  <si>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</si>
  <si>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</si>
  <si>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</si>
  <si>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</si>
  <si>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</si>
  <si>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</si>
  <si>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24-Feb-26 05:01 PM</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</si>
  <si>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</si>
  <si>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</si>
  <si>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</si>
  <si>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</si>
  <si>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</si>
  <si>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</si>
  <si>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</si>
  <si>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</si>
  <si>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</si>
  <si>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</si>
  <si>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</si>
  <si>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</si>
  <si>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</si>
  <si>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</si>
  <si>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</si>
  <si>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24-Feb-26 05:50 PM</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</si>
  <si>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</si>
  <si>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</si>
  <si>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</si>
  <si>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</si>
  <si>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</si>
  <si>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</si>
  <si>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</si>
  <si>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</si>
  <si>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</si>
  <si>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</si>
  <si>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</si>
  <si>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</si>
  <si>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</si>
  <si>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</si>
  <si>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</si>
  <si>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</si>
  <si>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</si>
  <si>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</si>
  <si>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</si>
  <si>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</si>
  <si>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</si>
  <si>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</si>
  <si>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</si>
  <si>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</si>
  <si>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</si>
  <si>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</si>
  <si>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</si>
  <si>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24-Feb-26 06:18 PM</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</si>
  <si>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</si>
  <si>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</si>
  <si>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</si>
  <si>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</si>
  <si>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</si>
  <si>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</si>
  <si>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</si>
  <si>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</si>
  <si>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</si>
  <si>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</si>
  <si>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</si>
  <si>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</si>
  <si>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</si>
  <si>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</si>
  <si>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</si>
  <si>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</si>
  <si>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</si>
  <si>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</si>
  <si>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</si>
  <si>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</si>
  <si>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</si>
  <si>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</si>
  <si>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</si>
  <si>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</si>
  <si>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</si>
  <si>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</si>
  <si>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</si>
  <si>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</si>
  <si>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</si>
  <si>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</si>
  <si>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</si>
  <si>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</si>
  <si>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</si>
  <si>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</si>
  <si>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</si>
  <si>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</si>
  <si>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</si>
  <si>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</si>
  <si>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</si>
  <si>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</si>
  <si>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</si>
  <si>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</si>
  <si>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</si>
  <si>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</si>
  <si>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</si>
  <si>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</si>
  <si>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</si>
  <si>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</si>
  <si>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</si>
  <si>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</si>
  <si>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</si>
  <si>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</si>
  <si>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</si>
  <si>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</si>
  <si>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</si>
  <si>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</si>
  <si>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</si>
  <si>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24-Feb-26 09:35 PM</t>
  </si>
  <si>
    <t>Satish Motiram Dhote</t>
  </si>
  <si>
    <t>Satish.dhote2000@gmail.com</t>
  </si>
  <si>
    <t>04-Feb-1983</t>
  </si>
  <si>
    <t>Motiram</t>
  </si>
  <si>
    <t>Flat No 201 A wing Venkatesh Navita Ambegaon Kh Pune 411046 Maharashtra</t>
  </si>
  <si>
    <t>Somalwar High School</t>
  </si>
  <si>
    <t>Nagpur</t>
  </si>
  <si>
    <t>English,Science, Maths, Marathi</t>
  </si>
  <si>
    <t>Shri Datta Meghe Polytechnic</t>
  </si>
  <si>
    <t>Yeshwantrao College of Engineering</t>
  </si>
  <si>
    <t>• Paper Publication in National &amp; International Journals</t>
  </si>
  <si>
    <t>Autocad, Staad Pro</t>
  </si>
  <si>
    <t>24-Feb-26 09:39 PM</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</si>
  <si>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</si>
  <si>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</si>
  <si>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</si>
  <si>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</si>
  <si>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</si>
  <si>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</si>
  <si>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</si>
  <si>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</si>
  <si>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</si>
  <si>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</si>
  <si>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</si>
  <si>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</si>
  <si>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</si>
  <si>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</si>
  <si>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</si>
  <si>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</si>
  <si>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</si>
  <si>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</si>
  <si>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</si>
  <si>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</si>
  <si>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24-Feb-26 09:49 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</si>
  <si>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</si>
  <si>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</si>
  <si>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</si>
  <si>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</si>
  <si>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</si>
  <si>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</si>
  <si>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</si>
  <si>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</si>
  <si>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</si>
  <si>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</si>
  <si>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</si>
  <si>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</si>
  <si>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</si>
  <si>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</si>
  <si>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</si>
  <si>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</si>
  <si>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</si>
  <si>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</si>
  <si>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</si>
  <si>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</si>
  <si>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</si>
  <si>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</si>
  <si>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</si>
  <si>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</si>
  <si>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</si>
  <si>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</si>
  <si>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</si>
  <si>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</si>
  <si>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</si>
  <si>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</si>
  <si>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</si>
  <si>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</si>
  <si>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</si>
  <si>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</si>
  <si>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25-Feb-26 08:42 AM</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</si>
  <si>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</si>
  <si>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</si>
  <si>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</si>
  <si>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</si>
  <si>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</si>
  <si>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</si>
  <si>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</si>
  <si>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</si>
  <si>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</si>
  <si>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</si>
  <si>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</si>
  <si>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</si>
  <si>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</si>
  <si>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</si>
  <si>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</si>
  <si>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</si>
  <si>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</si>
  <si>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</si>
  <si>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</si>
  <si>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</si>
  <si>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</si>
  <si>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</si>
  <si>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</si>
  <si>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</si>
  <si>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</si>
  <si>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</si>
  <si>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</si>
  <si>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</si>
  <si>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</si>
  <si>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</si>
  <si>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</si>
  <si>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</si>
  <si>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</si>
  <si>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</si>
  <si>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</si>
  <si>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</si>
  <si>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</si>
  <si>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</si>
  <si>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</si>
  <si>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</si>
  <si>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25-Feb-26 11:22 AM</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</si>
  <si>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</si>
  <si>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</si>
  <si>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</si>
  <si>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</si>
  <si>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</si>
  <si>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</si>
  <si>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</si>
  <si>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</si>
  <si>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</si>
  <si>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</si>
  <si>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</si>
  <si>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</si>
  <si>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</si>
  <si>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</si>
  <si>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</si>
  <si>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</si>
  <si>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25-Feb-26 11:39 AM</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</si>
  <si>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</si>
  <si>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</si>
  <si>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</si>
  <si>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</si>
  <si>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</si>
  <si>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</si>
  <si>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</si>
  <si>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</si>
  <si>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</si>
  <si>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</si>
  <si>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</si>
  <si>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PUNE</t>
  </si>
  <si>
    <t xml:space="preserve">bcom </t>
  </si>
  <si>
    <t xml:space="preserve">Pune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</si>
  <si>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</si>
  <si>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</si>
  <si>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</si>
  <si>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</si>
  <si>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25-Feb-26 12:01 PM</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</si>
  <si>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</si>
  <si>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</si>
  <si>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</si>
  <si>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</si>
  <si>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</si>
  <si>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</si>
  <si>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</si>
  <si>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</si>
  <si>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</si>
  <si>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</si>
  <si>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</si>
  <si>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</si>
  <si>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</si>
  <si>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</si>
  <si>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</si>
  <si>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</si>
  <si>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</si>
  <si>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</si>
  <si>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25-Feb-26 12:11 PM</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</si>
  <si>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</si>
  <si>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</si>
  <si>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</si>
  <si>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</si>
  <si>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</si>
  <si>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</si>
  <si>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</si>
  <si>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</si>
  <si>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</si>
  <si>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</si>
  <si>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</si>
  <si>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</si>
  <si>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</si>
  <si>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</si>
  <si>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</si>
  <si>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</si>
  <si>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</si>
  <si>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</si>
  <si>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</si>
  <si>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</si>
  <si>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</si>
  <si>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</si>
  <si>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</si>
  <si>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25-Feb-26 12:30 PM</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</si>
  <si>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</si>
  <si>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</si>
  <si>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</si>
  <si>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</si>
  <si>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</si>
  <si>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</si>
  <si>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</si>
  <si>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</si>
  <si>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</si>
  <si>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</si>
  <si>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</si>
  <si>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</si>
  <si>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</si>
  <si>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</si>
  <si>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</si>
  <si>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</si>
  <si>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</si>
  <si>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</si>
  <si>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</si>
  <si>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</si>
  <si>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25-Feb-26 12:39 PM</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</si>
  <si>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</si>
  <si>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</si>
  <si>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</si>
  <si>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</si>
  <si>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</si>
  <si>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</si>
  <si>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</si>
  <si>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</si>
  <si>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</si>
  <si>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</si>
  <si>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</si>
  <si>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</si>
  <si>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</si>
  <si>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</si>
  <si>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</si>
  <si>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</si>
  <si>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</si>
  <si>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</si>
  <si>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</si>
  <si>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</si>
  <si>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25-Feb-26 12:51 PM</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</si>
  <si>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</si>
  <si>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</si>
  <si>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</si>
  <si>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</si>
  <si>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</si>
  <si>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</si>
  <si>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</si>
  <si>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</si>
  <si>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</si>
  <si>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</si>
  <si>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</si>
  <si>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25-Feb-26 12:53 PM</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</si>
  <si>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</si>
  <si>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</si>
  <si>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</si>
  <si>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</si>
  <si>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</si>
  <si>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</si>
  <si>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</si>
  <si>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</si>
  <si>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</si>
  <si>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</si>
  <si>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</si>
  <si>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</si>
  <si>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</si>
  <si>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</si>
  <si>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</si>
  <si>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</si>
  <si>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</si>
  <si>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</si>
  <si>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</si>
  <si>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25-Feb-26 01:08 PM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</si>
  <si>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</si>
  <si>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</si>
  <si>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</si>
  <si>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</si>
  <si>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</si>
  <si>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</si>
  <si>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</si>
  <si>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</si>
  <si>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</si>
  <si>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</si>
  <si>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</si>
  <si>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</si>
  <si>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</si>
  <si>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</si>
  <si>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</si>
  <si>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</si>
  <si>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</si>
  <si>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25-Feb-26 01:10 PM</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</si>
  <si>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</si>
  <si>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</si>
  <si>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</si>
  <si>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</si>
  <si>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</si>
  <si>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</si>
  <si>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</si>
  <si>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</si>
  <si>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VIT Vellore</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</si>
  <si>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</si>
  <si>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</si>
  <si>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</si>
  <si>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</si>
  <si>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</si>
  <si>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25-Feb-26 01:15 PM</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</si>
  <si>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</si>
  <si>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</si>
  <si>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</si>
  <si>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</si>
  <si>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</si>
  <si>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</si>
  <si>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</si>
  <si>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</si>
  <si>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</si>
  <si>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</si>
  <si>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</si>
  <si>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</si>
  <si>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</si>
  <si>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</si>
  <si>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25-Feb-26 01:27 PM</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</si>
  <si>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</si>
  <si>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</si>
  <si>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</si>
  <si>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</si>
  <si>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</si>
  <si>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</si>
  <si>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</si>
  <si>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</si>
  <si>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</si>
  <si>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</si>
  <si>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</si>
  <si>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</si>
  <si>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</si>
  <si>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25-Feb-26 02:04 PM</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</si>
  <si>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</si>
  <si>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</si>
  <si>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</si>
  <si>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</si>
  <si>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</si>
  <si>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</si>
  <si>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</si>
  <si>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</si>
  <si>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</si>
  <si>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</si>
  <si>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</si>
  <si>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</si>
  <si>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</si>
  <si>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Techno India University</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</si>
  <si>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</si>
  <si>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</si>
  <si>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</si>
  <si>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</si>
  <si>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</si>
  <si>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25-Feb-26 02:17 PM</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</si>
  <si>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</si>
  <si>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</si>
  <si>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</si>
  <si>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</si>
  <si>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</si>
  <si>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</si>
  <si>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</si>
  <si>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</si>
  <si>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</si>
  <si>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</si>
  <si>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</si>
  <si>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</si>
  <si>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</si>
  <si>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</si>
  <si>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</si>
  <si>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</si>
  <si>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</si>
  <si>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25-Feb-26 02:18 PM</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</si>
  <si>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</si>
  <si>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</si>
  <si>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</si>
  <si>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</si>
  <si>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</si>
  <si>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</si>
  <si>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</si>
  <si>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</si>
  <si>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</si>
  <si>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</si>
  <si>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</si>
  <si>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</si>
  <si>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25-Feb-26 02:21 PM</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</si>
  <si>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</si>
  <si>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</si>
  <si>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</si>
  <si>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</si>
  <si>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</si>
  <si>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</si>
  <si>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</si>
  <si>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</si>
  <si>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</si>
  <si>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</si>
  <si>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</si>
  <si>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</si>
  <si>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</si>
  <si>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</si>
  <si>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</si>
  <si>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</si>
  <si>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</si>
  <si>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</si>
  <si>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</si>
  <si>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</si>
  <si>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</si>
  <si>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</si>
  <si>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</si>
  <si>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</si>
  <si>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</si>
  <si>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</si>
  <si>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</si>
  <si>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</si>
  <si>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</si>
  <si>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</si>
  <si>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</si>
  <si>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</si>
  <si>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</si>
  <si>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</si>
  <si>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</si>
  <si>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</si>
  <si>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</si>
  <si>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</si>
  <si>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</si>
  <si>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</si>
  <si>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25-Feb-26 03:02 PM</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</si>
  <si>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</si>
  <si>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</si>
  <si>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</si>
  <si>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</si>
  <si>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</si>
  <si>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</si>
  <si>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</si>
  <si>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</si>
  <si>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</si>
  <si>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</si>
  <si>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</si>
  <si>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</si>
  <si>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</si>
  <si>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</si>
  <si>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</si>
  <si>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</si>
  <si>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</si>
  <si>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</si>
  <si>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</si>
  <si>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</si>
  <si>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</si>
  <si>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</si>
  <si>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</si>
  <si>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</si>
  <si>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</si>
  <si>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</si>
  <si>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</si>
  <si>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</si>
  <si>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</si>
  <si>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</si>
  <si>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</si>
  <si>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25-Feb-26 03:34 PM</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</si>
  <si>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</si>
  <si>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</si>
  <si>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</si>
  <si>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</si>
  <si>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</si>
  <si>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</si>
  <si>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</si>
  <si>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</si>
  <si>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</si>
  <si>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</si>
  <si>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</si>
  <si>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</si>
  <si>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</si>
  <si>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</si>
  <si>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</si>
  <si>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</si>
  <si>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</si>
  <si>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</si>
  <si>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25-Feb-26 03:45 PM</t>
  </si>
  <si>
    <t>25-Feb-26 03:57 PM</t>
  </si>
  <si>
    <t>25-Feb-26 03:58 PM</t>
  </si>
  <si>
    <t>25-Feb-26 03:59 PM</t>
  </si>
  <si>
    <t>Apurba Pal</t>
  </si>
  <si>
    <t>apurbapal1992@gmail.com</t>
  </si>
  <si>
    <t>01-May-1992</t>
  </si>
  <si>
    <t>Dinesh Pal</t>
  </si>
  <si>
    <t>Barjora, Bankura, West Bengal, PIN-722202</t>
  </si>
  <si>
    <t>Krishnanagar High School</t>
  </si>
  <si>
    <t>West Bengal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</si>
  <si>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</si>
  <si>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</si>
  <si>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</si>
  <si>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</si>
  <si>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</si>
  <si>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</si>
  <si>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</si>
  <si>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25-Feb-26 04:06 PM</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</si>
  <si>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</si>
  <si>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</si>
  <si>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</si>
  <si>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</si>
  <si>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</si>
  <si>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</si>
  <si>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</si>
  <si>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</si>
  <si>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</si>
  <si>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</si>
  <si>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</si>
  <si>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</si>
  <si>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</si>
  <si>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</si>
  <si>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</si>
  <si>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</si>
  <si>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</si>
  <si>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</si>
  <si>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</si>
  <si>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</si>
  <si>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</si>
  <si>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25-Feb-26 04:44 PM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</si>
  <si>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</si>
  <si>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</si>
  <si>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</si>
  <si>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</si>
  <si>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</si>
  <si>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</si>
  <si>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</si>
  <si>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</si>
  <si>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</si>
  <si>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</si>
  <si>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</si>
  <si>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</si>
  <si>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</si>
  <si>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</si>
  <si>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</si>
  <si>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</si>
  <si>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</si>
  <si>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25-Feb-26 06:40 PM</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</si>
  <si>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</si>
  <si>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</si>
  <si>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</si>
  <si>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</si>
  <si>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</si>
  <si>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</si>
  <si>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</si>
  <si>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</si>
  <si>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</si>
  <si>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</si>
  <si>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</si>
  <si>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</si>
  <si>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</si>
  <si>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</si>
  <si>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</si>
  <si>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 No</t>
  </si>
  <si>
    <t>25-Feb-26 06:59 PM</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</si>
  <si>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</si>
  <si>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</si>
  <si>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</si>
  <si>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</si>
  <si>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</si>
  <si>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</si>
  <si>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</si>
  <si>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</si>
  <si>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</si>
  <si>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</si>
  <si>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</si>
  <si>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</si>
  <si>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</si>
  <si>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</si>
  <si>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</si>
  <si>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</si>
  <si>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</si>
  <si>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</si>
  <si>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</si>
  <si>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25-Feb-26 07:14 PM</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</si>
  <si>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</si>
  <si>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</si>
  <si>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</si>
  <si>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</si>
  <si>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</si>
  <si>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</si>
  <si>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</si>
  <si>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</si>
  <si>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</si>
  <si>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</si>
  <si>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</si>
  <si>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</si>
  <si>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</si>
  <si>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</si>
  <si>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</si>
  <si>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</si>
  <si>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</si>
  <si>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</si>
  <si>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25-Feb-26 07:53 PM</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</si>
  <si>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</si>
  <si>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</si>
  <si>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</si>
  <si>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</si>
  <si>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</si>
  <si>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</si>
  <si>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</si>
  <si>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</si>
  <si>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</si>
  <si>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</si>
  <si>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</si>
  <si>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</si>
  <si>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</si>
  <si>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</si>
  <si>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</si>
  <si>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25-Feb-26 07:57 PM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</si>
  <si>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</si>
  <si>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</si>
  <si>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</si>
  <si>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</si>
  <si>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</si>
  <si>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</si>
  <si>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</si>
  <si>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</si>
  <si>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</si>
  <si>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</si>
  <si>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</si>
  <si>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</si>
  <si>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</si>
  <si>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</si>
  <si>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</si>
  <si>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</si>
  <si>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</si>
  <si>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</si>
  <si>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25-Feb-26 09:08 PM</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</si>
  <si>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</si>
  <si>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</si>
  <si>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</si>
  <si>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</si>
  <si>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</si>
  <si>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</si>
  <si>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</si>
  <si>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</si>
  <si>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</si>
  <si>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</si>
  <si>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</si>
  <si>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</si>
  <si>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</si>
  <si>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</si>
  <si>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25-Feb-26 10:11 PM</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</si>
  <si>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</si>
  <si>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</si>
  <si>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</si>
  <si>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</si>
  <si>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</si>
  <si>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</si>
  <si>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</si>
  <si>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</si>
  <si>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</si>
  <si>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</si>
  <si>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</si>
  <si>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</si>
  <si>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</si>
  <si>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</si>
  <si>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</si>
  <si>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25-Feb-26 10:41 PM</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</si>
  <si>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</si>
  <si>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</si>
  <si>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</si>
  <si>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</si>
  <si>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</si>
  <si>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</si>
  <si>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</si>
  <si>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</si>
  <si>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</si>
  <si>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</si>
  <si>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</si>
  <si>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</si>
  <si>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</si>
  <si>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</si>
  <si>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</si>
  <si>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</si>
  <si>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</si>
  <si>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</si>
  <si>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</si>
  <si>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25-Feb-26 11:13 PM</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</si>
  <si>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</si>
  <si>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</si>
  <si>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</si>
  <si>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</si>
  <si>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</si>
  <si>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</si>
  <si>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</si>
  <si>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</si>
  <si>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</si>
  <si>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</si>
  <si>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</si>
  <si>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</si>
  <si>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</si>
  <si>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</si>
  <si>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</si>
  <si>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</si>
  <si>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</si>
  <si>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</si>
  <si>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</si>
  <si>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</si>
  <si>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</si>
  <si>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25-Feb-26 11:38 PM</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</si>
  <si>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</si>
  <si>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</si>
  <si>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</si>
  <si>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</si>
  <si>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</si>
  <si>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</si>
  <si>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</si>
  <si>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</si>
  <si>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</si>
  <si>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</si>
  <si>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</si>
  <si>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</si>
  <si>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</si>
  <si>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</si>
  <si>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</si>
  <si>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</si>
  <si>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</si>
  <si>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</si>
  <si>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</si>
  <si>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</si>
  <si>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</si>
  <si>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</si>
  <si>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</si>
  <si>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</si>
  <si>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</si>
  <si>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</si>
  <si>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</si>
  <si>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26-Feb-26 03:23 AM</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</si>
  <si>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</si>
  <si>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</si>
  <si>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</si>
  <si>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</si>
  <si>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</si>
  <si>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</si>
  <si>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</si>
  <si>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</si>
  <si>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</si>
  <si>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</si>
  <si>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</si>
  <si>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</si>
  <si>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</si>
  <si>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</si>
  <si>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</si>
  <si>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</si>
  <si>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</si>
  <si>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26-Feb-26 10:09 AM</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</si>
  <si>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</si>
  <si>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</si>
  <si>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</si>
  <si>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</si>
  <si>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</si>
  <si>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</si>
  <si>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</si>
  <si>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</si>
  <si>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</si>
  <si>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</si>
  <si>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</si>
  <si>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</si>
  <si>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26-Feb-26 10:35 AM</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</si>
  <si>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</si>
  <si>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</si>
  <si>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</si>
  <si>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</si>
  <si>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</si>
  <si>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</si>
  <si>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</si>
  <si>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</si>
  <si>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</si>
  <si>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</si>
  <si>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</si>
  <si>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</si>
  <si>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</si>
  <si>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</si>
  <si>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</si>
  <si>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</si>
  <si>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</si>
  <si>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</si>
  <si>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</si>
  <si>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26-Feb-26 10:38 AM</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</si>
  <si>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</si>
  <si>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</si>
  <si>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</si>
  <si>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</si>
  <si>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</si>
  <si>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</si>
  <si>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</si>
  <si>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</si>
  <si>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</si>
  <si>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</si>
  <si>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</si>
  <si>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</si>
  <si>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</si>
  <si>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</si>
  <si>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</si>
  <si>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</si>
  <si>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</si>
  <si>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</si>
  <si>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</si>
  <si>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</si>
  <si>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26-Feb-26 10:39 AM</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</si>
  <si>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</si>
  <si>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</si>
  <si>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</si>
  <si>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</si>
  <si>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</si>
  <si>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</si>
  <si>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</si>
  <si>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</si>
  <si>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</si>
  <si>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</si>
  <si>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</si>
  <si>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</si>
  <si>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</si>
  <si>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</si>
  <si>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</si>
  <si>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</si>
  <si>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</si>
  <si>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</si>
  <si>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</si>
  <si>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</si>
  <si>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</si>
  <si>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26-Feb-26 10:58 AM</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</si>
  <si>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</si>
  <si>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</si>
  <si>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</si>
  <si>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</si>
  <si>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</si>
  <si>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</si>
  <si>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</si>
  <si>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</si>
  <si>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</si>
  <si>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</si>
  <si>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</si>
  <si>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</si>
  <si>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</si>
  <si>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</si>
  <si>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</si>
  <si>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</si>
  <si>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</si>
  <si>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</si>
  <si>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</si>
  <si>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</si>
  <si>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</si>
  <si>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</si>
  <si>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</si>
  <si>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</si>
  <si>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</si>
  <si>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</si>
  <si>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</si>
  <si>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</si>
  <si>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</si>
  <si>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</si>
  <si>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</si>
  <si>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</si>
  <si>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</si>
  <si>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</si>
  <si>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</si>
  <si>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</si>
  <si>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</si>
  <si>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</si>
  <si>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</si>
  <si>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</si>
  <si>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</si>
  <si>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</si>
  <si>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26-Feb-26 11:33 AM</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</si>
  <si>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</si>
  <si>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</si>
  <si>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</si>
  <si>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</si>
  <si>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</si>
  <si>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</si>
  <si>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</si>
  <si>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</si>
  <si>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</si>
  <si>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</si>
  <si>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</si>
  <si>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</si>
  <si>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</si>
  <si>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</si>
  <si>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</si>
  <si>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</si>
  <si>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</si>
  <si>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</si>
  <si>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</si>
  <si>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</si>
  <si>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</si>
  <si>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</si>
  <si>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</si>
  <si>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</si>
  <si>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</si>
  <si>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</si>
  <si>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</si>
  <si>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</si>
  <si>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</si>
  <si>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</si>
  <si>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</si>
  <si>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</si>
  <si>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</si>
  <si>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</si>
  <si>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</si>
  <si>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VNIT Nagpur</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</si>
  <si>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</si>
  <si>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26-Feb-26 11:46 AM</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</si>
  <si>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</si>
  <si>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</si>
  <si>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</si>
  <si>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</si>
  <si>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</si>
  <si>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</si>
  <si>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</si>
  <si>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</si>
  <si>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</si>
  <si>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</si>
  <si>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</si>
  <si>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</si>
  <si>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</si>
  <si>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</si>
  <si>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</si>
  <si>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</si>
  <si>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</si>
  <si>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</si>
  <si>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</si>
  <si>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</si>
  <si>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</si>
  <si>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</si>
  <si>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</si>
  <si>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</si>
  <si>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</si>
  <si>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</si>
  <si>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</si>
  <si>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</si>
  <si>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</si>
  <si>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</si>
  <si>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</si>
  <si>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</si>
  <si>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</si>
  <si>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</si>
  <si>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</si>
  <si>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</si>
  <si>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</si>
  <si>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</si>
  <si>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</si>
  <si>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</si>
  <si>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</si>
  <si>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</si>
  <si>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</si>
  <si>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</si>
  <si>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</si>
  <si>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</si>
  <si>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</si>
  <si>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</si>
  <si>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</si>
  <si>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</si>
  <si>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</si>
  <si>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</si>
  <si>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</si>
  <si>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</si>
  <si>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</si>
  <si>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26-Feb-26 12:13 PM</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</si>
  <si>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</si>
  <si>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</si>
  <si>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</si>
  <si>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</si>
  <si>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</si>
  <si>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</si>
  <si>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</si>
  <si>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</si>
  <si>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</si>
  <si>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</si>
  <si>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</si>
  <si>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</si>
  <si>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</si>
  <si>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</si>
  <si>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</si>
  <si>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</si>
  <si>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</si>
  <si>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26-Feb-26 12:27 PM</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</si>
  <si>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</si>
  <si>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</si>
  <si>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</si>
  <si>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</si>
  <si>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</si>
  <si>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</si>
  <si>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</si>
  <si>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</si>
  <si>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</si>
  <si>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</si>
  <si>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</si>
  <si>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</si>
  <si>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</si>
  <si>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</si>
  <si>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</si>
  <si>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</si>
  <si>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</si>
  <si>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</si>
  <si>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</si>
  <si>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26-Feb-26 12:47 PM</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</si>
  <si>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</si>
  <si>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</si>
  <si>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</si>
  <si>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</si>
  <si>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</si>
  <si>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</si>
  <si>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</si>
  <si>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</si>
  <si>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</si>
  <si>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</si>
  <si>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</si>
  <si>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</si>
  <si>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</si>
  <si>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</si>
  <si>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</si>
  <si>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</si>
  <si>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</si>
  <si>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</si>
  <si>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</si>
  <si>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</si>
  <si>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</si>
  <si>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26-Feb-26 12:53 PM</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</si>
  <si>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</si>
  <si>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</si>
  <si>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</si>
  <si>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</si>
  <si>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</si>
  <si>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</si>
  <si>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</si>
  <si>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</si>
  <si>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</si>
  <si>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</si>
  <si>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</si>
  <si>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</si>
  <si>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</si>
  <si>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</si>
  <si>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</si>
  <si>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</si>
  <si>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</si>
  <si>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</si>
  <si>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</si>
  <si>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</si>
  <si>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</si>
  <si>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</si>
  <si>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26-Feb-26 01:13 PM</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</si>
  <si>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</si>
  <si>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</si>
  <si>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</si>
  <si>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</si>
  <si>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</si>
  <si>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</si>
  <si>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</si>
  <si>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</si>
  <si>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</si>
  <si>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</si>
  <si>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</si>
  <si>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</si>
  <si>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</si>
  <si>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</si>
  <si>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</si>
  <si>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</si>
  <si>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</si>
  <si>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</si>
  <si>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</si>
  <si>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Amruta Shrikrishna Garud</t>
  </si>
  <si>
    <t>amrutagarud.iitb@gmail.com</t>
  </si>
  <si>
    <t>21-Sep-1989</t>
  </si>
  <si>
    <t>Marathi, English,Hindi</t>
  </si>
  <si>
    <t>Omkar Anil Gune</t>
  </si>
  <si>
    <t>Flat D5 A301, Rahul Park, Atul Nagar, Warje, Pune</t>
  </si>
  <si>
    <t>Manas Marathe</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</si>
  <si>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</si>
  <si>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</si>
  <si>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</si>
  <si>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</si>
  <si>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</si>
  <si>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</si>
  <si>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</si>
  <si>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</si>
  <si>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</si>
  <si>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</si>
  <si>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</si>
  <si>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</si>
  <si>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26-Feb-26 02:40 PM</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</si>
  <si>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</si>
  <si>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</si>
  <si>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</si>
  <si>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</si>
  <si>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</si>
  <si>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</si>
  <si>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</si>
  <si>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</si>
  <si>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</si>
  <si>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</si>
  <si>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</si>
  <si>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</si>
  <si>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</si>
  <si>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</si>
  <si>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</si>
  <si>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</si>
  <si>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</si>
  <si>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</si>
  <si>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</si>
  <si>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</si>
  <si>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</si>
  <si>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</si>
  <si>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</si>
  <si>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</si>
  <si>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</si>
  <si>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26-Feb-26 02:42 PM</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</si>
  <si>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</si>
  <si>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</si>
  <si>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</si>
  <si>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</si>
  <si>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</si>
  <si>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</si>
  <si>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</si>
  <si>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</si>
  <si>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</si>
  <si>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</si>
  <si>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</si>
  <si>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</si>
  <si>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</si>
  <si>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</si>
  <si>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</si>
  <si>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</si>
  <si>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</si>
  <si>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</si>
  <si>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</si>
  <si>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</si>
  <si>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</si>
  <si>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26-Feb-26 02:43 PM</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</si>
  <si>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</si>
  <si>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</si>
  <si>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</si>
  <si>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</si>
  <si>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</si>
  <si>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</si>
  <si>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</si>
  <si>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</si>
  <si>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</si>
  <si>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</si>
  <si>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</si>
  <si>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</si>
  <si>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</si>
  <si>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</si>
  <si>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</si>
  <si>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</si>
  <si>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</si>
  <si>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</si>
  <si>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26-Feb-26 02:44 PM</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</si>
  <si>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</si>
  <si>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</si>
  <si>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</si>
  <si>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</si>
  <si>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</si>
  <si>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</si>
  <si>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</si>
  <si>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</si>
  <si>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</si>
  <si>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</si>
  <si>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</si>
  <si>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</si>
  <si>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</si>
  <si>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</si>
  <si>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</si>
  <si>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</si>
  <si>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26-Feb-26 03:02 PM</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</si>
  <si>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</si>
  <si>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</si>
  <si>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</si>
  <si>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</si>
  <si>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</si>
  <si>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</si>
  <si>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</si>
  <si>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</si>
  <si>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</si>
  <si>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</si>
  <si>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</si>
  <si>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</si>
  <si>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</si>
  <si>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26-Feb-26 03:10 PM</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</si>
  <si>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</si>
  <si>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</si>
  <si>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</si>
  <si>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</si>
  <si>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</si>
  <si>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</si>
  <si>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</si>
  <si>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</si>
  <si>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</si>
  <si>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</si>
  <si>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</si>
  <si>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</si>
  <si>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</si>
  <si>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</si>
  <si>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</si>
  <si>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</si>
  <si>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</si>
  <si>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</si>
  <si>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</si>
  <si>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</si>
  <si>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</si>
  <si>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</si>
  <si>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</si>
  <si>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</si>
  <si>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26-Feb-26 04:30 PM</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</si>
  <si>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</si>
  <si>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</si>
  <si>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</si>
  <si>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</si>
  <si>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</si>
  <si>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</si>
  <si>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</si>
  <si>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</si>
  <si>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</si>
  <si>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</si>
  <si>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</si>
  <si>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</si>
  <si>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</si>
  <si>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</si>
  <si>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</si>
  <si>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</si>
  <si>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</si>
  <si>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</si>
  <si>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</si>
  <si>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</si>
  <si>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</si>
  <si>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</si>
  <si>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26-Feb-26 04:43 PM</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</si>
  <si>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</si>
  <si>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</si>
  <si>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</si>
  <si>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</si>
  <si>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</si>
  <si>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</si>
  <si>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</si>
  <si>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</si>
  <si>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</si>
  <si>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</si>
  <si>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</si>
  <si>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</si>
  <si>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</si>
  <si>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</si>
  <si>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</si>
  <si>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</si>
  <si>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</si>
  <si>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</si>
  <si>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26-Feb-26 04:51 PM</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</si>
  <si>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</si>
  <si>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</si>
  <si>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</si>
  <si>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</si>
  <si>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</si>
  <si>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</si>
  <si>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</si>
  <si>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</si>
  <si>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</si>
  <si>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</si>
  <si>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</si>
  <si>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</si>
  <si>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</si>
  <si>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</si>
  <si>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</si>
  <si>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</si>
  <si>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</si>
  <si>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</si>
  <si>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</si>
  <si>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26-Feb-26 04:58 PM</t>
  </si>
  <si>
    <t>Jayesh Rameshbhai Juremalani</t>
  </si>
  <si>
    <t>jayesh1575@gmail.com</t>
  </si>
  <si>
    <t>15-Oct-1975</t>
  </si>
  <si>
    <t>RAMESHBHAI DHARMADAS JUREMALANI</t>
  </si>
  <si>
    <t>D 1002, Sahajanand Iris, Opp Mahalaxmi PArty plot, Manjalppur, Vadodara Gujarat, India 390011</t>
  </si>
  <si>
    <t>GSKV</t>
  </si>
  <si>
    <t>GSEB</t>
  </si>
  <si>
    <t>Saurashtra University</t>
  </si>
  <si>
    <t>L. E. College, Morbi</t>
  </si>
  <si>
    <t>Parul Institute of Engineering &amp; Technology</t>
  </si>
  <si>
    <t>Urban transportation Planning</t>
  </si>
  <si>
    <t xml:space="preserve">SPSS, VISSIM </t>
  </si>
  <si>
    <t>26-Feb-26 05:07 PM</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</si>
  <si>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</si>
  <si>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</si>
  <si>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</si>
  <si>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</si>
  <si>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</si>
  <si>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</si>
  <si>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</si>
  <si>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</si>
  <si>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</si>
  <si>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</si>
  <si>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</si>
  <si>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</si>
  <si>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</si>
  <si>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</si>
  <si>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</si>
  <si>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</si>
  <si>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</si>
  <si>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</si>
  <si>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</si>
  <si>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</si>
  <si>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</si>
  <si>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</si>
  <si>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</si>
  <si>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</si>
  <si>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</si>
  <si>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</si>
  <si>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26-Feb-26 05:44 PM</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</si>
  <si>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</si>
  <si>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</si>
  <si>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</si>
  <si>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</si>
  <si>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</si>
  <si>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</si>
  <si>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</si>
  <si>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</si>
  <si>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</si>
  <si>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</si>
  <si>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</si>
  <si>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</si>
  <si>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</si>
  <si>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</si>
  <si>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</si>
  <si>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</si>
  <si>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26-Feb-26 06:22 PM</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</si>
  <si>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</si>
  <si>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</si>
  <si>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</si>
  <si>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</si>
  <si>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</si>
  <si>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</si>
  <si>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</si>
  <si>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</si>
  <si>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</si>
  <si>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</si>
  <si>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</si>
  <si>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</si>
  <si>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</si>
  <si>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</si>
  <si>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</si>
  <si>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</si>
  <si>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</si>
  <si>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</si>
  <si>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</si>
  <si>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</si>
  <si>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</si>
  <si>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26-Feb-26 07:23 PM</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</si>
  <si>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</si>
  <si>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</si>
  <si>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</si>
  <si>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</si>
  <si>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</si>
  <si>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</si>
  <si>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</si>
  <si>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</si>
  <si>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</si>
  <si>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</si>
  <si>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</si>
  <si>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</si>
  <si>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</si>
  <si>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</si>
  <si>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</si>
  <si>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</si>
  <si>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</si>
  <si>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26-Feb-26 07:49 PM</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</si>
  <si>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</si>
  <si>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</si>
  <si>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</si>
  <si>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</si>
  <si>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</si>
  <si>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</si>
  <si>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</si>
  <si>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</si>
  <si>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</si>
  <si>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</si>
  <si>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</si>
  <si>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</si>
  <si>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</si>
  <si>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</si>
  <si>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26-Feb-26 09:50 PM</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</si>
  <si>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</si>
  <si>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</si>
  <si>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</si>
  <si>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</si>
  <si>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</si>
  <si>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</si>
  <si>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</si>
  <si>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</si>
  <si>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</si>
  <si>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</si>
  <si>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</si>
  <si>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</si>
  <si>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</si>
  <si>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</si>
  <si>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</si>
  <si>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</si>
  <si>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</si>
  <si>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</si>
  <si>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</si>
  <si>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</si>
  <si>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</si>
  <si>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</si>
  <si>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26-Feb-26 10:58 PM</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</si>
  <si>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</si>
  <si>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</si>
  <si>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</si>
  <si>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</si>
  <si>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</si>
  <si>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</si>
  <si>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</si>
  <si>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</si>
  <si>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</si>
  <si>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</si>
  <si>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</si>
  <si>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</si>
  <si>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</si>
  <si>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</si>
  <si>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</si>
  <si>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</si>
  <si>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</si>
  <si>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</si>
  <si>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26-Feb-26 11:41 PM</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</si>
  <si>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</si>
  <si>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</si>
  <si>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</si>
  <si>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</si>
  <si>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</si>
  <si>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</si>
  <si>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</si>
  <si>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</si>
  <si>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</si>
  <si>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</si>
  <si>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</si>
  <si>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</si>
  <si>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</si>
  <si>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</si>
  <si>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</si>
  <si>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</si>
  <si>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</si>
  <si>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</si>
  <si>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</si>
  <si>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</si>
  <si>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</si>
  <si>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</si>
  <si>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</si>
  <si>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</si>
  <si>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</si>
  <si>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</si>
  <si>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</si>
  <si>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</si>
  <si>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</si>
  <si>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</si>
  <si>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</si>
  <si>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</si>
  <si>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</si>
  <si>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</si>
  <si>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</si>
  <si>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</si>
  <si>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</si>
  <si>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</si>
  <si>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27-Feb-26 07:01 AM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</si>
</sst>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S557"/>
  <sheetViews>
    <sheetView tabSelected="1" workbookViewId="0" showGridLines="true" showRowColHeaders="1">
      <selection activeCell="A1" sqref="A1:CS1"/>
    </sheetView>
  </sheetViews>
  <sheetFormatPr defaultRowHeight="14.4" outlineLevelRow="0" outlineLevelCol="0"/>
  <cols>
    <col min="91" max="91" width="50" customWidth="true" style="0"/>
    <col min="93" max="93" width="50" customWidth="true" style="0"/>
  </cols>
  <sheetData>
    <row r="1" spans="1:9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row>
    <row r="2" spans="1:97">
      <c r="A2" t="s">
        <v>97</v>
      </c>
      <c r="B2" t="s">
        <v>98</v>
      </c>
      <c r="C2" t="s">
        <v>99</v>
      </c>
      <c r="D2" t="s">
        <v>100</v>
      </c>
      <c r="E2" t="s">
        <v>101</v>
      </c>
      <c r="F2" t="s">
        <v>102</v>
      </c>
      <c r="G2">
        <v>9945344722</v>
      </c>
      <c r="H2" t="s">
        <v>103</v>
      </c>
      <c r="I2" t="s">
        <v>104</v>
      </c>
      <c r="J2" t="s">
        <v>105</v>
      </c>
      <c r="K2" t="s">
        <v>106</v>
      </c>
      <c r="L2" t="s">
        <v>107</v>
      </c>
      <c r="M2" t="s">
        <v>108</v>
      </c>
      <c r="N2" t="s">
        <v>109</v>
      </c>
      <c r="AI2" t="s">
        <v>110</v>
      </c>
      <c r="AJ2" t="s">
        <v>111</v>
      </c>
      <c r="AK2" t="s">
        <v>112</v>
      </c>
      <c r="AL2">
        <v>81</v>
      </c>
      <c r="AN2">
        <v>1987</v>
      </c>
      <c r="AO2" t="s">
        <v>113</v>
      </c>
      <c r="AP2" t="s">
        <v>114</v>
      </c>
      <c r="AQ2" t="s">
        <v>115</v>
      </c>
      <c r="AR2" t="s">
        <v>116</v>
      </c>
      <c r="AS2">
        <v>81</v>
      </c>
      <c r="AU2">
        <v>1989</v>
      </c>
      <c r="AV2" t="s">
        <v>113</v>
      </c>
      <c r="AW2" t="s">
        <v>117</v>
      </c>
      <c r="AX2" t="s">
        <v>118</v>
      </c>
      <c r="AY2" t="s">
        <v>119</v>
      </c>
      <c r="AZ2">
        <v>67</v>
      </c>
      <c r="BB2">
        <v>1999</v>
      </c>
      <c r="BC2" t="s">
        <v>113</v>
      </c>
      <c r="BD2" t="s">
        <v>120</v>
      </c>
      <c r="BE2" t="s">
        <v>121</v>
      </c>
      <c r="BF2" t="s">
        <v>122</v>
      </c>
      <c r="BG2">
        <v>80</v>
      </c>
      <c r="BI2">
        <v>1992</v>
      </c>
      <c r="BJ2">
        <v>19</v>
      </c>
      <c r="BK2" t="s">
        <v>123</v>
      </c>
      <c r="BL2">
        <v>23</v>
      </c>
      <c r="BN2" t="s">
        <v>113</v>
      </c>
      <c r="BO2" t="s">
        <v>124</v>
      </c>
      <c r="BP2" t="s">
        <v>125</v>
      </c>
      <c r="BQ2" t="s">
        <v>126</v>
      </c>
      <c r="BR2">
        <v>68</v>
      </c>
      <c r="BT2">
        <v>2013</v>
      </c>
      <c r="BU2">
        <v>31</v>
      </c>
      <c r="BV2" t="s">
        <v>127</v>
      </c>
      <c r="BW2">
        <v>23</v>
      </c>
      <c r="BY2" t="s">
        <v>113</v>
      </c>
      <c r="BZ2" t="s">
        <v>128</v>
      </c>
      <c r="CA2" t="s">
        <v>128</v>
      </c>
      <c r="CB2" t="s">
        <v>129</v>
      </c>
      <c r="CC2">
        <v>60</v>
      </c>
      <c r="CE2">
        <v>1997</v>
      </c>
      <c r="CF2" t="s">
        <v>113</v>
      </c>
      <c r="CG2" t="s">
        <v>130</v>
      </c>
      <c r="CH2" t="s">
        <v>131</v>
      </c>
      <c r="CI2" t="s">
        <v>132</v>
      </c>
      <c r="CJ2">
        <v>2023</v>
      </c>
      <c r="CL2" t="s">
        <v>113</v>
      </c>
      <c r="CN2" t="s">
        <v>113</v>
      </c>
      <c r="CO2" t="s">
        <v>133</v>
      </c>
      <c r="CP2" t="s">
        <v>134</v>
      </c>
      <c r="CQ2" t="s">
        <v>135</v>
      </c>
      <c r="CR2" t="s">
        <v>136</v>
      </c>
      <c r="CS2" t="str">
        <f>HYPERLINK("https://nconnect.nicmar.ac.in/pdf/7_resume_1771384272.pdf/Y2FyZWVy","View Resume")</f>
        <v>0</v>
      </c>
    </row>
    <row r="3" spans="1:97">
      <c r="A3" t="s">
        <v>137</v>
      </c>
      <c r="B3" t="s">
        <v>138</v>
      </c>
      <c r="C3" t="s">
        <v>139</v>
      </c>
      <c r="D3" t="s">
        <v>140</v>
      </c>
      <c r="E3" t="s">
        <v>141</v>
      </c>
      <c r="F3" t="s">
        <v>142</v>
      </c>
      <c r="G3">
        <v>9643879596</v>
      </c>
      <c r="H3" t="s">
        <v>103</v>
      </c>
      <c r="I3" t="s">
        <v>143</v>
      </c>
      <c r="J3" t="s">
        <v>144</v>
      </c>
      <c r="K3" t="s">
        <v>145</v>
      </c>
      <c r="L3" t="s">
        <v>146</v>
      </c>
      <c r="M3" t="s">
        <v>147</v>
      </c>
      <c r="N3" t="s">
        <v>113</v>
      </c>
      <c r="O3" t="s">
        <v>148</v>
      </c>
      <c r="P3" t="s">
        <v>149</v>
      </c>
      <c r="AI3" t="s">
        <v>150</v>
      </c>
      <c r="AJ3" t="s">
        <v>151</v>
      </c>
      <c r="AK3" t="s">
        <v>152</v>
      </c>
      <c r="AL3">
        <v>62.6</v>
      </c>
      <c r="AN3">
        <v>2005</v>
      </c>
      <c r="AO3" t="s">
        <v>113</v>
      </c>
      <c r="AP3" t="s">
        <v>150</v>
      </c>
      <c r="AQ3" t="s">
        <v>151</v>
      </c>
      <c r="AR3" t="s">
        <v>153</v>
      </c>
      <c r="AS3">
        <v>68.2</v>
      </c>
      <c r="AU3">
        <v>2007</v>
      </c>
      <c r="AV3" t="s">
        <v>109</v>
      </c>
      <c r="BC3" t="s">
        <v>113</v>
      </c>
      <c r="BD3" t="s">
        <v>154</v>
      </c>
      <c r="BE3" t="s">
        <v>155</v>
      </c>
      <c r="BF3" t="s">
        <v>156</v>
      </c>
      <c r="BG3">
        <v>66.9</v>
      </c>
      <c r="BI3">
        <v>2011</v>
      </c>
      <c r="BJ3">
        <v>1</v>
      </c>
      <c r="BL3">
        <v>9</v>
      </c>
      <c r="BN3" t="s">
        <v>113</v>
      </c>
      <c r="BO3" t="s">
        <v>157</v>
      </c>
      <c r="BP3" t="s">
        <v>151</v>
      </c>
      <c r="BQ3" t="s">
        <v>158</v>
      </c>
      <c r="BR3">
        <v>72.95</v>
      </c>
      <c r="BT3">
        <v>2014</v>
      </c>
      <c r="BU3">
        <v>14</v>
      </c>
      <c r="BW3">
        <v>47</v>
      </c>
      <c r="BY3" t="s">
        <v>109</v>
      </c>
      <c r="CF3" t="s">
        <v>113</v>
      </c>
      <c r="CG3" t="s">
        <v>158</v>
      </c>
      <c r="CH3" t="s">
        <v>159</v>
      </c>
      <c r="CI3" t="s">
        <v>132</v>
      </c>
      <c r="CJ3">
        <v>2024</v>
      </c>
      <c r="CL3" t="s">
        <v>113</v>
      </c>
      <c r="CM3" t="s">
        <v>160</v>
      </c>
      <c r="CN3" t="s">
        <v>113</v>
      </c>
      <c r="CO3" t="s">
        <v>161</v>
      </c>
      <c r="CP3" t="s">
        <v>162</v>
      </c>
      <c r="CQ3" t="s">
        <v>163</v>
      </c>
      <c r="CR3" t="str">
        <f>HYPERLINK("https://nconnect.nicmar.ac.in/public/storage/profile/6996d45ac4fe8.png","Download")</f>
        <v>0</v>
      </c>
      <c r="CS3" t="str">
        <f>HYPERLINK("https://nconnect.nicmar.ac.in/pdf/10_resume_1771391068.pdf/Y2FyZWVy","View Resume")</f>
        <v>0</v>
      </c>
    </row>
    <row r="4" spans="1:97">
      <c r="A4" t="s">
        <v>164</v>
      </c>
      <c r="B4" t="s">
        <v>138</v>
      </c>
      <c r="C4" t="s">
        <v>165</v>
      </c>
      <c r="D4" t="s">
        <v>166</v>
      </c>
      <c r="E4" t="s">
        <v>167</v>
      </c>
      <c r="F4" t="s">
        <v>168</v>
      </c>
      <c r="G4">
        <v>9011934000</v>
      </c>
      <c r="H4" t="s">
        <v>169</v>
      </c>
      <c r="I4" t="s">
        <v>170</v>
      </c>
      <c r="J4" t="s">
        <v>105</v>
      </c>
      <c r="K4" t="s">
        <v>171</v>
      </c>
      <c r="L4" t="s">
        <v>172</v>
      </c>
      <c r="M4" t="s">
        <v>173</v>
      </c>
      <c r="N4" t="s">
        <v>109</v>
      </c>
      <c r="AI4" t="s">
        <v>174</v>
      </c>
      <c r="AJ4" t="s">
        <v>175</v>
      </c>
      <c r="AK4" t="s">
        <v>176</v>
      </c>
      <c r="AL4">
        <v>58</v>
      </c>
      <c r="AN4">
        <v>1993</v>
      </c>
      <c r="AO4" t="s">
        <v>113</v>
      </c>
      <c r="AP4" t="s">
        <v>174</v>
      </c>
      <c r="AQ4" t="s">
        <v>177</v>
      </c>
      <c r="AR4" t="s">
        <v>178</v>
      </c>
      <c r="AS4">
        <v>56</v>
      </c>
      <c r="AU4">
        <v>1996</v>
      </c>
      <c r="AV4" t="s">
        <v>109</v>
      </c>
      <c r="BC4" t="s">
        <v>113</v>
      </c>
      <c r="BD4" t="s">
        <v>179</v>
      </c>
      <c r="BE4" t="s">
        <v>180</v>
      </c>
      <c r="BF4" t="s">
        <v>181</v>
      </c>
      <c r="BG4">
        <v>56</v>
      </c>
      <c r="BI4">
        <v>1999</v>
      </c>
      <c r="BJ4">
        <v>19</v>
      </c>
      <c r="BL4">
        <v>53</v>
      </c>
      <c r="BN4" t="s">
        <v>113</v>
      </c>
      <c r="BO4" t="s">
        <v>182</v>
      </c>
      <c r="BP4" t="s">
        <v>183</v>
      </c>
      <c r="BQ4" t="s">
        <v>184</v>
      </c>
      <c r="BR4">
        <v>61</v>
      </c>
      <c r="BT4">
        <v>2001</v>
      </c>
      <c r="BU4">
        <v>31</v>
      </c>
      <c r="BW4">
        <v>53</v>
      </c>
      <c r="BY4" t="s">
        <v>109</v>
      </c>
      <c r="BZ4" t="s">
        <v>185</v>
      </c>
      <c r="CA4" t="s">
        <v>186</v>
      </c>
      <c r="CB4" t="s">
        <v>184</v>
      </c>
      <c r="CF4" t="s">
        <v>113</v>
      </c>
      <c r="CG4" t="s">
        <v>184</v>
      </c>
      <c r="CH4" t="s">
        <v>185</v>
      </c>
      <c r="CI4" t="s">
        <v>132</v>
      </c>
      <c r="CJ4">
        <v>2024</v>
      </c>
      <c r="CL4" t="s">
        <v>113</v>
      </c>
      <c r="CM4" t="s">
        <v>187</v>
      </c>
      <c r="CN4" t="s">
        <v>109</v>
      </c>
      <c r="CP4" t="s">
        <v>188</v>
      </c>
      <c r="CQ4" t="s">
        <v>189</v>
      </c>
      <c r="CR4" t="s">
        <v>136</v>
      </c>
      <c r="CS4" t="str">
        <f>HYPERLINK("https://nconnect.nicmar.ac.in/pdf/20_resume_1771399026.pdf/Y2FyZWVy","View Resume")</f>
        <v>0</v>
      </c>
    </row>
    <row r="5" spans="1:97">
      <c r="A5" t="s">
        <v>190</v>
      </c>
      <c r="B5" t="s">
        <v>138</v>
      </c>
      <c r="C5" t="s">
        <v>139</v>
      </c>
      <c r="D5" t="s">
        <v>191</v>
      </c>
      <c r="E5" t="s">
        <v>167</v>
      </c>
      <c r="F5" t="s">
        <v>168</v>
      </c>
      <c r="G5">
        <v>9011934000</v>
      </c>
      <c r="H5" t="s">
        <v>169</v>
      </c>
      <c r="I5" t="s">
        <v>170</v>
      </c>
      <c r="J5" t="s">
        <v>105</v>
      </c>
      <c r="K5" t="s">
        <v>171</v>
      </c>
      <c r="L5" t="s">
        <v>172</v>
      </c>
      <c r="M5" t="s">
        <v>173</v>
      </c>
      <c r="N5" t="s">
        <v>109</v>
      </c>
      <c r="AI5" t="s">
        <v>174</v>
      </c>
      <c r="AJ5" t="s">
        <v>175</v>
      </c>
      <c r="AK5" t="s">
        <v>176</v>
      </c>
      <c r="AL5">
        <v>58</v>
      </c>
      <c r="AN5">
        <v>1993</v>
      </c>
      <c r="AO5" t="s">
        <v>113</v>
      </c>
      <c r="AP5" t="s">
        <v>174</v>
      </c>
      <c r="AQ5" t="s">
        <v>177</v>
      </c>
      <c r="AR5" t="s">
        <v>178</v>
      </c>
      <c r="AS5">
        <v>56</v>
      </c>
      <c r="AU5">
        <v>1996</v>
      </c>
      <c r="AV5" t="s">
        <v>109</v>
      </c>
      <c r="BC5" t="s">
        <v>113</v>
      </c>
      <c r="BD5" t="s">
        <v>179</v>
      </c>
      <c r="BE5" t="s">
        <v>180</v>
      </c>
      <c r="BF5" t="s">
        <v>181</v>
      </c>
      <c r="BG5">
        <v>56</v>
      </c>
      <c r="BI5">
        <v>1999</v>
      </c>
      <c r="BJ5">
        <v>19</v>
      </c>
      <c r="BL5">
        <v>53</v>
      </c>
      <c r="BN5" t="s">
        <v>113</v>
      </c>
      <c r="BO5" t="s">
        <v>182</v>
      </c>
      <c r="BP5" t="s">
        <v>183</v>
      </c>
      <c r="BQ5" t="s">
        <v>184</v>
      </c>
      <c r="BR5">
        <v>61</v>
      </c>
      <c r="BT5">
        <v>2001</v>
      </c>
      <c r="BU5">
        <v>31</v>
      </c>
      <c r="BW5">
        <v>53</v>
      </c>
      <c r="BY5" t="s">
        <v>109</v>
      </c>
      <c r="BZ5" t="s">
        <v>185</v>
      </c>
      <c r="CA5" t="s">
        <v>186</v>
      </c>
      <c r="CB5" t="s">
        <v>184</v>
      </c>
      <c r="CF5" t="s">
        <v>113</v>
      </c>
      <c r="CG5" t="s">
        <v>184</v>
      </c>
      <c r="CH5" t="s">
        <v>185</v>
      </c>
      <c r="CI5" t="s">
        <v>132</v>
      </c>
      <c r="CJ5">
        <v>2024</v>
      </c>
      <c r="CL5" t="s">
        <v>113</v>
      </c>
      <c r="CM5" t="s">
        <v>187</v>
      </c>
      <c r="CN5" t="s">
        <v>109</v>
      </c>
      <c r="CP5" t="s">
        <v>188</v>
      </c>
      <c r="CQ5" t="s">
        <v>189</v>
      </c>
      <c r="CR5" t="s">
        <v>136</v>
      </c>
      <c r="CS5" t="str">
        <f>HYPERLINK("https://nconnect.nicmar.ac.in/pdf/20_resume_1771399026.pdf/Y2FyZWVy","View Resume")</f>
        <v>0</v>
      </c>
    </row>
    <row r="6" spans="1:97">
      <c r="A6" t="s">
        <v>192</v>
      </c>
      <c r="B6" t="s">
        <v>138</v>
      </c>
      <c r="C6" t="s">
        <v>165</v>
      </c>
      <c r="D6" t="s">
        <v>193</v>
      </c>
      <c r="E6" t="s">
        <v>194</v>
      </c>
      <c r="F6" t="s">
        <v>195</v>
      </c>
      <c r="G6">
        <v>9920352419</v>
      </c>
      <c r="H6" t="s">
        <v>103</v>
      </c>
      <c r="I6" t="s">
        <v>196</v>
      </c>
      <c r="J6" t="s">
        <v>105</v>
      </c>
      <c r="K6" t="s">
        <v>145</v>
      </c>
      <c r="L6" t="s">
        <v>197</v>
      </c>
      <c r="M6" t="s">
        <v>198</v>
      </c>
      <c r="N6" t="s">
        <v>109</v>
      </c>
      <c r="AI6" t="s">
        <v>199</v>
      </c>
      <c r="AJ6" t="s">
        <v>200</v>
      </c>
      <c r="AK6" t="s">
        <v>201</v>
      </c>
      <c r="AL6">
        <v>74</v>
      </c>
      <c r="AN6">
        <v>1990</v>
      </c>
      <c r="AO6" t="s">
        <v>113</v>
      </c>
      <c r="AP6" t="s">
        <v>202</v>
      </c>
      <c r="AQ6" t="s">
        <v>203</v>
      </c>
      <c r="AR6" t="s">
        <v>204</v>
      </c>
      <c r="AS6">
        <v>63.4</v>
      </c>
      <c r="AU6">
        <v>1992</v>
      </c>
      <c r="AV6" t="s">
        <v>113</v>
      </c>
      <c r="AW6" t="s">
        <v>205</v>
      </c>
      <c r="AX6" t="s">
        <v>206</v>
      </c>
      <c r="AY6" t="s">
        <v>207</v>
      </c>
      <c r="AZ6">
        <v>66</v>
      </c>
      <c r="BB6">
        <v>2010</v>
      </c>
      <c r="BC6" t="s">
        <v>113</v>
      </c>
      <c r="BD6" t="s">
        <v>208</v>
      </c>
      <c r="BE6" t="s">
        <v>209</v>
      </c>
      <c r="BF6" t="s">
        <v>210</v>
      </c>
      <c r="BG6">
        <v>60</v>
      </c>
      <c r="BI6">
        <v>1999</v>
      </c>
      <c r="BJ6">
        <v>19</v>
      </c>
      <c r="BK6" t="s">
        <v>211</v>
      </c>
      <c r="BL6">
        <v>27</v>
      </c>
      <c r="BN6" t="s">
        <v>113</v>
      </c>
      <c r="BO6" t="s">
        <v>212</v>
      </c>
      <c r="BP6" t="s">
        <v>213</v>
      </c>
      <c r="BQ6" t="s">
        <v>214</v>
      </c>
      <c r="BR6">
        <v>59</v>
      </c>
      <c r="BT6">
        <v>2001</v>
      </c>
      <c r="BU6">
        <v>31</v>
      </c>
      <c r="BV6" t="s">
        <v>215</v>
      </c>
      <c r="BW6">
        <v>33</v>
      </c>
      <c r="BY6" t="s">
        <v>113</v>
      </c>
      <c r="BZ6" t="s">
        <v>216</v>
      </c>
      <c r="CA6" t="s">
        <v>217</v>
      </c>
      <c r="CB6" t="s">
        <v>218</v>
      </c>
      <c r="CC6">
        <v>54</v>
      </c>
      <c r="CE6">
        <v>1996</v>
      </c>
      <c r="CF6" t="s">
        <v>109</v>
      </c>
      <c r="CL6" t="s">
        <v>113</v>
      </c>
      <c r="CM6" t="s">
        <v>219</v>
      </c>
      <c r="CN6" t="s">
        <v>113</v>
      </c>
      <c r="CO6" t="s">
        <v>220</v>
      </c>
      <c r="CP6" t="s">
        <v>221</v>
      </c>
      <c r="CQ6" t="s">
        <v>222</v>
      </c>
      <c r="CR6" t="s">
        <v>136</v>
      </c>
      <c r="CS6" t="str">
        <f>HYPERLINK("https://nconnect.nicmar.ac.in/pdf/21_resume_1771403927.pdf/Y2FyZWVy","View Resume")</f>
        <v>0</v>
      </c>
    </row>
    <row r="7" spans="1:97">
      <c r="A7" t="s">
        <v>223</v>
      </c>
      <c r="B7" t="s">
        <v>138</v>
      </c>
      <c r="C7" t="s">
        <v>165</v>
      </c>
      <c r="D7" t="s">
        <v>224</v>
      </c>
      <c r="E7" t="s">
        <v>225</v>
      </c>
      <c r="F7" t="s">
        <v>226</v>
      </c>
      <c r="G7">
        <v>6280220798</v>
      </c>
      <c r="H7" t="s">
        <v>169</v>
      </c>
      <c r="I7" t="s">
        <v>227</v>
      </c>
      <c r="J7" t="s">
        <v>144</v>
      </c>
      <c r="K7" t="s">
        <v>228</v>
      </c>
      <c r="L7" t="s">
        <v>229</v>
      </c>
      <c r="M7" t="s">
        <v>230</v>
      </c>
      <c r="N7" t="s">
        <v>109</v>
      </c>
      <c r="AI7" t="s">
        <v>231</v>
      </c>
      <c r="AJ7" t="s">
        <v>232</v>
      </c>
      <c r="AK7" t="s">
        <v>233</v>
      </c>
      <c r="AL7">
        <v>95</v>
      </c>
      <c r="AM7">
        <v>10</v>
      </c>
      <c r="AN7">
        <v>2013</v>
      </c>
      <c r="AO7" t="s">
        <v>113</v>
      </c>
      <c r="AP7" t="s">
        <v>231</v>
      </c>
      <c r="AQ7" t="s">
        <v>232</v>
      </c>
      <c r="AR7" t="s">
        <v>234</v>
      </c>
      <c r="AS7">
        <v>90</v>
      </c>
      <c r="AU7">
        <v>2015</v>
      </c>
      <c r="AV7" t="s">
        <v>109</v>
      </c>
      <c r="BC7" t="s">
        <v>113</v>
      </c>
      <c r="BD7" t="s">
        <v>235</v>
      </c>
      <c r="BE7" t="s">
        <v>236</v>
      </c>
      <c r="BF7" t="s">
        <v>237</v>
      </c>
      <c r="BG7">
        <v>86.4</v>
      </c>
      <c r="BH7">
        <v>8.64</v>
      </c>
      <c r="BI7">
        <v>2019</v>
      </c>
      <c r="BJ7">
        <v>18</v>
      </c>
      <c r="BL7">
        <v>52</v>
      </c>
      <c r="BN7" t="s">
        <v>109</v>
      </c>
      <c r="BY7" t="s">
        <v>109</v>
      </c>
      <c r="CF7" t="s">
        <v>113</v>
      </c>
      <c r="CG7" t="s">
        <v>238</v>
      </c>
      <c r="CH7" t="s">
        <v>239</v>
      </c>
      <c r="CI7" t="s">
        <v>240</v>
      </c>
      <c r="CJ7">
        <v>2025</v>
      </c>
      <c r="CK7" t="s">
        <v>113</v>
      </c>
      <c r="CL7" t="s">
        <v>109</v>
      </c>
      <c r="CN7" t="s">
        <v>113</v>
      </c>
      <c r="CO7" t="s">
        <v>241</v>
      </c>
      <c r="CP7" t="s">
        <v>242</v>
      </c>
      <c r="CQ7" t="s">
        <v>243</v>
      </c>
      <c r="CR7" t="s">
        <v>136</v>
      </c>
      <c r="CS7" t="str">
        <f>HYPERLINK("https://nconnect.nicmar.ac.in/pdf/24_resume_1771404080.pdf/Y2FyZWVy","View Resume")</f>
        <v>0</v>
      </c>
    </row>
    <row r="8" spans="1:97">
      <c r="A8" t="s">
        <v>223</v>
      </c>
      <c r="B8" t="s">
        <v>138</v>
      </c>
      <c r="C8" t="s">
        <v>165</v>
      </c>
      <c r="D8" t="s">
        <v>224</v>
      </c>
      <c r="E8" t="s">
        <v>244</v>
      </c>
      <c r="F8" t="s">
        <v>245</v>
      </c>
      <c r="G8">
        <v>9710690822</v>
      </c>
      <c r="H8" t="s">
        <v>169</v>
      </c>
      <c r="I8" t="s">
        <v>246</v>
      </c>
      <c r="J8" t="s">
        <v>144</v>
      </c>
      <c r="K8" t="s">
        <v>247</v>
      </c>
      <c r="L8" t="s">
        <v>248</v>
      </c>
      <c r="M8" t="s">
        <v>249</v>
      </c>
      <c r="N8" t="s">
        <v>109</v>
      </c>
      <c r="AI8" t="s">
        <v>250</v>
      </c>
      <c r="AJ8" t="s">
        <v>251</v>
      </c>
      <c r="AK8" t="s">
        <v>252</v>
      </c>
      <c r="AL8">
        <v>86.4</v>
      </c>
      <c r="AN8">
        <v>2007</v>
      </c>
      <c r="AO8" t="s">
        <v>113</v>
      </c>
      <c r="AP8" t="s">
        <v>253</v>
      </c>
      <c r="AQ8" t="s">
        <v>254</v>
      </c>
      <c r="AR8" t="s">
        <v>255</v>
      </c>
      <c r="AS8">
        <v>82</v>
      </c>
      <c r="AU8">
        <v>2009</v>
      </c>
      <c r="AV8" t="s">
        <v>109</v>
      </c>
      <c r="BC8" t="s">
        <v>113</v>
      </c>
      <c r="BD8" t="s">
        <v>256</v>
      </c>
      <c r="BE8" t="s">
        <v>257</v>
      </c>
      <c r="BF8" t="s">
        <v>258</v>
      </c>
      <c r="BG8">
        <v>77.6</v>
      </c>
      <c r="BI8">
        <v>2013</v>
      </c>
      <c r="BJ8">
        <v>19</v>
      </c>
      <c r="BL8">
        <v>54</v>
      </c>
      <c r="BN8" t="s">
        <v>113</v>
      </c>
      <c r="BO8" t="s">
        <v>259</v>
      </c>
      <c r="BP8" t="s">
        <v>260</v>
      </c>
      <c r="BQ8" t="s">
        <v>261</v>
      </c>
      <c r="BR8">
        <v>72</v>
      </c>
      <c r="BT8">
        <v>2016</v>
      </c>
      <c r="BU8">
        <v>31</v>
      </c>
      <c r="BV8" t="s">
        <v>262</v>
      </c>
      <c r="BW8">
        <v>53</v>
      </c>
      <c r="BX8" t="s">
        <v>263</v>
      </c>
      <c r="BY8" t="s">
        <v>109</v>
      </c>
      <c r="CF8" t="s">
        <v>113</v>
      </c>
      <c r="CG8" t="s">
        <v>264</v>
      </c>
      <c r="CH8" t="s">
        <v>265</v>
      </c>
      <c r="CI8" t="s">
        <v>240</v>
      </c>
      <c r="CK8" t="s">
        <v>113</v>
      </c>
      <c r="CL8" t="s">
        <v>109</v>
      </c>
      <c r="CN8" t="s">
        <v>113</v>
      </c>
      <c r="CO8" t="s">
        <v>266</v>
      </c>
      <c r="CP8" t="s">
        <v>267</v>
      </c>
      <c r="CQ8" t="s">
        <v>268</v>
      </c>
      <c r="CR8" t="s">
        <v>136</v>
      </c>
      <c r="CS8" t="str">
        <f>HYPERLINK("https://nconnect.nicmar.ac.in/pdf/27_resume_1771408068.pdf/Y2FyZWVy","View Resume")</f>
        <v>0</v>
      </c>
    </row>
    <row r="9" spans="1:97">
      <c r="A9" t="s">
        <v>190</v>
      </c>
      <c r="B9" t="s">
        <v>138</v>
      </c>
      <c r="C9" t="s">
        <v>139</v>
      </c>
      <c r="D9" t="s">
        <v>191</v>
      </c>
      <c r="E9" t="s">
        <v>269</v>
      </c>
      <c r="F9" t="s">
        <v>270</v>
      </c>
      <c r="G9">
        <v>9158584584</v>
      </c>
      <c r="H9" t="s">
        <v>103</v>
      </c>
      <c r="I9" t="s">
        <v>271</v>
      </c>
      <c r="J9" t="s">
        <v>105</v>
      </c>
      <c r="K9" t="s">
        <v>272</v>
      </c>
      <c r="L9" t="s">
        <v>273</v>
      </c>
      <c r="M9" t="s">
        <v>274</v>
      </c>
      <c r="N9" t="s">
        <v>109</v>
      </c>
      <c r="AI9" t="s">
        <v>275</v>
      </c>
      <c r="AJ9" t="s">
        <v>276</v>
      </c>
      <c r="AK9" t="s">
        <v>277</v>
      </c>
      <c r="AL9">
        <v>85.27</v>
      </c>
      <c r="AN9">
        <v>2012</v>
      </c>
      <c r="AO9" t="s">
        <v>113</v>
      </c>
      <c r="AP9" t="s">
        <v>278</v>
      </c>
      <c r="AQ9" t="s">
        <v>276</v>
      </c>
      <c r="AR9" t="s">
        <v>277</v>
      </c>
      <c r="AS9">
        <v>62.15</v>
      </c>
      <c r="AU9">
        <v>2014</v>
      </c>
      <c r="AV9" t="s">
        <v>109</v>
      </c>
      <c r="BC9" t="s">
        <v>113</v>
      </c>
      <c r="BD9" t="s">
        <v>279</v>
      </c>
      <c r="BE9" t="s">
        <v>280</v>
      </c>
      <c r="BF9" t="s">
        <v>281</v>
      </c>
      <c r="BG9">
        <v>89.0</v>
      </c>
      <c r="BI9">
        <v>2017</v>
      </c>
      <c r="BJ9">
        <v>19</v>
      </c>
      <c r="BK9" t="s">
        <v>282</v>
      </c>
      <c r="BL9">
        <v>53</v>
      </c>
      <c r="BM9" t="s">
        <v>281</v>
      </c>
      <c r="BN9" t="s">
        <v>113</v>
      </c>
      <c r="BO9" t="s">
        <v>283</v>
      </c>
      <c r="BP9" t="s">
        <v>284</v>
      </c>
      <c r="BQ9" t="s">
        <v>281</v>
      </c>
      <c r="BR9">
        <v>96.1</v>
      </c>
      <c r="BS9">
        <v>9.61</v>
      </c>
      <c r="BT9">
        <v>2019</v>
      </c>
      <c r="BU9">
        <v>31</v>
      </c>
      <c r="BV9" t="s">
        <v>285</v>
      </c>
      <c r="BW9">
        <v>53</v>
      </c>
      <c r="BX9" t="s">
        <v>281</v>
      </c>
      <c r="BY9" t="s">
        <v>109</v>
      </c>
      <c r="BZ9" t="s">
        <v>286</v>
      </c>
      <c r="CA9" t="s">
        <v>287</v>
      </c>
      <c r="CB9" t="s">
        <v>281</v>
      </c>
      <c r="CF9" t="s">
        <v>113</v>
      </c>
      <c r="CG9" t="s">
        <v>288</v>
      </c>
      <c r="CH9" t="s">
        <v>289</v>
      </c>
      <c r="CI9" t="s">
        <v>132</v>
      </c>
      <c r="CJ9">
        <v>2025</v>
      </c>
      <c r="CL9" t="s">
        <v>113</v>
      </c>
      <c r="CM9" t="s">
        <v>290</v>
      </c>
      <c r="CN9" t="s">
        <v>113</v>
      </c>
      <c r="CO9" t="s">
        <v>291</v>
      </c>
      <c r="CP9" t="s">
        <v>292</v>
      </c>
      <c r="CQ9" t="s">
        <v>293</v>
      </c>
      <c r="CR9" t="s">
        <v>136</v>
      </c>
      <c r="CS9" t="str">
        <f>HYPERLINK("https://nconnect.nicmar.ac.in/pdf/23_resume_1771904635.pdf/Y2FyZWVy","View Resume")</f>
        <v>0</v>
      </c>
    </row>
    <row r="10" spans="1:97">
      <c r="A10" t="s">
        <v>294</v>
      </c>
      <c r="B10" t="s">
        <v>138</v>
      </c>
      <c r="C10" t="s">
        <v>295</v>
      </c>
      <c r="D10" t="s">
        <v>296</v>
      </c>
      <c r="E10" t="s">
        <v>297</v>
      </c>
      <c r="F10" t="s">
        <v>298</v>
      </c>
      <c r="G10">
        <v>8486825002</v>
      </c>
      <c r="H10" t="s">
        <v>103</v>
      </c>
      <c r="I10" t="s">
        <v>299</v>
      </c>
      <c r="J10" t="s">
        <v>105</v>
      </c>
      <c r="K10" t="s">
        <v>300</v>
      </c>
      <c r="L10" t="s">
        <v>301</v>
      </c>
      <c r="M10" t="s">
        <v>302</v>
      </c>
      <c r="N10" t="s">
        <v>109</v>
      </c>
      <c r="AI10" t="s">
        <v>303</v>
      </c>
      <c r="AJ10" t="s">
        <v>304</v>
      </c>
      <c r="AK10" t="s">
        <v>305</v>
      </c>
      <c r="AL10">
        <v>88.2</v>
      </c>
      <c r="AN10">
        <v>2004</v>
      </c>
      <c r="AO10" t="s">
        <v>113</v>
      </c>
      <c r="AP10" t="s">
        <v>303</v>
      </c>
      <c r="AQ10" t="s">
        <v>304</v>
      </c>
      <c r="AR10" t="s">
        <v>306</v>
      </c>
      <c r="AS10">
        <v>75.83</v>
      </c>
      <c r="AU10">
        <v>2006</v>
      </c>
      <c r="AV10" t="s">
        <v>109</v>
      </c>
      <c r="BC10" t="s">
        <v>113</v>
      </c>
      <c r="BD10" t="s">
        <v>307</v>
      </c>
      <c r="BE10" t="s">
        <v>308</v>
      </c>
      <c r="BF10" t="s">
        <v>309</v>
      </c>
      <c r="BG10">
        <v>78</v>
      </c>
      <c r="BI10">
        <v>2010</v>
      </c>
      <c r="BJ10">
        <v>2</v>
      </c>
      <c r="BL10">
        <v>9</v>
      </c>
      <c r="BN10" t="s">
        <v>113</v>
      </c>
      <c r="BO10" t="s">
        <v>310</v>
      </c>
      <c r="BP10" t="s">
        <v>310</v>
      </c>
      <c r="BQ10" t="s">
        <v>311</v>
      </c>
      <c r="BR10">
        <v>70</v>
      </c>
      <c r="BS10">
        <v>7.58</v>
      </c>
      <c r="BT10">
        <v>2012</v>
      </c>
      <c r="BU10">
        <v>12</v>
      </c>
      <c r="BW10">
        <v>15</v>
      </c>
      <c r="BY10" t="s">
        <v>109</v>
      </c>
      <c r="CF10" t="s">
        <v>113</v>
      </c>
      <c r="CG10" t="s">
        <v>312</v>
      </c>
      <c r="CH10" t="s">
        <v>313</v>
      </c>
      <c r="CI10" t="s">
        <v>132</v>
      </c>
      <c r="CJ10">
        <v>2024</v>
      </c>
      <c r="CL10" t="s">
        <v>109</v>
      </c>
      <c r="CN10" t="s">
        <v>113</v>
      </c>
      <c r="CO10" t="s">
        <v>314</v>
      </c>
      <c r="CP10" t="s">
        <v>315</v>
      </c>
      <c r="CQ10" t="s">
        <v>316</v>
      </c>
      <c r="CR10" t="s">
        <v>136</v>
      </c>
      <c r="CS10" t="str">
        <f>HYPERLINK("https://nconnect.nicmar.ac.in/pdf/30_resume_1771416082.pdf/Y2FyZWVy","View Resume")</f>
        <v>0</v>
      </c>
    </row>
    <row r="11" spans="1:97">
      <c r="A11" t="s">
        <v>317</v>
      </c>
      <c r="B11" t="s">
        <v>318</v>
      </c>
      <c r="C11" t="s">
        <v>165</v>
      </c>
      <c r="D11" t="s">
        <v>319</v>
      </c>
      <c r="E11" t="s">
        <v>320</v>
      </c>
      <c r="F11" t="s">
        <v>321</v>
      </c>
      <c r="G11">
        <v>9884806248</v>
      </c>
      <c r="H11" t="s">
        <v>103</v>
      </c>
      <c r="I11" t="s">
        <v>322</v>
      </c>
      <c r="J11" t="s">
        <v>105</v>
      </c>
      <c r="K11" t="s">
        <v>323</v>
      </c>
      <c r="L11" t="s">
        <v>324</v>
      </c>
      <c r="M11" t="s">
        <v>325</v>
      </c>
      <c r="N11" t="s">
        <v>109</v>
      </c>
      <c r="AI11" t="s">
        <v>326</v>
      </c>
      <c r="AJ11" t="s">
        <v>327</v>
      </c>
      <c r="AK11" t="s">
        <v>328</v>
      </c>
      <c r="AL11">
        <v>73</v>
      </c>
      <c r="AM11">
        <v>7.3</v>
      </c>
      <c r="AN11">
        <v>1986</v>
      </c>
      <c r="AO11" t="s">
        <v>113</v>
      </c>
      <c r="AP11" t="s">
        <v>329</v>
      </c>
      <c r="AQ11" t="s">
        <v>330</v>
      </c>
      <c r="AR11" t="s">
        <v>331</v>
      </c>
      <c r="AS11">
        <v>79</v>
      </c>
      <c r="AT11">
        <v>7.9</v>
      </c>
      <c r="AU11">
        <v>1988</v>
      </c>
      <c r="AV11" t="s">
        <v>109</v>
      </c>
      <c r="BC11" t="s">
        <v>113</v>
      </c>
      <c r="BD11" t="s">
        <v>332</v>
      </c>
      <c r="BE11" t="s">
        <v>333</v>
      </c>
      <c r="BF11" t="s">
        <v>334</v>
      </c>
      <c r="BG11">
        <v>66</v>
      </c>
      <c r="BH11">
        <v>6.6</v>
      </c>
      <c r="BI11">
        <v>1991</v>
      </c>
      <c r="BJ11">
        <v>19</v>
      </c>
      <c r="BK11" t="s">
        <v>335</v>
      </c>
      <c r="BL11">
        <v>53</v>
      </c>
      <c r="BM11" t="s">
        <v>334</v>
      </c>
      <c r="BN11" t="s">
        <v>113</v>
      </c>
      <c r="BO11" t="s">
        <v>336</v>
      </c>
      <c r="BP11" t="s">
        <v>337</v>
      </c>
      <c r="BQ11" t="s">
        <v>338</v>
      </c>
      <c r="BR11">
        <v>90</v>
      </c>
      <c r="BS11">
        <v>3.6</v>
      </c>
      <c r="BT11">
        <v>2002</v>
      </c>
      <c r="BU11">
        <v>31</v>
      </c>
      <c r="BV11" t="s">
        <v>339</v>
      </c>
      <c r="BW11">
        <v>23</v>
      </c>
      <c r="BY11" t="s">
        <v>109</v>
      </c>
      <c r="CF11" t="s">
        <v>113</v>
      </c>
      <c r="CG11" t="s">
        <v>340</v>
      </c>
      <c r="CH11" t="s">
        <v>341</v>
      </c>
      <c r="CI11" t="s">
        <v>132</v>
      </c>
      <c r="CJ11">
        <v>2015</v>
      </c>
      <c r="CL11" t="s">
        <v>109</v>
      </c>
      <c r="CN11" t="s">
        <v>109</v>
      </c>
      <c r="CP11" t="s">
        <v>342</v>
      </c>
      <c r="CQ11" t="s">
        <v>316</v>
      </c>
      <c r="CR11" t="s">
        <v>136</v>
      </c>
      <c r="CS11" t="str">
        <f>HYPERLINK("https://nconnect.nicmar.ac.in/pdf/40_resume_1771415870.pdf/Y2FyZWVy","View Resume")</f>
        <v>0</v>
      </c>
    </row>
    <row r="12" spans="1:97">
      <c r="A12" t="s">
        <v>343</v>
      </c>
      <c r="B12" t="s">
        <v>98</v>
      </c>
      <c r="C12" t="s">
        <v>295</v>
      </c>
      <c r="D12" t="s">
        <v>344</v>
      </c>
      <c r="E12" t="s">
        <v>345</v>
      </c>
      <c r="F12" t="s">
        <v>346</v>
      </c>
      <c r="G12">
        <v>8830232164</v>
      </c>
      <c r="H12" t="s">
        <v>169</v>
      </c>
      <c r="I12" t="s">
        <v>347</v>
      </c>
      <c r="J12" t="s">
        <v>105</v>
      </c>
      <c r="K12" t="s">
        <v>348</v>
      </c>
      <c r="L12" t="s">
        <v>349</v>
      </c>
      <c r="M12" t="s">
        <v>350</v>
      </c>
      <c r="N12" t="s">
        <v>109</v>
      </c>
      <c r="AI12" t="s">
        <v>351</v>
      </c>
      <c r="AJ12" t="s">
        <v>352</v>
      </c>
      <c r="AK12" t="s">
        <v>353</v>
      </c>
      <c r="AL12">
        <v>83.38</v>
      </c>
      <c r="AN12">
        <v>2007</v>
      </c>
      <c r="AO12" t="s">
        <v>109</v>
      </c>
      <c r="AV12" t="s">
        <v>113</v>
      </c>
      <c r="AW12" t="s">
        <v>354</v>
      </c>
      <c r="AX12" t="s">
        <v>355</v>
      </c>
      <c r="AY12" t="s">
        <v>354</v>
      </c>
      <c r="AZ12">
        <v>80.4</v>
      </c>
      <c r="BB12">
        <v>2010</v>
      </c>
      <c r="BC12" t="s">
        <v>113</v>
      </c>
      <c r="BD12" t="s">
        <v>356</v>
      </c>
      <c r="BE12" t="s">
        <v>357</v>
      </c>
      <c r="BF12" t="s">
        <v>354</v>
      </c>
      <c r="BG12">
        <v>73.19</v>
      </c>
      <c r="BI12">
        <v>2013</v>
      </c>
      <c r="BJ12">
        <v>2</v>
      </c>
      <c r="BL12">
        <v>9</v>
      </c>
      <c r="BN12" t="s">
        <v>113</v>
      </c>
      <c r="BO12" t="s">
        <v>358</v>
      </c>
      <c r="BP12" t="s">
        <v>359</v>
      </c>
      <c r="BQ12" t="s">
        <v>360</v>
      </c>
      <c r="BR12">
        <v>83.5</v>
      </c>
      <c r="BS12">
        <v>8.35</v>
      </c>
      <c r="BT12">
        <v>2016</v>
      </c>
      <c r="BU12">
        <v>12</v>
      </c>
      <c r="BW12">
        <v>15</v>
      </c>
      <c r="BY12" t="s">
        <v>109</v>
      </c>
      <c r="CF12" t="s">
        <v>113</v>
      </c>
      <c r="CG12" t="s">
        <v>361</v>
      </c>
      <c r="CH12" t="s">
        <v>362</v>
      </c>
      <c r="CI12" t="s">
        <v>132</v>
      </c>
      <c r="CJ12">
        <v>2026</v>
      </c>
      <c r="CL12" t="s">
        <v>113</v>
      </c>
      <c r="CN12" t="s">
        <v>113</v>
      </c>
      <c r="CO12" t="s">
        <v>363</v>
      </c>
      <c r="CP12" t="s">
        <v>364</v>
      </c>
      <c r="CQ12" t="s">
        <v>365</v>
      </c>
      <c r="CR12" t="s">
        <v>136</v>
      </c>
      <c r="CS12" t="str">
        <f>HYPERLINK("https://nconnect.nicmar.ac.in/pdf/42_resume_1771419706.pdf/Y2FyZWVy","View Resume")</f>
        <v>0</v>
      </c>
    </row>
    <row r="13" spans="1:97">
      <c r="A13" t="s">
        <v>294</v>
      </c>
      <c r="B13" t="s">
        <v>138</v>
      </c>
      <c r="C13" t="s">
        <v>295</v>
      </c>
      <c r="D13" t="s">
        <v>296</v>
      </c>
      <c r="E13" t="s">
        <v>345</v>
      </c>
      <c r="F13" t="s">
        <v>346</v>
      </c>
      <c r="G13">
        <v>8830232164</v>
      </c>
      <c r="H13" t="s">
        <v>169</v>
      </c>
      <c r="I13" t="s">
        <v>347</v>
      </c>
      <c r="J13" t="s">
        <v>105</v>
      </c>
      <c r="K13" t="s">
        <v>348</v>
      </c>
      <c r="L13" t="s">
        <v>349</v>
      </c>
      <c r="M13" t="s">
        <v>350</v>
      </c>
      <c r="N13" t="s">
        <v>109</v>
      </c>
      <c r="AI13" t="s">
        <v>351</v>
      </c>
      <c r="AJ13" t="s">
        <v>352</v>
      </c>
      <c r="AK13" t="s">
        <v>353</v>
      </c>
      <c r="AL13">
        <v>83.38</v>
      </c>
      <c r="AN13">
        <v>2007</v>
      </c>
      <c r="AO13" t="s">
        <v>109</v>
      </c>
      <c r="AV13" t="s">
        <v>113</v>
      </c>
      <c r="AW13" t="s">
        <v>354</v>
      </c>
      <c r="AX13" t="s">
        <v>355</v>
      </c>
      <c r="AY13" t="s">
        <v>354</v>
      </c>
      <c r="AZ13">
        <v>80.4</v>
      </c>
      <c r="BB13">
        <v>2010</v>
      </c>
      <c r="BC13" t="s">
        <v>113</v>
      </c>
      <c r="BD13" t="s">
        <v>356</v>
      </c>
      <c r="BE13" t="s">
        <v>357</v>
      </c>
      <c r="BF13" t="s">
        <v>354</v>
      </c>
      <c r="BG13">
        <v>73.19</v>
      </c>
      <c r="BI13">
        <v>2013</v>
      </c>
      <c r="BJ13">
        <v>2</v>
      </c>
      <c r="BL13">
        <v>9</v>
      </c>
      <c r="BN13" t="s">
        <v>113</v>
      </c>
      <c r="BO13" t="s">
        <v>358</v>
      </c>
      <c r="BP13" t="s">
        <v>359</v>
      </c>
      <c r="BQ13" t="s">
        <v>360</v>
      </c>
      <c r="BR13">
        <v>83.5</v>
      </c>
      <c r="BS13">
        <v>8.35</v>
      </c>
      <c r="BT13">
        <v>2016</v>
      </c>
      <c r="BU13">
        <v>12</v>
      </c>
      <c r="BW13">
        <v>15</v>
      </c>
      <c r="BY13" t="s">
        <v>109</v>
      </c>
      <c r="CF13" t="s">
        <v>113</v>
      </c>
      <c r="CG13" t="s">
        <v>361</v>
      </c>
      <c r="CH13" t="s">
        <v>362</v>
      </c>
      <c r="CI13" t="s">
        <v>132</v>
      </c>
      <c r="CJ13">
        <v>2026</v>
      </c>
      <c r="CL13" t="s">
        <v>113</v>
      </c>
      <c r="CN13" t="s">
        <v>113</v>
      </c>
      <c r="CO13" t="s">
        <v>363</v>
      </c>
      <c r="CP13" t="s">
        <v>364</v>
      </c>
      <c r="CQ13" t="s">
        <v>366</v>
      </c>
      <c r="CR13" t="s">
        <v>136</v>
      </c>
      <c r="CS13" t="str">
        <f>HYPERLINK("https://nconnect.nicmar.ac.in/pdf/42_resume_1771419706.pdf/Y2FyZWVy","View Resume")</f>
        <v>0</v>
      </c>
    </row>
    <row r="14" spans="1:97">
      <c r="A14" t="s">
        <v>367</v>
      </c>
      <c r="B14" t="s">
        <v>138</v>
      </c>
      <c r="C14" t="s">
        <v>295</v>
      </c>
      <c r="D14" t="s">
        <v>368</v>
      </c>
      <c r="E14" t="s">
        <v>345</v>
      </c>
      <c r="F14" t="s">
        <v>346</v>
      </c>
      <c r="G14">
        <v>8830232164</v>
      </c>
      <c r="H14" t="s">
        <v>169</v>
      </c>
      <c r="I14" t="s">
        <v>347</v>
      </c>
      <c r="J14" t="s">
        <v>105</v>
      </c>
      <c r="K14" t="s">
        <v>348</v>
      </c>
      <c r="L14" t="s">
        <v>349</v>
      </c>
      <c r="M14" t="s">
        <v>350</v>
      </c>
      <c r="N14" t="s">
        <v>109</v>
      </c>
      <c r="AI14" t="s">
        <v>351</v>
      </c>
      <c r="AJ14" t="s">
        <v>352</v>
      </c>
      <c r="AK14" t="s">
        <v>353</v>
      </c>
      <c r="AL14">
        <v>83.38</v>
      </c>
      <c r="AN14">
        <v>2007</v>
      </c>
      <c r="AO14" t="s">
        <v>109</v>
      </c>
      <c r="AV14" t="s">
        <v>113</v>
      </c>
      <c r="AW14" t="s">
        <v>354</v>
      </c>
      <c r="AX14" t="s">
        <v>355</v>
      </c>
      <c r="AY14" t="s">
        <v>354</v>
      </c>
      <c r="AZ14">
        <v>80.4</v>
      </c>
      <c r="BB14">
        <v>2010</v>
      </c>
      <c r="BC14" t="s">
        <v>113</v>
      </c>
      <c r="BD14" t="s">
        <v>356</v>
      </c>
      <c r="BE14" t="s">
        <v>357</v>
      </c>
      <c r="BF14" t="s">
        <v>354</v>
      </c>
      <c r="BG14">
        <v>73.19</v>
      </c>
      <c r="BI14">
        <v>2013</v>
      </c>
      <c r="BJ14">
        <v>2</v>
      </c>
      <c r="BL14">
        <v>9</v>
      </c>
      <c r="BN14" t="s">
        <v>113</v>
      </c>
      <c r="BO14" t="s">
        <v>358</v>
      </c>
      <c r="BP14" t="s">
        <v>359</v>
      </c>
      <c r="BQ14" t="s">
        <v>360</v>
      </c>
      <c r="BR14">
        <v>83.5</v>
      </c>
      <c r="BS14">
        <v>8.35</v>
      </c>
      <c r="BT14">
        <v>2016</v>
      </c>
      <c r="BU14">
        <v>12</v>
      </c>
      <c r="BW14">
        <v>15</v>
      </c>
      <c r="BY14" t="s">
        <v>109</v>
      </c>
      <c r="CF14" t="s">
        <v>113</v>
      </c>
      <c r="CG14" t="s">
        <v>361</v>
      </c>
      <c r="CH14" t="s">
        <v>362</v>
      </c>
      <c r="CI14" t="s">
        <v>132</v>
      </c>
      <c r="CJ14">
        <v>2026</v>
      </c>
      <c r="CL14" t="s">
        <v>113</v>
      </c>
      <c r="CN14" t="s">
        <v>113</v>
      </c>
      <c r="CO14" t="s">
        <v>363</v>
      </c>
      <c r="CP14" t="s">
        <v>364</v>
      </c>
      <c r="CQ14" t="s">
        <v>369</v>
      </c>
      <c r="CR14" t="s">
        <v>136</v>
      </c>
      <c r="CS14" t="str">
        <f>HYPERLINK("https://nconnect.nicmar.ac.in/pdf/42_resume_1771419706.pdf/Y2FyZWVy","View Resume")</f>
        <v>0</v>
      </c>
    </row>
    <row r="15" spans="1:97">
      <c r="A15" t="s">
        <v>370</v>
      </c>
      <c r="B15" t="s">
        <v>138</v>
      </c>
      <c r="C15" t="s">
        <v>295</v>
      </c>
      <c r="D15" t="s">
        <v>371</v>
      </c>
      <c r="E15" t="s">
        <v>345</v>
      </c>
      <c r="F15" t="s">
        <v>346</v>
      </c>
      <c r="G15">
        <v>8830232164</v>
      </c>
      <c r="H15" t="s">
        <v>169</v>
      </c>
      <c r="I15" t="s">
        <v>347</v>
      </c>
      <c r="J15" t="s">
        <v>105</v>
      </c>
      <c r="K15" t="s">
        <v>348</v>
      </c>
      <c r="L15" t="s">
        <v>349</v>
      </c>
      <c r="M15" t="s">
        <v>350</v>
      </c>
      <c r="N15" t="s">
        <v>109</v>
      </c>
      <c r="AI15" t="s">
        <v>351</v>
      </c>
      <c r="AJ15" t="s">
        <v>352</v>
      </c>
      <c r="AK15" t="s">
        <v>353</v>
      </c>
      <c r="AL15">
        <v>83.38</v>
      </c>
      <c r="AN15">
        <v>2007</v>
      </c>
      <c r="AO15" t="s">
        <v>109</v>
      </c>
      <c r="AV15" t="s">
        <v>113</v>
      </c>
      <c r="AW15" t="s">
        <v>354</v>
      </c>
      <c r="AX15" t="s">
        <v>355</v>
      </c>
      <c r="AY15" t="s">
        <v>354</v>
      </c>
      <c r="AZ15">
        <v>80.4</v>
      </c>
      <c r="BB15">
        <v>2010</v>
      </c>
      <c r="BC15" t="s">
        <v>113</v>
      </c>
      <c r="BD15" t="s">
        <v>356</v>
      </c>
      <c r="BE15" t="s">
        <v>357</v>
      </c>
      <c r="BF15" t="s">
        <v>354</v>
      </c>
      <c r="BG15">
        <v>73.19</v>
      </c>
      <c r="BI15">
        <v>2013</v>
      </c>
      <c r="BJ15">
        <v>2</v>
      </c>
      <c r="BL15">
        <v>9</v>
      </c>
      <c r="BN15" t="s">
        <v>113</v>
      </c>
      <c r="BO15" t="s">
        <v>358</v>
      </c>
      <c r="BP15" t="s">
        <v>359</v>
      </c>
      <c r="BQ15" t="s">
        <v>360</v>
      </c>
      <c r="BR15">
        <v>83.5</v>
      </c>
      <c r="BS15">
        <v>8.35</v>
      </c>
      <c r="BT15">
        <v>2016</v>
      </c>
      <c r="BU15">
        <v>12</v>
      </c>
      <c r="BW15">
        <v>15</v>
      </c>
      <c r="BY15" t="s">
        <v>109</v>
      </c>
      <c r="CF15" t="s">
        <v>113</v>
      </c>
      <c r="CG15" t="s">
        <v>361</v>
      </c>
      <c r="CH15" t="s">
        <v>362</v>
      </c>
      <c r="CI15" t="s">
        <v>132</v>
      </c>
      <c r="CJ15">
        <v>2026</v>
      </c>
      <c r="CL15" t="s">
        <v>113</v>
      </c>
      <c r="CN15" t="s">
        <v>113</v>
      </c>
      <c r="CO15" t="s">
        <v>363</v>
      </c>
      <c r="CP15" t="s">
        <v>364</v>
      </c>
      <c r="CQ15" t="s">
        <v>369</v>
      </c>
      <c r="CR15" t="s">
        <v>136</v>
      </c>
      <c r="CS15" t="str">
        <f>HYPERLINK("https://nconnect.nicmar.ac.in/pdf/42_resume_1771419706.pdf/Y2FyZWVy","View Resume")</f>
        <v>0</v>
      </c>
    </row>
    <row r="16" spans="1:97">
      <c r="A16" t="s">
        <v>372</v>
      </c>
      <c r="B16" t="s">
        <v>98</v>
      </c>
      <c r="C16" t="s">
        <v>165</v>
      </c>
      <c r="D16" t="s">
        <v>224</v>
      </c>
      <c r="E16" t="s">
        <v>373</v>
      </c>
      <c r="F16" t="s">
        <v>374</v>
      </c>
      <c r="G16">
        <v>9711195564</v>
      </c>
      <c r="H16" t="s">
        <v>103</v>
      </c>
      <c r="I16" t="s">
        <v>375</v>
      </c>
      <c r="J16" t="s">
        <v>105</v>
      </c>
      <c r="K16" t="s">
        <v>376</v>
      </c>
      <c r="L16" t="s">
        <v>377</v>
      </c>
      <c r="M16" t="s">
        <v>378</v>
      </c>
      <c r="N16" t="s">
        <v>109</v>
      </c>
      <c r="AI16" t="s">
        <v>379</v>
      </c>
      <c r="AJ16" t="s">
        <v>380</v>
      </c>
      <c r="AK16" t="s">
        <v>381</v>
      </c>
      <c r="AL16">
        <v>52</v>
      </c>
      <c r="AN16">
        <v>1977</v>
      </c>
      <c r="AO16" t="s">
        <v>113</v>
      </c>
      <c r="AP16" t="s">
        <v>382</v>
      </c>
      <c r="AQ16" t="s">
        <v>383</v>
      </c>
      <c r="AR16" t="s">
        <v>384</v>
      </c>
      <c r="AS16">
        <v>50</v>
      </c>
      <c r="AU16">
        <v>1979</v>
      </c>
      <c r="AV16" t="s">
        <v>113</v>
      </c>
      <c r="AW16" t="s">
        <v>385</v>
      </c>
      <c r="AX16" t="s">
        <v>386</v>
      </c>
      <c r="AY16" t="s">
        <v>387</v>
      </c>
      <c r="AZ16">
        <v>50</v>
      </c>
      <c r="BB16">
        <v>1991</v>
      </c>
      <c r="BC16" t="s">
        <v>109</v>
      </c>
      <c r="BD16" t="s">
        <v>388</v>
      </c>
      <c r="BE16" t="s">
        <v>389</v>
      </c>
      <c r="BF16" t="s">
        <v>123</v>
      </c>
      <c r="BG16">
        <v>48</v>
      </c>
      <c r="BI16">
        <v>1982</v>
      </c>
      <c r="BJ16">
        <v>19</v>
      </c>
      <c r="BK16" t="s">
        <v>123</v>
      </c>
      <c r="BL16">
        <v>23</v>
      </c>
      <c r="BN16" t="s">
        <v>113</v>
      </c>
      <c r="BO16" t="s">
        <v>390</v>
      </c>
      <c r="BP16" t="s">
        <v>391</v>
      </c>
      <c r="BQ16" t="s">
        <v>392</v>
      </c>
      <c r="BR16">
        <v>67</v>
      </c>
      <c r="BT16">
        <v>2015</v>
      </c>
      <c r="BU16">
        <v>31</v>
      </c>
      <c r="BV16" t="s">
        <v>339</v>
      </c>
      <c r="BW16">
        <v>53</v>
      </c>
      <c r="BX16" t="s">
        <v>393</v>
      </c>
      <c r="BY16" t="s">
        <v>113</v>
      </c>
      <c r="BZ16" t="s">
        <v>394</v>
      </c>
      <c r="CA16" t="s">
        <v>395</v>
      </c>
      <c r="CB16" t="s">
        <v>396</v>
      </c>
      <c r="CC16">
        <v>50</v>
      </c>
      <c r="CE16">
        <v>2010</v>
      </c>
      <c r="CF16" t="s">
        <v>109</v>
      </c>
      <c r="CL16" t="s">
        <v>109</v>
      </c>
      <c r="CN16" t="s">
        <v>109</v>
      </c>
      <c r="CP16" t="s">
        <v>397</v>
      </c>
      <c r="CQ16" t="s">
        <v>398</v>
      </c>
      <c r="CR16" t="s">
        <v>136</v>
      </c>
      <c r="CS16" t="str">
        <f>HYPERLINK("https://nconnect.nicmar.ac.in/pdf/45_resume_1771421795.pdf/Y2FyZWVy","View Resume")</f>
        <v>0</v>
      </c>
    </row>
    <row r="17" spans="1:97">
      <c r="A17" t="s">
        <v>137</v>
      </c>
      <c r="B17" t="s">
        <v>138</v>
      </c>
      <c r="C17" t="s">
        <v>139</v>
      </c>
      <c r="D17" t="s">
        <v>140</v>
      </c>
      <c r="E17" t="s">
        <v>399</v>
      </c>
      <c r="F17" t="s">
        <v>400</v>
      </c>
      <c r="G17">
        <v>8989938969</v>
      </c>
      <c r="H17" t="s">
        <v>103</v>
      </c>
      <c r="I17" t="s">
        <v>401</v>
      </c>
      <c r="J17" t="s">
        <v>105</v>
      </c>
      <c r="K17" t="s">
        <v>145</v>
      </c>
      <c r="L17" t="s">
        <v>402</v>
      </c>
      <c r="M17" t="s">
        <v>403</v>
      </c>
      <c r="N17" t="s">
        <v>109</v>
      </c>
      <c r="AI17" t="s">
        <v>404</v>
      </c>
      <c r="AJ17" t="s">
        <v>405</v>
      </c>
      <c r="AK17" t="s">
        <v>277</v>
      </c>
      <c r="AL17">
        <v>77.9</v>
      </c>
      <c r="AM17">
        <v>8.2</v>
      </c>
      <c r="AN17">
        <v>2010</v>
      </c>
      <c r="AO17" t="s">
        <v>113</v>
      </c>
      <c r="AP17" t="s">
        <v>404</v>
      </c>
      <c r="AQ17" t="s">
        <v>405</v>
      </c>
      <c r="AR17" t="s">
        <v>406</v>
      </c>
      <c r="AS17">
        <v>77.6</v>
      </c>
      <c r="AU17">
        <v>2012</v>
      </c>
      <c r="AV17" t="s">
        <v>109</v>
      </c>
      <c r="BC17" t="s">
        <v>113</v>
      </c>
      <c r="BD17" t="s">
        <v>407</v>
      </c>
      <c r="BE17" t="s">
        <v>408</v>
      </c>
      <c r="BF17" t="s">
        <v>354</v>
      </c>
      <c r="BG17">
        <v>69.6</v>
      </c>
      <c r="BH17">
        <v>6.96</v>
      </c>
      <c r="BI17">
        <v>2012</v>
      </c>
      <c r="BJ17">
        <v>2</v>
      </c>
      <c r="BL17">
        <v>9</v>
      </c>
      <c r="BN17" t="s">
        <v>113</v>
      </c>
      <c r="BO17" t="s">
        <v>279</v>
      </c>
      <c r="BP17" t="s">
        <v>409</v>
      </c>
      <c r="BQ17" t="s">
        <v>140</v>
      </c>
      <c r="BR17">
        <v>78.2</v>
      </c>
      <c r="BS17">
        <v>7.82</v>
      </c>
      <c r="BT17">
        <v>2018</v>
      </c>
      <c r="BU17">
        <v>14</v>
      </c>
      <c r="BW17">
        <v>47</v>
      </c>
      <c r="BY17" t="s">
        <v>109</v>
      </c>
      <c r="CF17" t="s">
        <v>113</v>
      </c>
      <c r="CG17" t="s">
        <v>410</v>
      </c>
      <c r="CH17" t="s">
        <v>411</v>
      </c>
      <c r="CI17" t="s">
        <v>240</v>
      </c>
      <c r="CK17" t="s">
        <v>109</v>
      </c>
      <c r="CL17" t="s">
        <v>113</v>
      </c>
      <c r="CM17" t="s">
        <v>412</v>
      </c>
      <c r="CN17" t="s">
        <v>113</v>
      </c>
      <c r="CO17" t="s">
        <v>413</v>
      </c>
      <c r="CP17" t="s">
        <v>414</v>
      </c>
      <c r="CQ17" t="s">
        <v>415</v>
      </c>
      <c r="CR17" t="s">
        <v>136</v>
      </c>
      <c r="CS17" t="str">
        <f>HYPERLINK("https://nconnect.nicmar.ac.in/pdf/44_resume_1771424122.pdf/Y2FyZWVy","View Resume")</f>
        <v>0</v>
      </c>
    </row>
    <row r="18" spans="1:97">
      <c r="A18" t="s">
        <v>317</v>
      </c>
      <c r="B18" t="s">
        <v>318</v>
      </c>
      <c r="C18" t="s">
        <v>165</v>
      </c>
      <c r="D18" t="s">
        <v>319</v>
      </c>
      <c r="E18" t="s">
        <v>416</v>
      </c>
      <c r="F18" t="s">
        <v>417</v>
      </c>
      <c r="G18">
        <v>8449814139</v>
      </c>
      <c r="H18" t="s">
        <v>103</v>
      </c>
      <c r="I18" t="s">
        <v>418</v>
      </c>
      <c r="J18" t="s">
        <v>105</v>
      </c>
      <c r="K18" t="s">
        <v>145</v>
      </c>
      <c r="L18" t="s">
        <v>419</v>
      </c>
      <c r="M18" t="s">
        <v>420</v>
      </c>
      <c r="N18" t="s">
        <v>109</v>
      </c>
      <c r="AI18" t="s">
        <v>421</v>
      </c>
      <c r="AJ18" t="s">
        <v>422</v>
      </c>
      <c r="AK18" t="s">
        <v>423</v>
      </c>
      <c r="AL18">
        <v>58.66</v>
      </c>
      <c r="AN18">
        <v>1996</v>
      </c>
      <c r="AO18" t="s">
        <v>113</v>
      </c>
      <c r="AP18" t="s">
        <v>421</v>
      </c>
      <c r="AQ18" t="s">
        <v>422</v>
      </c>
      <c r="AR18" t="s">
        <v>424</v>
      </c>
      <c r="AS18">
        <v>58</v>
      </c>
      <c r="AU18">
        <v>1998</v>
      </c>
      <c r="AV18" t="s">
        <v>109</v>
      </c>
      <c r="BC18" t="s">
        <v>113</v>
      </c>
      <c r="BD18" t="s">
        <v>425</v>
      </c>
      <c r="BE18" t="s">
        <v>426</v>
      </c>
      <c r="BF18" t="s">
        <v>427</v>
      </c>
      <c r="BG18">
        <v>55.77</v>
      </c>
      <c r="BI18">
        <v>2002</v>
      </c>
      <c r="BJ18">
        <v>19</v>
      </c>
      <c r="BK18" t="s">
        <v>428</v>
      </c>
      <c r="BL18">
        <v>23</v>
      </c>
      <c r="BN18" t="s">
        <v>113</v>
      </c>
      <c r="BO18" t="s">
        <v>429</v>
      </c>
      <c r="BP18" t="s">
        <v>430</v>
      </c>
      <c r="BQ18" t="s">
        <v>431</v>
      </c>
      <c r="BR18">
        <v>71.89</v>
      </c>
      <c r="BT18">
        <v>2004</v>
      </c>
      <c r="BU18">
        <v>31</v>
      </c>
      <c r="BV18" t="s">
        <v>339</v>
      </c>
      <c r="BW18">
        <v>23</v>
      </c>
      <c r="BY18" t="s">
        <v>109</v>
      </c>
      <c r="CF18" t="s">
        <v>113</v>
      </c>
      <c r="CG18" t="s">
        <v>338</v>
      </c>
      <c r="CH18" t="s">
        <v>432</v>
      </c>
      <c r="CI18" t="s">
        <v>132</v>
      </c>
      <c r="CJ18">
        <v>2012</v>
      </c>
      <c r="CL18" t="s">
        <v>113</v>
      </c>
      <c r="CM18" t="s">
        <v>433</v>
      </c>
      <c r="CN18" t="s">
        <v>113</v>
      </c>
      <c r="CO18" t="s">
        <v>434</v>
      </c>
      <c r="CP18" t="s">
        <v>435</v>
      </c>
      <c r="CQ18" t="s">
        <v>436</v>
      </c>
      <c r="CR18" t="s">
        <v>136</v>
      </c>
      <c r="CS18" t="str">
        <f>HYPERLINK("https://nconnect.nicmar.ac.in/pdf/18_resume_1771424298.pdf/Y2FyZWVy","View Resume")</f>
        <v>0</v>
      </c>
    </row>
    <row r="19" spans="1:97">
      <c r="A19" t="s">
        <v>372</v>
      </c>
      <c r="B19" t="s">
        <v>98</v>
      </c>
      <c r="C19" t="s">
        <v>165</v>
      </c>
      <c r="D19" t="s">
        <v>224</v>
      </c>
      <c r="E19" t="s">
        <v>437</v>
      </c>
      <c r="F19" t="s">
        <v>438</v>
      </c>
      <c r="G19">
        <v>9920056150</v>
      </c>
      <c r="H19" t="s">
        <v>169</v>
      </c>
      <c r="I19" t="s">
        <v>439</v>
      </c>
      <c r="J19" t="s">
        <v>105</v>
      </c>
      <c r="K19" t="s">
        <v>440</v>
      </c>
      <c r="L19" t="s">
        <v>441</v>
      </c>
      <c r="M19" t="s">
        <v>442</v>
      </c>
      <c r="N19" t="s">
        <v>109</v>
      </c>
      <c r="AI19" t="s">
        <v>443</v>
      </c>
      <c r="AJ19" t="s">
        <v>444</v>
      </c>
      <c r="AK19" t="s">
        <v>445</v>
      </c>
      <c r="AL19">
        <v>66</v>
      </c>
      <c r="AN19">
        <v>1991</v>
      </c>
      <c r="AO19" t="s">
        <v>113</v>
      </c>
      <c r="AP19" t="s">
        <v>446</v>
      </c>
      <c r="AQ19" t="s">
        <v>447</v>
      </c>
      <c r="AR19" t="s">
        <v>448</v>
      </c>
      <c r="AS19">
        <v>66</v>
      </c>
      <c r="AU19">
        <v>1993</v>
      </c>
      <c r="AV19" t="s">
        <v>113</v>
      </c>
      <c r="AW19" t="s">
        <v>449</v>
      </c>
      <c r="AX19" t="s">
        <v>450</v>
      </c>
      <c r="AY19" t="s">
        <v>451</v>
      </c>
      <c r="AZ19">
        <v>75</v>
      </c>
      <c r="BB19">
        <v>1997</v>
      </c>
      <c r="BC19" t="s">
        <v>113</v>
      </c>
      <c r="BD19" t="s">
        <v>452</v>
      </c>
      <c r="BE19" t="s">
        <v>447</v>
      </c>
      <c r="BF19" t="s">
        <v>453</v>
      </c>
      <c r="BG19">
        <v>49</v>
      </c>
      <c r="BI19">
        <v>1996</v>
      </c>
      <c r="BJ19">
        <v>19</v>
      </c>
      <c r="BL19">
        <v>24</v>
      </c>
      <c r="BN19" t="s">
        <v>113</v>
      </c>
      <c r="BO19" t="s">
        <v>454</v>
      </c>
      <c r="BP19" t="s">
        <v>455</v>
      </c>
      <c r="BQ19" t="s">
        <v>451</v>
      </c>
      <c r="BR19">
        <v>64</v>
      </c>
      <c r="BT19">
        <v>2003</v>
      </c>
      <c r="BU19">
        <v>28</v>
      </c>
      <c r="BW19">
        <v>24</v>
      </c>
      <c r="BY19" t="s">
        <v>109</v>
      </c>
      <c r="CF19" t="s">
        <v>113</v>
      </c>
      <c r="CG19" t="s">
        <v>456</v>
      </c>
      <c r="CH19" t="s">
        <v>457</v>
      </c>
      <c r="CI19" t="s">
        <v>132</v>
      </c>
      <c r="CJ19">
        <v>2018</v>
      </c>
      <c r="CL19" t="s">
        <v>113</v>
      </c>
      <c r="CM19" t="s">
        <v>458</v>
      </c>
      <c r="CN19" t="s">
        <v>113</v>
      </c>
      <c r="CO19" t="s">
        <v>459</v>
      </c>
      <c r="CP19" t="s">
        <v>460</v>
      </c>
      <c r="CQ19" t="s">
        <v>461</v>
      </c>
      <c r="CR19" t="s">
        <v>136</v>
      </c>
      <c r="CS19" t="str">
        <f>HYPERLINK("https://nconnect.nicmar.ac.in/pdf/47_resume_1771426357.pdf/Y2FyZWVy","View Resume")</f>
        <v>0</v>
      </c>
    </row>
    <row r="20" spans="1:97">
      <c r="A20" t="s">
        <v>137</v>
      </c>
      <c r="B20" t="s">
        <v>138</v>
      </c>
      <c r="C20" t="s">
        <v>139</v>
      </c>
      <c r="D20" t="s">
        <v>140</v>
      </c>
      <c r="E20" t="s">
        <v>462</v>
      </c>
      <c r="F20" t="s">
        <v>463</v>
      </c>
      <c r="G20">
        <v>8940082234</v>
      </c>
      <c r="H20" t="s">
        <v>103</v>
      </c>
      <c r="I20" t="s">
        <v>464</v>
      </c>
      <c r="J20" t="s">
        <v>105</v>
      </c>
      <c r="K20" t="s">
        <v>465</v>
      </c>
      <c r="L20" t="s">
        <v>466</v>
      </c>
      <c r="M20" t="s">
        <v>467</v>
      </c>
      <c r="N20" t="s">
        <v>109</v>
      </c>
      <c r="AI20" t="s">
        <v>468</v>
      </c>
      <c r="AJ20" t="s">
        <v>469</v>
      </c>
      <c r="AK20" t="s">
        <v>470</v>
      </c>
      <c r="AL20">
        <v>92.6</v>
      </c>
      <c r="AN20">
        <v>2011</v>
      </c>
      <c r="AO20" t="s">
        <v>113</v>
      </c>
      <c r="AP20" t="s">
        <v>471</v>
      </c>
      <c r="AQ20" t="s">
        <v>472</v>
      </c>
      <c r="AR20" t="s">
        <v>473</v>
      </c>
      <c r="AS20">
        <v>82</v>
      </c>
      <c r="AU20">
        <v>2013</v>
      </c>
      <c r="AV20" t="s">
        <v>109</v>
      </c>
      <c r="BC20" t="s">
        <v>113</v>
      </c>
      <c r="BD20" t="s">
        <v>474</v>
      </c>
      <c r="BE20" t="s">
        <v>475</v>
      </c>
      <c r="BF20" t="s">
        <v>309</v>
      </c>
      <c r="BG20">
        <v>86.1</v>
      </c>
      <c r="BH20">
        <v>8.61</v>
      </c>
      <c r="BI20">
        <v>2017</v>
      </c>
      <c r="BJ20">
        <v>1</v>
      </c>
      <c r="BL20">
        <v>9</v>
      </c>
      <c r="BN20" t="s">
        <v>113</v>
      </c>
      <c r="BO20" t="s">
        <v>474</v>
      </c>
      <c r="BP20" t="s">
        <v>476</v>
      </c>
      <c r="BQ20" t="s">
        <v>140</v>
      </c>
      <c r="BR20">
        <v>81.2</v>
      </c>
      <c r="BT20">
        <v>2019</v>
      </c>
      <c r="BU20">
        <v>14</v>
      </c>
      <c r="BW20">
        <v>47</v>
      </c>
      <c r="BY20" t="s">
        <v>109</v>
      </c>
      <c r="BZ20" t="s">
        <v>474</v>
      </c>
      <c r="CA20" t="s">
        <v>476</v>
      </c>
      <c r="CF20" t="s">
        <v>113</v>
      </c>
      <c r="CG20" t="s">
        <v>309</v>
      </c>
      <c r="CH20" t="s">
        <v>476</v>
      </c>
      <c r="CI20" t="s">
        <v>132</v>
      </c>
      <c r="CJ20">
        <v>2025</v>
      </c>
      <c r="CL20" t="s">
        <v>113</v>
      </c>
      <c r="CM20" t="s">
        <v>477</v>
      </c>
      <c r="CN20" t="s">
        <v>113</v>
      </c>
      <c r="CO20" t="s">
        <v>478</v>
      </c>
      <c r="CP20" t="s">
        <v>470</v>
      </c>
      <c r="CQ20" t="s">
        <v>479</v>
      </c>
      <c r="CR20" t="s">
        <v>136</v>
      </c>
      <c r="CS20" t="str">
        <f>HYPERLINK("https://nconnect.nicmar.ac.in/pdf/56_resume_1771428044.pdf/Y2FyZWVy","View Resume")</f>
        <v>0</v>
      </c>
    </row>
    <row r="21" spans="1:97">
      <c r="A21" t="s">
        <v>480</v>
      </c>
      <c r="B21" t="s">
        <v>98</v>
      </c>
      <c r="C21" t="s">
        <v>139</v>
      </c>
      <c r="D21" t="s">
        <v>140</v>
      </c>
      <c r="E21" t="s">
        <v>481</v>
      </c>
      <c r="F21" t="s">
        <v>482</v>
      </c>
      <c r="G21">
        <v>8220835569</v>
      </c>
      <c r="H21" t="s">
        <v>169</v>
      </c>
      <c r="I21" t="s">
        <v>483</v>
      </c>
      <c r="J21" t="s">
        <v>105</v>
      </c>
      <c r="K21" t="s">
        <v>484</v>
      </c>
      <c r="L21" t="s">
        <v>485</v>
      </c>
      <c r="M21" t="s">
        <v>486</v>
      </c>
      <c r="N21" t="s">
        <v>109</v>
      </c>
      <c r="AI21" t="s">
        <v>487</v>
      </c>
      <c r="AJ21" t="s">
        <v>488</v>
      </c>
      <c r="AK21" t="s">
        <v>489</v>
      </c>
      <c r="AL21">
        <v>80</v>
      </c>
      <c r="AM21">
        <v>8</v>
      </c>
      <c r="AN21">
        <v>2001</v>
      </c>
      <c r="AO21" t="s">
        <v>113</v>
      </c>
      <c r="AP21" t="s">
        <v>487</v>
      </c>
      <c r="AQ21" t="s">
        <v>488</v>
      </c>
      <c r="AR21" t="s">
        <v>490</v>
      </c>
      <c r="AS21">
        <v>71</v>
      </c>
      <c r="AT21">
        <v>7.1</v>
      </c>
      <c r="AU21">
        <v>2003</v>
      </c>
      <c r="AV21" t="s">
        <v>109</v>
      </c>
      <c r="BC21" t="s">
        <v>113</v>
      </c>
      <c r="BD21" t="s">
        <v>491</v>
      </c>
      <c r="BE21" t="s">
        <v>492</v>
      </c>
      <c r="BF21" t="s">
        <v>309</v>
      </c>
      <c r="BG21">
        <v>71</v>
      </c>
      <c r="BH21">
        <v>7.1</v>
      </c>
      <c r="BI21">
        <v>2007</v>
      </c>
      <c r="BJ21">
        <v>2</v>
      </c>
      <c r="BL21">
        <v>9</v>
      </c>
      <c r="BN21" t="s">
        <v>113</v>
      </c>
      <c r="BO21" t="s">
        <v>493</v>
      </c>
      <c r="BP21" t="s">
        <v>494</v>
      </c>
      <c r="BQ21" t="s">
        <v>140</v>
      </c>
      <c r="BR21">
        <v>87</v>
      </c>
      <c r="BS21">
        <v>8.7</v>
      </c>
      <c r="BT21">
        <v>2009</v>
      </c>
      <c r="BU21">
        <v>31</v>
      </c>
      <c r="BV21" t="s">
        <v>495</v>
      </c>
      <c r="BW21">
        <v>7</v>
      </c>
      <c r="BY21" t="s">
        <v>109</v>
      </c>
      <c r="CF21" t="s">
        <v>113</v>
      </c>
      <c r="CG21" t="s">
        <v>496</v>
      </c>
      <c r="CH21" t="s">
        <v>493</v>
      </c>
      <c r="CI21" t="s">
        <v>132</v>
      </c>
      <c r="CJ21">
        <v>2020</v>
      </c>
      <c r="CL21" t="s">
        <v>113</v>
      </c>
      <c r="CM21" t="s">
        <v>497</v>
      </c>
      <c r="CN21" t="s">
        <v>113</v>
      </c>
      <c r="CO21" t="s">
        <v>498</v>
      </c>
      <c r="CP21" t="s">
        <v>499</v>
      </c>
      <c r="CQ21" t="s">
        <v>500</v>
      </c>
      <c r="CR21" t="s">
        <v>136</v>
      </c>
      <c r="CS21" t="str">
        <f>HYPERLINK("https://nconnect.nicmar.ac.in/pdf/59_resume_1771428726.pdf/Y2FyZWVy","View Resume")</f>
        <v>0</v>
      </c>
    </row>
    <row r="22" spans="1:97">
      <c r="A22" t="s">
        <v>501</v>
      </c>
      <c r="B22" t="s">
        <v>138</v>
      </c>
      <c r="C22" t="s">
        <v>165</v>
      </c>
      <c r="D22" t="s">
        <v>319</v>
      </c>
      <c r="E22" t="s">
        <v>502</v>
      </c>
      <c r="F22" t="s">
        <v>503</v>
      </c>
      <c r="G22">
        <v>8789609794</v>
      </c>
      <c r="H22" t="s">
        <v>169</v>
      </c>
      <c r="I22" t="s">
        <v>504</v>
      </c>
      <c r="J22" t="s">
        <v>144</v>
      </c>
      <c r="K22" t="s">
        <v>505</v>
      </c>
      <c r="L22" t="s">
        <v>506</v>
      </c>
      <c r="M22" t="s">
        <v>507</v>
      </c>
      <c r="N22" t="s">
        <v>109</v>
      </c>
      <c r="AI22" t="s">
        <v>508</v>
      </c>
      <c r="AJ22" t="s">
        <v>509</v>
      </c>
      <c r="AK22" t="s">
        <v>510</v>
      </c>
      <c r="AL22">
        <v>83</v>
      </c>
      <c r="AN22">
        <v>2013</v>
      </c>
      <c r="AO22" t="s">
        <v>113</v>
      </c>
      <c r="AP22" t="s">
        <v>511</v>
      </c>
      <c r="AQ22" t="s">
        <v>509</v>
      </c>
      <c r="AR22" t="s">
        <v>512</v>
      </c>
      <c r="AS22">
        <v>75</v>
      </c>
      <c r="AU22">
        <v>2015</v>
      </c>
      <c r="AV22" t="s">
        <v>109</v>
      </c>
      <c r="BC22" t="s">
        <v>113</v>
      </c>
      <c r="BD22" t="s">
        <v>513</v>
      </c>
      <c r="BE22" t="s">
        <v>509</v>
      </c>
      <c r="BF22" t="s">
        <v>514</v>
      </c>
      <c r="BG22">
        <v>65.88</v>
      </c>
      <c r="BI22">
        <v>2018</v>
      </c>
      <c r="BJ22">
        <v>19</v>
      </c>
      <c r="BK22" t="s">
        <v>515</v>
      </c>
      <c r="BL22">
        <v>23</v>
      </c>
      <c r="BN22" t="s">
        <v>113</v>
      </c>
      <c r="BO22" t="s">
        <v>516</v>
      </c>
      <c r="BP22" t="s">
        <v>509</v>
      </c>
      <c r="BQ22" t="s">
        <v>517</v>
      </c>
      <c r="BR22">
        <v>73.63</v>
      </c>
      <c r="BT22">
        <v>2020</v>
      </c>
      <c r="BU22">
        <v>31</v>
      </c>
      <c r="BV22" t="s">
        <v>518</v>
      </c>
      <c r="BW22">
        <v>23</v>
      </c>
      <c r="BY22" t="s">
        <v>109</v>
      </c>
      <c r="CF22" t="s">
        <v>109</v>
      </c>
      <c r="CL22" t="s">
        <v>113</v>
      </c>
      <c r="CM22" t="s">
        <v>519</v>
      </c>
      <c r="CN22" t="s">
        <v>109</v>
      </c>
      <c r="CP22" t="s">
        <v>520</v>
      </c>
      <c r="CQ22" t="s">
        <v>500</v>
      </c>
      <c r="CR22" t="s">
        <v>136</v>
      </c>
      <c r="CS22" t="str">
        <f>HYPERLINK("https://nconnect.nicmar.ac.in/pdf/58_resume_1771428760.pdf/Y2FyZWVy","View Resume")</f>
        <v>0</v>
      </c>
    </row>
    <row r="23" spans="1:97">
      <c r="A23" t="s">
        <v>521</v>
      </c>
      <c r="B23" t="s">
        <v>138</v>
      </c>
      <c r="C23" t="s">
        <v>165</v>
      </c>
      <c r="D23" t="s">
        <v>522</v>
      </c>
      <c r="E23" t="s">
        <v>523</v>
      </c>
      <c r="F23" t="s">
        <v>524</v>
      </c>
      <c r="G23">
        <v>9836557871</v>
      </c>
      <c r="H23" t="s">
        <v>103</v>
      </c>
      <c r="I23" t="s">
        <v>525</v>
      </c>
      <c r="J23" t="s">
        <v>105</v>
      </c>
      <c r="K23" t="s">
        <v>526</v>
      </c>
      <c r="L23" t="s">
        <v>527</v>
      </c>
      <c r="M23" t="s">
        <v>528</v>
      </c>
      <c r="N23" t="s">
        <v>109</v>
      </c>
      <c r="AI23" t="s">
        <v>529</v>
      </c>
      <c r="AJ23" t="s">
        <v>530</v>
      </c>
      <c r="AK23" t="s">
        <v>531</v>
      </c>
      <c r="AL23">
        <v>67.5</v>
      </c>
      <c r="AM23">
        <v>0</v>
      </c>
      <c r="AN23">
        <v>1996</v>
      </c>
      <c r="AO23" t="s">
        <v>113</v>
      </c>
      <c r="AP23" t="s">
        <v>532</v>
      </c>
      <c r="AQ23" t="s">
        <v>533</v>
      </c>
      <c r="AR23" t="s">
        <v>534</v>
      </c>
      <c r="AS23">
        <v>53.3</v>
      </c>
      <c r="AU23">
        <v>1998</v>
      </c>
      <c r="AV23" t="s">
        <v>109</v>
      </c>
      <c r="BC23" t="s">
        <v>113</v>
      </c>
      <c r="BD23" t="s">
        <v>535</v>
      </c>
      <c r="BE23" t="s">
        <v>536</v>
      </c>
      <c r="BF23" t="s">
        <v>537</v>
      </c>
      <c r="BG23">
        <v>65.2</v>
      </c>
      <c r="BI23">
        <v>2003</v>
      </c>
      <c r="BJ23">
        <v>19</v>
      </c>
      <c r="BK23" t="s">
        <v>538</v>
      </c>
      <c r="BL23">
        <v>53</v>
      </c>
      <c r="BM23" t="s">
        <v>537</v>
      </c>
      <c r="BN23" t="s">
        <v>113</v>
      </c>
      <c r="BO23" t="s">
        <v>539</v>
      </c>
      <c r="BP23" t="s">
        <v>540</v>
      </c>
      <c r="BQ23" t="s">
        <v>541</v>
      </c>
      <c r="BR23">
        <v>69.5</v>
      </c>
      <c r="BS23">
        <v>6.95</v>
      </c>
      <c r="BT23">
        <v>2017</v>
      </c>
      <c r="BU23">
        <v>31</v>
      </c>
      <c r="BV23" t="s">
        <v>542</v>
      </c>
      <c r="BW23">
        <v>54</v>
      </c>
      <c r="BX23" t="s">
        <v>541</v>
      </c>
      <c r="BY23" t="s">
        <v>109</v>
      </c>
      <c r="CF23" t="s">
        <v>113</v>
      </c>
      <c r="CG23" t="s">
        <v>543</v>
      </c>
      <c r="CH23" t="s">
        <v>544</v>
      </c>
      <c r="CI23" t="s">
        <v>240</v>
      </c>
      <c r="CJ23">
        <v>2025</v>
      </c>
      <c r="CL23" t="s">
        <v>113</v>
      </c>
      <c r="CM23" t="s">
        <v>545</v>
      </c>
      <c r="CN23" t="s">
        <v>113</v>
      </c>
      <c r="CO23" t="s">
        <v>546</v>
      </c>
      <c r="CP23" t="s">
        <v>547</v>
      </c>
      <c r="CQ23" t="s">
        <v>548</v>
      </c>
      <c r="CR23" t="s">
        <v>136</v>
      </c>
      <c r="CS23" t="str">
        <f>HYPERLINK("https://nconnect.nicmar.ac.in/pdf/61_resume_1771431559.pdf/Y2FyZWVy","View Resume")</f>
        <v>0</v>
      </c>
    </row>
    <row r="24" spans="1:97">
      <c r="A24" t="s">
        <v>317</v>
      </c>
      <c r="B24" t="s">
        <v>318</v>
      </c>
      <c r="C24" t="s">
        <v>165</v>
      </c>
      <c r="D24" t="s">
        <v>319</v>
      </c>
      <c r="E24" t="s">
        <v>549</v>
      </c>
      <c r="F24" t="s">
        <v>550</v>
      </c>
      <c r="G24">
        <v>7588223673</v>
      </c>
      <c r="H24" t="s">
        <v>103</v>
      </c>
      <c r="I24" t="s">
        <v>551</v>
      </c>
      <c r="J24" t="s">
        <v>105</v>
      </c>
      <c r="K24" t="s">
        <v>505</v>
      </c>
      <c r="L24" t="s">
        <v>552</v>
      </c>
      <c r="M24" t="s">
        <v>553</v>
      </c>
      <c r="N24" t="s">
        <v>109</v>
      </c>
      <c r="AI24" t="s">
        <v>554</v>
      </c>
      <c r="AJ24" t="s">
        <v>555</v>
      </c>
      <c r="AK24" t="s">
        <v>556</v>
      </c>
      <c r="AL24">
        <v>44</v>
      </c>
      <c r="AN24">
        <v>1991</v>
      </c>
      <c r="AO24" t="s">
        <v>113</v>
      </c>
      <c r="AP24" t="s">
        <v>557</v>
      </c>
      <c r="AQ24" t="s">
        <v>558</v>
      </c>
      <c r="AR24" t="s">
        <v>559</v>
      </c>
      <c r="AS24">
        <v>58</v>
      </c>
      <c r="AU24">
        <v>1997</v>
      </c>
      <c r="AV24" t="s">
        <v>109</v>
      </c>
      <c r="BC24" t="s">
        <v>113</v>
      </c>
      <c r="BD24" t="s">
        <v>539</v>
      </c>
      <c r="BE24" t="s">
        <v>539</v>
      </c>
      <c r="BF24" t="s">
        <v>560</v>
      </c>
      <c r="BG24">
        <v>70.3</v>
      </c>
      <c r="BH24">
        <v>7.03</v>
      </c>
      <c r="BI24">
        <v>2001</v>
      </c>
      <c r="BJ24">
        <v>19</v>
      </c>
      <c r="BK24" t="s">
        <v>561</v>
      </c>
      <c r="BL24">
        <v>53</v>
      </c>
      <c r="BM24" t="s">
        <v>562</v>
      </c>
      <c r="BN24" t="s">
        <v>113</v>
      </c>
      <c r="BO24" t="s">
        <v>563</v>
      </c>
      <c r="BP24" t="s">
        <v>564</v>
      </c>
      <c r="BQ24" t="s">
        <v>338</v>
      </c>
      <c r="BR24">
        <v>81.01</v>
      </c>
      <c r="BT24">
        <v>2015</v>
      </c>
      <c r="BU24">
        <v>28</v>
      </c>
      <c r="BW24">
        <v>23</v>
      </c>
      <c r="BY24" t="s">
        <v>109</v>
      </c>
      <c r="BZ24" t="s">
        <v>565</v>
      </c>
      <c r="CA24" t="s">
        <v>565</v>
      </c>
      <c r="CF24" t="s">
        <v>113</v>
      </c>
      <c r="CG24" t="s">
        <v>338</v>
      </c>
      <c r="CH24" t="s">
        <v>566</v>
      </c>
      <c r="CI24" t="s">
        <v>132</v>
      </c>
      <c r="CJ24">
        <v>2022</v>
      </c>
      <c r="CL24" t="s">
        <v>113</v>
      </c>
      <c r="CM24" t="s">
        <v>567</v>
      </c>
      <c r="CN24" t="s">
        <v>113</v>
      </c>
      <c r="CO24" t="s">
        <v>568</v>
      </c>
      <c r="CP24" t="s">
        <v>569</v>
      </c>
      <c r="CQ24" t="s">
        <v>570</v>
      </c>
      <c r="CR24" t="s">
        <v>136</v>
      </c>
      <c r="CS24" t="str">
        <f>HYPERLINK("https://nconnect.nicmar.ac.in/pdf/65_resume_1771432312.pdf/Y2FyZWVy","View Resume")</f>
        <v>0</v>
      </c>
    </row>
    <row r="25" spans="1:97">
      <c r="A25" t="s">
        <v>137</v>
      </c>
      <c r="B25" t="s">
        <v>138</v>
      </c>
      <c r="C25" t="s">
        <v>139</v>
      </c>
      <c r="D25" t="s">
        <v>140</v>
      </c>
      <c r="E25" t="s">
        <v>571</v>
      </c>
      <c r="F25" t="s">
        <v>572</v>
      </c>
      <c r="G25">
        <v>8087363810</v>
      </c>
      <c r="H25" t="s">
        <v>103</v>
      </c>
      <c r="I25" t="s">
        <v>573</v>
      </c>
      <c r="J25" t="s">
        <v>105</v>
      </c>
      <c r="K25" t="s">
        <v>574</v>
      </c>
      <c r="L25" t="s">
        <v>575</v>
      </c>
      <c r="M25" t="s">
        <v>576</v>
      </c>
      <c r="N25" t="s">
        <v>109</v>
      </c>
      <c r="AI25" t="s">
        <v>577</v>
      </c>
      <c r="AJ25" t="s">
        <v>578</v>
      </c>
      <c r="AK25" t="s">
        <v>579</v>
      </c>
      <c r="AL25">
        <v>75.73</v>
      </c>
      <c r="AN25">
        <v>2006</v>
      </c>
      <c r="AO25" t="s">
        <v>113</v>
      </c>
      <c r="AP25" t="s">
        <v>580</v>
      </c>
      <c r="AQ25" t="s">
        <v>578</v>
      </c>
      <c r="AR25" t="s">
        <v>581</v>
      </c>
      <c r="AS25">
        <v>79.17</v>
      </c>
      <c r="AU25">
        <v>2008</v>
      </c>
      <c r="AV25" t="s">
        <v>109</v>
      </c>
      <c r="BC25" t="s">
        <v>113</v>
      </c>
      <c r="BD25" t="s">
        <v>582</v>
      </c>
      <c r="BE25" t="s">
        <v>583</v>
      </c>
      <c r="BF25" t="s">
        <v>584</v>
      </c>
      <c r="BG25">
        <v>69.3</v>
      </c>
      <c r="BH25">
        <v>6.93</v>
      </c>
      <c r="BI25">
        <v>2012</v>
      </c>
      <c r="BJ25">
        <v>1</v>
      </c>
      <c r="BL25">
        <v>9</v>
      </c>
      <c r="BN25" t="s">
        <v>113</v>
      </c>
      <c r="BO25" t="s">
        <v>582</v>
      </c>
      <c r="BP25" t="s">
        <v>583</v>
      </c>
      <c r="BQ25" t="s">
        <v>585</v>
      </c>
      <c r="BR25">
        <v>80.0</v>
      </c>
      <c r="BS25">
        <v>8.0</v>
      </c>
      <c r="BT25">
        <v>2015</v>
      </c>
      <c r="BU25">
        <v>14</v>
      </c>
      <c r="BW25">
        <v>7</v>
      </c>
      <c r="BY25" t="s">
        <v>109</v>
      </c>
      <c r="CF25" t="s">
        <v>113</v>
      </c>
      <c r="CG25" t="s">
        <v>586</v>
      </c>
      <c r="CH25" t="s">
        <v>587</v>
      </c>
      <c r="CI25" t="s">
        <v>132</v>
      </c>
      <c r="CJ25">
        <v>2023</v>
      </c>
      <c r="CL25" t="s">
        <v>113</v>
      </c>
      <c r="CM25" t="s">
        <v>588</v>
      </c>
      <c r="CN25" t="s">
        <v>113</v>
      </c>
      <c r="CO25" t="s">
        <v>589</v>
      </c>
      <c r="CP25" t="s">
        <v>590</v>
      </c>
      <c r="CQ25" t="s">
        <v>591</v>
      </c>
      <c r="CR25" t="s">
        <v>136</v>
      </c>
      <c r="CS25" t="str">
        <f>HYPERLINK("https://nconnect.nicmar.ac.in/pdf/57_resume_1771432787.pdf/Y2FyZWVy","View Resume")</f>
        <v>0</v>
      </c>
    </row>
    <row r="26" spans="1:97">
      <c r="A26" t="s">
        <v>343</v>
      </c>
      <c r="B26" t="s">
        <v>98</v>
      </c>
      <c r="C26" t="s">
        <v>295</v>
      </c>
      <c r="D26" t="s">
        <v>344</v>
      </c>
      <c r="E26" t="s">
        <v>592</v>
      </c>
      <c r="F26" t="s">
        <v>593</v>
      </c>
      <c r="G26">
        <v>7708414888</v>
      </c>
      <c r="H26" t="s">
        <v>169</v>
      </c>
      <c r="I26" t="s">
        <v>594</v>
      </c>
      <c r="J26" t="s">
        <v>595</v>
      </c>
      <c r="K26" t="s">
        <v>596</v>
      </c>
      <c r="L26" t="s">
        <v>597</v>
      </c>
      <c r="M26" t="s">
        <v>598</v>
      </c>
      <c r="N26" t="s">
        <v>109</v>
      </c>
      <c r="AI26" t="s">
        <v>599</v>
      </c>
      <c r="AJ26" t="s">
        <v>600</v>
      </c>
      <c r="AK26" t="s">
        <v>601</v>
      </c>
      <c r="AL26">
        <v>83</v>
      </c>
      <c r="AN26">
        <v>2005</v>
      </c>
      <c r="AO26" t="s">
        <v>113</v>
      </c>
      <c r="AP26" t="s">
        <v>602</v>
      </c>
      <c r="AQ26" t="s">
        <v>600</v>
      </c>
      <c r="AR26" t="s">
        <v>603</v>
      </c>
      <c r="AS26">
        <v>84</v>
      </c>
      <c r="AU26">
        <v>2007</v>
      </c>
      <c r="AV26" t="s">
        <v>109</v>
      </c>
      <c r="BC26" t="s">
        <v>113</v>
      </c>
      <c r="BD26" t="s">
        <v>307</v>
      </c>
      <c r="BE26" t="s">
        <v>604</v>
      </c>
      <c r="BF26" t="s">
        <v>309</v>
      </c>
      <c r="BG26">
        <v>75</v>
      </c>
      <c r="BH26">
        <v>7.5</v>
      </c>
      <c r="BI26">
        <v>2011</v>
      </c>
      <c r="BJ26">
        <v>2</v>
      </c>
      <c r="BL26">
        <v>9</v>
      </c>
      <c r="BN26" t="s">
        <v>113</v>
      </c>
      <c r="BO26" t="s">
        <v>605</v>
      </c>
      <c r="BP26" t="s">
        <v>606</v>
      </c>
      <c r="BQ26" t="s">
        <v>607</v>
      </c>
      <c r="BR26">
        <v>90</v>
      </c>
      <c r="BS26">
        <v>9.1</v>
      </c>
      <c r="BT26">
        <v>2013</v>
      </c>
      <c r="BU26">
        <v>12</v>
      </c>
      <c r="BW26">
        <v>12</v>
      </c>
      <c r="BY26" t="s">
        <v>109</v>
      </c>
      <c r="CF26" t="s">
        <v>113</v>
      </c>
      <c r="CG26" t="s">
        <v>608</v>
      </c>
      <c r="CH26" t="s">
        <v>609</v>
      </c>
      <c r="CI26" t="s">
        <v>240</v>
      </c>
      <c r="CK26" t="s">
        <v>109</v>
      </c>
      <c r="CL26" t="s">
        <v>113</v>
      </c>
      <c r="CM26" t="s">
        <v>610</v>
      </c>
      <c r="CN26" t="s">
        <v>113</v>
      </c>
      <c r="CO26" t="s">
        <v>611</v>
      </c>
      <c r="CP26" t="s">
        <v>612</v>
      </c>
      <c r="CQ26" t="s">
        <v>613</v>
      </c>
      <c r="CR26" t="s">
        <v>136</v>
      </c>
      <c r="CS26" t="str">
        <f>HYPERLINK("https://nconnect.nicmar.ac.in/pdf/49_resume_1771434545.pdf/Y2FyZWVy","View Resume")</f>
        <v>0</v>
      </c>
    </row>
    <row r="27" spans="1:97">
      <c r="A27" t="s">
        <v>521</v>
      </c>
      <c r="B27" t="s">
        <v>138</v>
      </c>
      <c r="C27" t="s">
        <v>165</v>
      </c>
      <c r="D27" t="s">
        <v>522</v>
      </c>
      <c r="E27" t="s">
        <v>614</v>
      </c>
      <c r="F27" t="s">
        <v>615</v>
      </c>
      <c r="G27">
        <v>9763404557</v>
      </c>
      <c r="H27" t="s">
        <v>169</v>
      </c>
      <c r="I27" t="s">
        <v>616</v>
      </c>
      <c r="J27" t="s">
        <v>105</v>
      </c>
      <c r="K27" t="s">
        <v>617</v>
      </c>
      <c r="L27" t="s">
        <v>618</v>
      </c>
      <c r="M27" t="s">
        <v>619</v>
      </c>
      <c r="N27" t="s">
        <v>109</v>
      </c>
      <c r="AI27" t="s">
        <v>620</v>
      </c>
      <c r="AJ27" t="s">
        <v>352</v>
      </c>
      <c r="AK27" t="s">
        <v>342</v>
      </c>
      <c r="AL27">
        <v>84.66</v>
      </c>
      <c r="AN27">
        <v>2005</v>
      </c>
      <c r="AO27" t="s">
        <v>113</v>
      </c>
      <c r="AP27" t="s">
        <v>621</v>
      </c>
      <c r="AQ27" t="s">
        <v>352</v>
      </c>
      <c r="AR27" t="s">
        <v>277</v>
      </c>
      <c r="AS27">
        <v>77.17</v>
      </c>
      <c r="AU27">
        <v>2007</v>
      </c>
      <c r="AV27" t="s">
        <v>109</v>
      </c>
      <c r="BC27" t="s">
        <v>113</v>
      </c>
      <c r="BD27" t="s">
        <v>279</v>
      </c>
      <c r="BE27" t="s">
        <v>622</v>
      </c>
      <c r="BF27" t="s">
        <v>623</v>
      </c>
      <c r="BG27">
        <v>77.83</v>
      </c>
      <c r="BI27">
        <v>2010</v>
      </c>
      <c r="BJ27">
        <v>19</v>
      </c>
      <c r="BK27" t="s">
        <v>624</v>
      </c>
      <c r="BL27">
        <v>11</v>
      </c>
      <c r="BN27" t="s">
        <v>113</v>
      </c>
      <c r="BO27" t="s">
        <v>279</v>
      </c>
      <c r="BP27" t="s">
        <v>625</v>
      </c>
      <c r="BQ27" t="s">
        <v>623</v>
      </c>
      <c r="BR27">
        <v>73.53</v>
      </c>
      <c r="BT27">
        <v>2012</v>
      </c>
      <c r="BU27">
        <v>31</v>
      </c>
      <c r="BV27" t="s">
        <v>626</v>
      </c>
      <c r="BW27">
        <v>11</v>
      </c>
      <c r="BY27" t="s">
        <v>109</v>
      </c>
      <c r="CF27" t="s">
        <v>109</v>
      </c>
      <c r="CI27" t="s">
        <v>240</v>
      </c>
      <c r="CK27" t="s">
        <v>109</v>
      </c>
      <c r="CL27" t="s">
        <v>113</v>
      </c>
      <c r="CM27" t="s">
        <v>627</v>
      </c>
      <c r="CN27" t="s">
        <v>113</v>
      </c>
      <c r="CO27" t="s">
        <v>628</v>
      </c>
      <c r="CP27" t="s">
        <v>629</v>
      </c>
      <c r="CQ27" t="s">
        <v>630</v>
      </c>
      <c r="CR27" t="s">
        <v>136</v>
      </c>
      <c r="CS27" t="str">
        <f>HYPERLINK("https://nconnect.nicmar.ac.in/pdf/53_resume_1771435162.pdf/Y2FyZWVy","View Resume")</f>
        <v>0</v>
      </c>
    </row>
    <row r="28" spans="1:97">
      <c r="A28" t="s">
        <v>223</v>
      </c>
      <c r="B28" t="s">
        <v>138</v>
      </c>
      <c r="C28" t="s">
        <v>165</v>
      </c>
      <c r="D28" t="s">
        <v>224</v>
      </c>
      <c r="E28" t="s">
        <v>631</v>
      </c>
      <c r="F28" t="s">
        <v>632</v>
      </c>
      <c r="G28">
        <v>9795226369</v>
      </c>
      <c r="H28" t="s">
        <v>169</v>
      </c>
      <c r="I28" t="s">
        <v>633</v>
      </c>
      <c r="J28" t="s">
        <v>105</v>
      </c>
      <c r="K28" t="s">
        <v>634</v>
      </c>
      <c r="L28" t="s">
        <v>635</v>
      </c>
      <c r="M28" t="s">
        <v>636</v>
      </c>
      <c r="N28" t="s">
        <v>109</v>
      </c>
      <c r="AI28" t="s">
        <v>637</v>
      </c>
      <c r="AJ28" t="s">
        <v>638</v>
      </c>
      <c r="AK28" t="s">
        <v>639</v>
      </c>
      <c r="AL28">
        <v>62</v>
      </c>
      <c r="AN28">
        <v>2004</v>
      </c>
      <c r="AO28" t="s">
        <v>113</v>
      </c>
      <c r="AP28" t="s">
        <v>637</v>
      </c>
      <c r="AQ28" t="s">
        <v>638</v>
      </c>
      <c r="AR28" t="s">
        <v>640</v>
      </c>
      <c r="AS28">
        <v>67</v>
      </c>
      <c r="AU28">
        <v>2006</v>
      </c>
      <c r="AV28" t="s">
        <v>113</v>
      </c>
      <c r="AW28" t="s">
        <v>641</v>
      </c>
      <c r="AX28" t="s">
        <v>642</v>
      </c>
      <c r="AY28" t="s">
        <v>643</v>
      </c>
      <c r="AZ28">
        <v>75</v>
      </c>
      <c r="BB28">
        <v>2011</v>
      </c>
      <c r="BC28" t="s">
        <v>113</v>
      </c>
      <c r="BD28" t="s">
        <v>644</v>
      </c>
      <c r="BE28" t="s">
        <v>645</v>
      </c>
      <c r="BF28" t="s">
        <v>646</v>
      </c>
      <c r="BG28">
        <v>73</v>
      </c>
      <c r="BI28">
        <v>2009</v>
      </c>
      <c r="BJ28">
        <v>19</v>
      </c>
      <c r="BK28" t="s">
        <v>647</v>
      </c>
      <c r="BL28">
        <v>11</v>
      </c>
      <c r="BN28" t="s">
        <v>113</v>
      </c>
      <c r="BO28" t="s">
        <v>648</v>
      </c>
      <c r="BP28" t="s">
        <v>649</v>
      </c>
      <c r="BQ28" t="s">
        <v>650</v>
      </c>
      <c r="BR28">
        <v>75</v>
      </c>
      <c r="BT28">
        <v>2023</v>
      </c>
      <c r="BU28">
        <v>31</v>
      </c>
      <c r="BV28" t="s">
        <v>339</v>
      </c>
      <c r="BW28">
        <v>53</v>
      </c>
      <c r="BX28" t="s">
        <v>651</v>
      </c>
      <c r="BY28" t="s">
        <v>109</v>
      </c>
      <c r="CF28" t="s">
        <v>109</v>
      </c>
      <c r="CL28" t="s">
        <v>113</v>
      </c>
      <c r="CM28" t="s">
        <v>652</v>
      </c>
      <c r="CN28" t="s">
        <v>113</v>
      </c>
      <c r="CO28" t="s">
        <v>653</v>
      </c>
      <c r="CP28" t="s">
        <v>654</v>
      </c>
      <c r="CQ28" t="s">
        <v>655</v>
      </c>
      <c r="CR28" t="s">
        <v>136</v>
      </c>
      <c r="CS28" t="str">
        <f>HYPERLINK("https://nconnect.nicmar.ac.in/pdf/68_resume_1771436581.pdf/Y2FyZWVy","View Resume")</f>
        <v>0</v>
      </c>
    </row>
    <row r="29" spans="1:97">
      <c r="A29" t="s">
        <v>656</v>
      </c>
      <c r="B29" t="s">
        <v>318</v>
      </c>
      <c r="C29" t="s">
        <v>139</v>
      </c>
      <c r="D29" t="s">
        <v>140</v>
      </c>
      <c r="E29" t="s">
        <v>657</v>
      </c>
      <c r="F29" t="s">
        <v>658</v>
      </c>
      <c r="G29">
        <v>7351683118</v>
      </c>
      <c r="H29" t="s">
        <v>103</v>
      </c>
      <c r="I29" t="s">
        <v>659</v>
      </c>
      <c r="J29" t="s">
        <v>105</v>
      </c>
      <c r="K29" t="s">
        <v>660</v>
      </c>
      <c r="L29" t="s">
        <v>661</v>
      </c>
      <c r="M29" t="s">
        <v>662</v>
      </c>
      <c r="N29" t="s">
        <v>109</v>
      </c>
      <c r="AI29" t="s">
        <v>663</v>
      </c>
      <c r="AJ29" t="s">
        <v>664</v>
      </c>
      <c r="AK29" t="s">
        <v>665</v>
      </c>
      <c r="AL29">
        <v>66</v>
      </c>
      <c r="AN29">
        <v>1996</v>
      </c>
      <c r="AO29" t="s">
        <v>113</v>
      </c>
      <c r="AP29" t="s">
        <v>666</v>
      </c>
      <c r="AQ29" t="s">
        <v>667</v>
      </c>
      <c r="AR29" t="s">
        <v>668</v>
      </c>
      <c r="AS29">
        <v>75</v>
      </c>
      <c r="AU29">
        <v>2000</v>
      </c>
      <c r="AV29" t="s">
        <v>109</v>
      </c>
      <c r="BC29" t="s">
        <v>113</v>
      </c>
      <c r="BD29" t="s">
        <v>669</v>
      </c>
      <c r="BE29" t="s">
        <v>670</v>
      </c>
      <c r="BF29" t="s">
        <v>309</v>
      </c>
      <c r="BG29">
        <v>54.2</v>
      </c>
      <c r="BI29">
        <v>2006</v>
      </c>
      <c r="BJ29">
        <v>2</v>
      </c>
      <c r="BL29">
        <v>9</v>
      </c>
      <c r="BN29" t="s">
        <v>113</v>
      </c>
      <c r="BO29" t="s">
        <v>669</v>
      </c>
      <c r="BP29" t="s">
        <v>671</v>
      </c>
      <c r="BQ29" t="s">
        <v>672</v>
      </c>
      <c r="BR29">
        <v>65</v>
      </c>
      <c r="BT29">
        <v>2010</v>
      </c>
      <c r="BU29">
        <v>14</v>
      </c>
      <c r="BW29">
        <v>47</v>
      </c>
      <c r="BY29" t="s">
        <v>109</v>
      </c>
      <c r="CF29" t="s">
        <v>113</v>
      </c>
      <c r="CG29" t="s">
        <v>673</v>
      </c>
      <c r="CH29" t="s">
        <v>674</v>
      </c>
      <c r="CI29" t="s">
        <v>132</v>
      </c>
      <c r="CJ29">
        <v>2024</v>
      </c>
      <c r="CL29" t="s">
        <v>109</v>
      </c>
      <c r="CN29" t="s">
        <v>113</v>
      </c>
      <c r="CO29" t="s">
        <v>675</v>
      </c>
      <c r="CP29" t="s">
        <v>676</v>
      </c>
      <c r="CQ29" t="s">
        <v>677</v>
      </c>
      <c r="CR29" t="s">
        <v>136</v>
      </c>
      <c r="CS29" t="str">
        <f>HYPERLINK("https://nconnect.nicmar.ac.in/pdf/66_resume_1771437898.pdf/Y2FyZWVy","View Resume")</f>
        <v>0</v>
      </c>
    </row>
    <row r="30" spans="1:97">
      <c r="A30" t="s">
        <v>137</v>
      </c>
      <c r="B30" t="s">
        <v>138</v>
      </c>
      <c r="C30" t="s">
        <v>139</v>
      </c>
      <c r="D30" t="s">
        <v>140</v>
      </c>
      <c r="E30" t="s">
        <v>678</v>
      </c>
      <c r="F30" t="s">
        <v>679</v>
      </c>
      <c r="G30">
        <v>9791667012</v>
      </c>
      <c r="H30" t="s">
        <v>103</v>
      </c>
      <c r="I30" t="s">
        <v>680</v>
      </c>
      <c r="J30" t="s">
        <v>105</v>
      </c>
      <c r="K30" t="s">
        <v>681</v>
      </c>
      <c r="L30" t="s">
        <v>682</v>
      </c>
      <c r="M30" t="s">
        <v>683</v>
      </c>
      <c r="N30" t="s">
        <v>109</v>
      </c>
      <c r="AI30" t="s">
        <v>684</v>
      </c>
      <c r="AJ30" t="s">
        <v>685</v>
      </c>
      <c r="AK30" t="s">
        <v>686</v>
      </c>
      <c r="AL30">
        <v>78.18</v>
      </c>
      <c r="AN30">
        <v>2005</v>
      </c>
      <c r="AO30" t="s">
        <v>113</v>
      </c>
      <c r="AP30" t="s">
        <v>687</v>
      </c>
      <c r="AQ30" t="s">
        <v>688</v>
      </c>
      <c r="AR30" t="s">
        <v>689</v>
      </c>
      <c r="AS30">
        <v>81.66</v>
      </c>
      <c r="AU30">
        <v>2007</v>
      </c>
      <c r="AV30" t="s">
        <v>109</v>
      </c>
      <c r="BC30" t="s">
        <v>113</v>
      </c>
      <c r="BD30" t="s">
        <v>690</v>
      </c>
      <c r="BE30" t="s">
        <v>691</v>
      </c>
      <c r="BF30" t="s">
        <v>692</v>
      </c>
      <c r="BG30">
        <v>71.0</v>
      </c>
      <c r="BH30">
        <v>7.1</v>
      </c>
      <c r="BI30">
        <v>2011</v>
      </c>
      <c r="BJ30">
        <v>2</v>
      </c>
      <c r="BL30">
        <v>9</v>
      </c>
      <c r="BN30" t="s">
        <v>113</v>
      </c>
      <c r="BO30" t="s">
        <v>693</v>
      </c>
      <c r="BP30" t="s">
        <v>694</v>
      </c>
      <c r="BQ30" t="s">
        <v>695</v>
      </c>
      <c r="BR30">
        <v>74.29</v>
      </c>
      <c r="BS30">
        <v>7.42</v>
      </c>
      <c r="BT30">
        <v>2015</v>
      </c>
      <c r="BU30">
        <v>31</v>
      </c>
      <c r="BV30" t="s">
        <v>696</v>
      </c>
      <c r="BW30">
        <v>47</v>
      </c>
      <c r="BY30" t="s">
        <v>109</v>
      </c>
      <c r="CF30" t="s">
        <v>113</v>
      </c>
      <c r="CG30" t="s">
        <v>697</v>
      </c>
      <c r="CH30" t="s">
        <v>698</v>
      </c>
      <c r="CI30" t="s">
        <v>132</v>
      </c>
      <c r="CJ30">
        <v>2025</v>
      </c>
      <c r="CL30" t="s">
        <v>113</v>
      </c>
      <c r="CM30" t="s">
        <v>699</v>
      </c>
      <c r="CN30" t="s">
        <v>113</v>
      </c>
      <c r="CO30" t="s">
        <v>700</v>
      </c>
      <c r="CP30" t="s">
        <v>701</v>
      </c>
      <c r="CQ30" t="s">
        <v>677</v>
      </c>
      <c r="CR30" t="s">
        <v>136</v>
      </c>
      <c r="CS30" t="str">
        <f>HYPERLINK("https://nconnect.nicmar.ac.in/pdf/55_resume_1771437908.pdf/Y2FyZWVy","View Resume")</f>
        <v>0</v>
      </c>
    </row>
    <row r="31" spans="1:97">
      <c r="A31" t="s">
        <v>702</v>
      </c>
      <c r="B31" t="s">
        <v>138</v>
      </c>
      <c r="C31" t="s">
        <v>703</v>
      </c>
      <c r="D31" t="s">
        <v>704</v>
      </c>
      <c r="E31" t="s">
        <v>705</v>
      </c>
      <c r="F31" t="s">
        <v>706</v>
      </c>
      <c r="G31">
        <v>7061260821</v>
      </c>
      <c r="H31" t="s">
        <v>169</v>
      </c>
      <c r="I31" t="s">
        <v>707</v>
      </c>
      <c r="J31" t="s">
        <v>105</v>
      </c>
      <c r="K31" t="s">
        <v>708</v>
      </c>
      <c r="L31" t="s">
        <v>709</v>
      </c>
      <c r="M31" t="s">
        <v>710</v>
      </c>
      <c r="N31" t="s">
        <v>109</v>
      </c>
      <c r="AI31" t="s">
        <v>711</v>
      </c>
      <c r="AJ31" t="s">
        <v>712</v>
      </c>
      <c r="AK31" t="s">
        <v>713</v>
      </c>
      <c r="AL31">
        <v>74.8</v>
      </c>
      <c r="AN31">
        <v>2010</v>
      </c>
      <c r="AO31" t="s">
        <v>113</v>
      </c>
      <c r="AP31" t="s">
        <v>714</v>
      </c>
      <c r="AQ31" t="s">
        <v>715</v>
      </c>
      <c r="AR31" t="s">
        <v>716</v>
      </c>
      <c r="AS31">
        <v>51</v>
      </c>
      <c r="AU31">
        <v>2012</v>
      </c>
      <c r="AV31" t="s">
        <v>109</v>
      </c>
      <c r="BC31" t="s">
        <v>113</v>
      </c>
      <c r="BD31" t="s">
        <v>717</v>
      </c>
      <c r="BE31" t="s">
        <v>718</v>
      </c>
      <c r="BF31" t="s">
        <v>719</v>
      </c>
      <c r="BG31">
        <v>60</v>
      </c>
      <c r="BH31">
        <v>6.25</v>
      </c>
      <c r="BI31">
        <v>2018</v>
      </c>
      <c r="BJ31">
        <v>8</v>
      </c>
      <c r="BL31">
        <v>2</v>
      </c>
      <c r="BN31" t="s">
        <v>113</v>
      </c>
      <c r="BO31" t="s">
        <v>720</v>
      </c>
      <c r="BP31" t="s">
        <v>721</v>
      </c>
      <c r="BQ31" t="s">
        <v>722</v>
      </c>
      <c r="BR31">
        <v>91.29</v>
      </c>
      <c r="BS31">
        <v>9.61</v>
      </c>
      <c r="BT31">
        <v>2020</v>
      </c>
      <c r="BU31">
        <v>31</v>
      </c>
      <c r="BV31" t="s">
        <v>723</v>
      </c>
      <c r="BW31">
        <v>53</v>
      </c>
      <c r="BX31" t="s">
        <v>724</v>
      </c>
      <c r="BY31" t="s">
        <v>109</v>
      </c>
      <c r="CF31" t="s">
        <v>113</v>
      </c>
      <c r="CG31" t="s">
        <v>725</v>
      </c>
      <c r="CH31" t="s">
        <v>720</v>
      </c>
      <c r="CI31" t="s">
        <v>132</v>
      </c>
      <c r="CJ31">
        <v>2024</v>
      </c>
      <c r="CL31" t="s">
        <v>109</v>
      </c>
      <c r="CN31" t="s">
        <v>113</v>
      </c>
      <c r="CO31" t="s">
        <v>726</v>
      </c>
      <c r="CP31" t="s">
        <v>727</v>
      </c>
      <c r="CQ31" t="s">
        <v>728</v>
      </c>
      <c r="CR31" t="s">
        <v>136</v>
      </c>
      <c r="CS31" t="str">
        <f>HYPERLINK("https://nconnect.nicmar.ac.in/pdf/67_resume_1771437799.pdf/Y2FyZWVy","View Resume")</f>
        <v>0</v>
      </c>
    </row>
    <row r="32" spans="1:97">
      <c r="A32" t="s">
        <v>372</v>
      </c>
      <c r="B32" t="s">
        <v>98</v>
      </c>
      <c r="C32" t="s">
        <v>165</v>
      </c>
      <c r="D32" t="s">
        <v>224</v>
      </c>
      <c r="E32" t="s">
        <v>729</v>
      </c>
      <c r="F32" t="s">
        <v>730</v>
      </c>
      <c r="G32">
        <v>9923017290</v>
      </c>
      <c r="H32" t="s">
        <v>103</v>
      </c>
      <c r="I32" t="s">
        <v>731</v>
      </c>
      <c r="J32" t="s">
        <v>105</v>
      </c>
      <c r="K32" t="s">
        <v>732</v>
      </c>
      <c r="L32" t="s">
        <v>733</v>
      </c>
      <c r="M32" t="s">
        <v>734</v>
      </c>
      <c r="N32" t="s">
        <v>109</v>
      </c>
      <c r="AI32" t="s">
        <v>735</v>
      </c>
      <c r="AJ32" t="s">
        <v>736</v>
      </c>
      <c r="AK32" t="s">
        <v>737</v>
      </c>
      <c r="AL32">
        <v>90</v>
      </c>
      <c r="AN32">
        <v>1993</v>
      </c>
      <c r="AO32" t="s">
        <v>113</v>
      </c>
      <c r="AP32" t="s">
        <v>735</v>
      </c>
      <c r="AQ32" t="s">
        <v>738</v>
      </c>
      <c r="AR32" t="s">
        <v>739</v>
      </c>
      <c r="AS32">
        <v>63</v>
      </c>
      <c r="AU32">
        <v>1995</v>
      </c>
      <c r="AV32" t="s">
        <v>113</v>
      </c>
      <c r="AW32" t="s">
        <v>740</v>
      </c>
      <c r="AX32" t="s">
        <v>259</v>
      </c>
      <c r="AY32" t="s">
        <v>451</v>
      </c>
      <c r="AZ32">
        <v>67</v>
      </c>
      <c r="BB32">
        <v>2013</v>
      </c>
      <c r="BC32" t="s">
        <v>113</v>
      </c>
      <c r="BD32" t="s">
        <v>741</v>
      </c>
      <c r="BE32" t="s">
        <v>742</v>
      </c>
      <c r="BF32" t="s">
        <v>743</v>
      </c>
      <c r="BG32">
        <v>58</v>
      </c>
      <c r="BI32">
        <v>1998</v>
      </c>
      <c r="BJ32">
        <v>19</v>
      </c>
      <c r="BK32" t="s">
        <v>743</v>
      </c>
      <c r="BL32">
        <v>53</v>
      </c>
      <c r="BM32" t="s">
        <v>744</v>
      </c>
      <c r="BN32" t="s">
        <v>113</v>
      </c>
      <c r="BO32" t="s">
        <v>259</v>
      </c>
      <c r="BP32" t="s">
        <v>745</v>
      </c>
      <c r="BQ32" t="s">
        <v>746</v>
      </c>
      <c r="BR32">
        <v>62</v>
      </c>
      <c r="BT32">
        <v>2002</v>
      </c>
      <c r="BU32">
        <v>31</v>
      </c>
      <c r="BV32" t="s">
        <v>339</v>
      </c>
      <c r="BW32">
        <v>33</v>
      </c>
      <c r="BY32" t="s">
        <v>113</v>
      </c>
      <c r="BZ32" t="s">
        <v>124</v>
      </c>
      <c r="CA32" t="s">
        <v>124</v>
      </c>
      <c r="CB32" t="s">
        <v>747</v>
      </c>
      <c r="CC32">
        <v>68</v>
      </c>
      <c r="CE32">
        <v>2012</v>
      </c>
      <c r="CF32" t="s">
        <v>113</v>
      </c>
      <c r="CG32" t="s">
        <v>451</v>
      </c>
      <c r="CH32" t="s">
        <v>748</v>
      </c>
      <c r="CI32" t="s">
        <v>240</v>
      </c>
      <c r="CK32" t="s">
        <v>109</v>
      </c>
      <c r="CL32" t="s">
        <v>113</v>
      </c>
      <c r="CM32" t="s">
        <v>749</v>
      </c>
      <c r="CN32" t="s">
        <v>113</v>
      </c>
      <c r="CO32" t="s">
        <v>750</v>
      </c>
      <c r="CP32" t="s">
        <v>737</v>
      </c>
      <c r="CQ32" t="s">
        <v>751</v>
      </c>
      <c r="CR32" t="s">
        <v>136</v>
      </c>
      <c r="CS32" t="str">
        <f>HYPERLINK("https://nconnect.nicmar.ac.in/pdf/63_resume_1771438570.pdf/Y2FyZWVy","View Resume")</f>
        <v>0</v>
      </c>
    </row>
    <row r="33" spans="1:97">
      <c r="A33" t="s">
        <v>137</v>
      </c>
      <c r="B33" t="s">
        <v>138</v>
      </c>
      <c r="C33" t="s">
        <v>139</v>
      </c>
      <c r="D33" t="s">
        <v>140</v>
      </c>
      <c r="E33" t="s">
        <v>752</v>
      </c>
      <c r="F33" t="s">
        <v>753</v>
      </c>
      <c r="G33">
        <v>9494350750</v>
      </c>
      <c r="H33" t="s">
        <v>103</v>
      </c>
      <c r="I33" t="s">
        <v>754</v>
      </c>
      <c r="J33" t="s">
        <v>144</v>
      </c>
      <c r="K33" t="s">
        <v>755</v>
      </c>
      <c r="L33" t="s">
        <v>756</v>
      </c>
      <c r="M33" t="s">
        <v>757</v>
      </c>
      <c r="N33" t="s">
        <v>109</v>
      </c>
      <c r="AI33" t="s">
        <v>758</v>
      </c>
      <c r="AJ33" t="s">
        <v>759</v>
      </c>
      <c r="AK33" t="s">
        <v>760</v>
      </c>
      <c r="AL33">
        <v>77.5</v>
      </c>
      <c r="AN33">
        <v>2007</v>
      </c>
      <c r="AO33" t="s">
        <v>113</v>
      </c>
      <c r="AP33" t="s">
        <v>761</v>
      </c>
      <c r="AQ33" t="s">
        <v>762</v>
      </c>
      <c r="AR33" t="s">
        <v>763</v>
      </c>
      <c r="AS33">
        <v>81.2</v>
      </c>
      <c r="AU33">
        <v>2009</v>
      </c>
      <c r="AV33" t="s">
        <v>109</v>
      </c>
      <c r="BC33" t="s">
        <v>113</v>
      </c>
      <c r="BD33" t="s">
        <v>764</v>
      </c>
      <c r="BE33" t="s">
        <v>765</v>
      </c>
      <c r="BF33" t="s">
        <v>766</v>
      </c>
      <c r="BG33">
        <v>68.17</v>
      </c>
      <c r="BI33">
        <v>2013</v>
      </c>
      <c r="BJ33">
        <v>2</v>
      </c>
      <c r="BL33">
        <v>9</v>
      </c>
      <c r="BN33" t="s">
        <v>113</v>
      </c>
      <c r="BO33" t="s">
        <v>764</v>
      </c>
      <c r="BP33" t="s">
        <v>767</v>
      </c>
      <c r="BQ33" t="s">
        <v>768</v>
      </c>
      <c r="BR33">
        <v>76.13</v>
      </c>
      <c r="BT33">
        <v>2018</v>
      </c>
      <c r="BU33">
        <v>14</v>
      </c>
      <c r="BW33">
        <v>47</v>
      </c>
      <c r="BY33" t="s">
        <v>109</v>
      </c>
      <c r="CF33" t="s">
        <v>113</v>
      </c>
      <c r="CG33" t="s">
        <v>140</v>
      </c>
      <c r="CH33" t="s">
        <v>769</v>
      </c>
      <c r="CI33" t="s">
        <v>132</v>
      </c>
      <c r="CJ33">
        <v>2025</v>
      </c>
      <c r="CL33" t="s">
        <v>109</v>
      </c>
      <c r="CN33" t="s">
        <v>109</v>
      </c>
      <c r="CP33" t="s">
        <v>770</v>
      </c>
      <c r="CQ33" t="s">
        <v>771</v>
      </c>
      <c r="CR33" t="s">
        <v>136</v>
      </c>
      <c r="CS33" t="str">
        <f>HYPERLINK("https://nconnect.nicmar.ac.in/pdf/73_resume_1771438974.pdf/Y2FyZWVy","View Resume")</f>
        <v>0</v>
      </c>
    </row>
    <row r="34" spans="1:97">
      <c r="A34" t="s">
        <v>772</v>
      </c>
      <c r="B34" t="s">
        <v>98</v>
      </c>
      <c r="C34" t="s">
        <v>703</v>
      </c>
      <c r="D34" t="s">
        <v>773</v>
      </c>
      <c r="E34" t="s">
        <v>774</v>
      </c>
      <c r="F34" t="s">
        <v>775</v>
      </c>
      <c r="G34">
        <v>9667737005</v>
      </c>
      <c r="H34" t="s">
        <v>103</v>
      </c>
      <c r="I34" t="s">
        <v>776</v>
      </c>
      <c r="J34" t="s">
        <v>105</v>
      </c>
      <c r="K34" t="s">
        <v>777</v>
      </c>
      <c r="L34" t="s">
        <v>778</v>
      </c>
      <c r="M34" t="s">
        <v>779</v>
      </c>
      <c r="N34" t="s">
        <v>109</v>
      </c>
      <c r="AI34" t="s">
        <v>780</v>
      </c>
      <c r="AJ34" t="s">
        <v>781</v>
      </c>
      <c r="AK34" t="s">
        <v>782</v>
      </c>
      <c r="AL34">
        <v>69</v>
      </c>
      <c r="AM34">
        <v>6.9</v>
      </c>
      <c r="AN34">
        <v>1999</v>
      </c>
      <c r="AO34" t="s">
        <v>113</v>
      </c>
      <c r="AP34" t="s">
        <v>783</v>
      </c>
      <c r="AQ34" t="s">
        <v>784</v>
      </c>
      <c r="AR34" t="s">
        <v>785</v>
      </c>
      <c r="AS34">
        <v>73.8</v>
      </c>
      <c r="AT34">
        <v>7.38</v>
      </c>
      <c r="AU34">
        <v>2001</v>
      </c>
      <c r="AV34" t="s">
        <v>109</v>
      </c>
      <c r="BC34" t="s">
        <v>113</v>
      </c>
      <c r="BD34" t="s">
        <v>786</v>
      </c>
      <c r="BE34" t="s">
        <v>787</v>
      </c>
      <c r="BF34" t="s">
        <v>788</v>
      </c>
      <c r="BG34">
        <v>56.7</v>
      </c>
      <c r="BH34">
        <v>5.7</v>
      </c>
      <c r="BI34">
        <v>2006</v>
      </c>
      <c r="BJ34">
        <v>19</v>
      </c>
      <c r="BK34" t="s">
        <v>789</v>
      </c>
      <c r="BL34">
        <v>11</v>
      </c>
      <c r="BM34" t="s">
        <v>790</v>
      </c>
      <c r="BN34" t="s">
        <v>113</v>
      </c>
      <c r="BO34" t="s">
        <v>791</v>
      </c>
      <c r="BP34" t="s">
        <v>792</v>
      </c>
      <c r="BQ34" t="s">
        <v>793</v>
      </c>
      <c r="BR34">
        <v>67</v>
      </c>
      <c r="BS34">
        <v>6.7</v>
      </c>
      <c r="BT34">
        <v>2021</v>
      </c>
      <c r="BU34">
        <v>31</v>
      </c>
      <c r="BV34" t="s">
        <v>793</v>
      </c>
      <c r="BW34">
        <v>33</v>
      </c>
      <c r="BY34" t="s">
        <v>113</v>
      </c>
      <c r="BZ34" t="s">
        <v>794</v>
      </c>
      <c r="CA34" t="s">
        <v>795</v>
      </c>
      <c r="CB34" t="s">
        <v>796</v>
      </c>
      <c r="CC34">
        <v>85</v>
      </c>
      <c r="CD34">
        <v>8.5</v>
      </c>
      <c r="CE34">
        <v>2027</v>
      </c>
      <c r="CF34" t="s">
        <v>113</v>
      </c>
      <c r="CG34" t="s">
        <v>797</v>
      </c>
      <c r="CH34" t="s">
        <v>794</v>
      </c>
      <c r="CI34" t="s">
        <v>240</v>
      </c>
      <c r="CK34" t="s">
        <v>113</v>
      </c>
      <c r="CL34" t="s">
        <v>113</v>
      </c>
      <c r="CM34" t="s">
        <v>798</v>
      </c>
      <c r="CN34" t="s">
        <v>113</v>
      </c>
      <c r="CO34" t="s">
        <v>799</v>
      </c>
      <c r="CP34" t="s">
        <v>800</v>
      </c>
      <c r="CQ34" t="s">
        <v>801</v>
      </c>
      <c r="CR34" t="s">
        <v>136</v>
      </c>
      <c r="CS34" t="str">
        <f>HYPERLINK("https://nconnect.nicmar.ac.in/pdf/76_resume_1771439489.pdf/Y2FyZWVy","View Resume")</f>
        <v>0</v>
      </c>
    </row>
    <row r="35" spans="1:97">
      <c r="A35" t="s">
        <v>802</v>
      </c>
      <c r="B35" t="s">
        <v>138</v>
      </c>
      <c r="C35" t="s">
        <v>165</v>
      </c>
      <c r="D35" t="s">
        <v>803</v>
      </c>
      <c r="E35" t="s">
        <v>804</v>
      </c>
      <c r="F35" t="s">
        <v>805</v>
      </c>
      <c r="G35">
        <v>9219782517</v>
      </c>
      <c r="H35" t="s">
        <v>103</v>
      </c>
      <c r="I35" t="s">
        <v>806</v>
      </c>
      <c r="J35" t="s">
        <v>144</v>
      </c>
      <c r="K35" t="s">
        <v>145</v>
      </c>
      <c r="L35" t="s">
        <v>807</v>
      </c>
      <c r="M35" t="s">
        <v>808</v>
      </c>
      <c r="N35" t="s">
        <v>109</v>
      </c>
      <c r="AI35" t="s">
        <v>809</v>
      </c>
      <c r="AJ35" t="s">
        <v>810</v>
      </c>
      <c r="AK35" t="s">
        <v>811</v>
      </c>
      <c r="AL35">
        <v>77.9</v>
      </c>
      <c r="AM35">
        <v>8.2</v>
      </c>
      <c r="AN35">
        <v>2013</v>
      </c>
      <c r="AO35" t="s">
        <v>113</v>
      </c>
      <c r="AP35" t="s">
        <v>812</v>
      </c>
      <c r="AQ35" t="s">
        <v>813</v>
      </c>
      <c r="AR35" t="s">
        <v>814</v>
      </c>
      <c r="AS35">
        <v>76.2</v>
      </c>
      <c r="AU35">
        <v>2015</v>
      </c>
      <c r="AV35" t="s">
        <v>109</v>
      </c>
      <c r="BC35" t="s">
        <v>113</v>
      </c>
      <c r="BD35" t="s">
        <v>815</v>
      </c>
      <c r="BE35" t="s">
        <v>816</v>
      </c>
      <c r="BF35" t="s">
        <v>817</v>
      </c>
      <c r="BG35">
        <v>80.31</v>
      </c>
      <c r="BH35">
        <v>8.03</v>
      </c>
      <c r="BI35">
        <v>2020</v>
      </c>
      <c r="BJ35">
        <v>19</v>
      </c>
      <c r="BK35" t="s">
        <v>818</v>
      </c>
      <c r="BL35">
        <v>53</v>
      </c>
      <c r="BM35" t="s">
        <v>817</v>
      </c>
      <c r="BN35" t="s">
        <v>113</v>
      </c>
      <c r="BO35" t="s">
        <v>819</v>
      </c>
      <c r="BP35" t="s">
        <v>820</v>
      </c>
      <c r="BQ35" t="s">
        <v>821</v>
      </c>
      <c r="BR35">
        <v>84.36</v>
      </c>
      <c r="BS35">
        <v>8.88</v>
      </c>
      <c r="BT35">
        <v>2022</v>
      </c>
      <c r="BU35">
        <v>31</v>
      </c>
      <c r="BV35" t="s">
        <v>822</v>
      </c>
      <c r="BW35">
        <v>53</v>
      </c>
      <c r="BX35" t="s">
        <v>821</v>
      </c>
      <c r="BY35" t="s">
        <v>109</v>
      </c>
      <c r="CF35" t="s">
        <v>113</v>
      </c>
      <c r="CG35" t="s">
        <v>823</v>
      </c>
      <c r="CH35" t="s">
        <v>819</v>
      </c>
      <c r="CI35" t="s">
        <v>240</v>
      </c>
      <c r="CK35" t="s">
        <v>109</v>
      </c>
      <c r="CL35" t="s">
        <v>113</v>
      </c>
      <c r="CM35" t="s">
        <v>824</v>
      </c>
      <c r="CN35" t="s">
        <v>113</v>
      </c>
      <c r="CO35" t="s">
        <v>825</v>
      </c>
      <c r="CP35" t="s">
        <v>435</v>
      </c>
      <c r="CQ35" t="s">
        <v>826</v>
      </c>
      <c r="CR35" t="s">
        <v>136</v>
      </c>
      <c r="CS35" t="str">
        <f>HYPERLINK("https://nconnect.nicmar.ac.in/pdf/81_resume_1771441842.pdf/Y2FyZWVy","View Resume")</f>
        <v>0</v>
      </c>
    </row>
    <row r="36" spans="1:97">
      <c r="A36" t="s">
        <v>192</v>
      </c>
      <c r="B36" t="s">
        <v>138</v>
      </c>
      <c r="C36" t="s">
        <v>165</v>
      </c>
      <c r="D36" t="s">
        <v>193</v>
      </c>
      <c r="E36" t="s">
        <v>827</v>
      </c>
      <c r="F36" t="s">
        <v>828</v>
      </c>
      <c r="G36">
        <v>8800946011</v>
      </c>
      <c r="H36" t="s">
        <v>103</v>
      </c>
      <c r="I36" t="s">
        <v>829</v>
      </c>
      <c r="J36" t="s">
        <v>144</v>
      </c>
      <c r="K36" t="s">
        <v>505</v>
      </c>
      <c r="L36" t="s">
        <v>830</v>
      </c>
      <c r="M36" t="s">
        <v>831</v>
      </c>
      <c r="N36" t="s">
        <v>109</v>
      </c>
      <c r="AI36" t="s">
        <v>832</v>
      </c>
      <c r="AJ36" t="s">
        <v>833</v>
      </c>
      <c r="AK36" t="s">
        <v>834</v>
      </c>
      <c r="AL36">
        <v>75.17</v>
      </c>
      <c r="AN36">
        <v>2008</v>
      </c>
      <c r="AO36" t="s">
        <v>113</v>
      </c>
      <c r="AP36" t="s">
        <v>835</v>
      </c>
      <c r="AQ36" t="s">
        <v>836</v>
      </c>
      <c r="AR36" t="s">
        <v>837</v>
      </c>
      <c r="AS36">
        <v>67.75</v>
      </c>
      <c r="AU36">
        <v>2010</v>
      </c>
      <c r="AV36" t="s">
        <v>109</v>
      </c>
      <c r="BC36" t="s">
        <v>113</v>
      </c>
      <c r="BD36" t="s">
        <v>815</v>
      </c>
      <c r="BE36" t="s">
        <v>838</v>
      </c>
      <c r="BF36" t="s">
        <v>839</v>
      </c>
      <c r="BG36">
        <v>56.36</v>
      </c>
      <c r="BI36">
        <v>2013</v>
      </c>
      <c r="BJ36">
        <v>19</v>
      </c>
      <c r="BK36" t="s">
        <v>515</v>
      </c>
      <c r="BL36">
        <v>27</v>
      </c>
      <c r="BN36" t="s">
        <v>113</v>
      </c>
      <c r="BO36" t="s">
        <v>815</v>
      </c>
      <c r="BP36" t="s">
        <v>840</v>
      </c>
      <c r="BQ36" t="s">
        <v>841</v>
      </c>
      <c r="BR36">
        <v>62.77</v>
      </c>
      <c r="BT36">
        <v>2016</v>
      </c>
      <c r="BU36">
        <v>31</v>
      </c>
      <c r="BV36" t="s">
        <v>339</v>
      </c>
      <c r="BW36">
        <v>33</v>
      </c>
      <c r="BY36" t="s">
        <v>109</v>
      </c>
      <c r="CF36" t="s">
        <v>113</v>
      </c>
      <c r="CG36" t="s">
        <v>746</v>
      </c>
      <c r="CH36" t="s">
        <v>842</v>
      </c>
      <c r="CI36" t="s">
        <v>240</v>
      </c>
      <c r="CK36" t="s">
        <v>113</v>
      </c>
      <c r="CL36" t="s">
        <v>109</v>
      </c>
      <c r="CN36" t="s">
        <v>113</v>
      </c>
      <c r="CO36" t="s">
        <v>843</v>
      </c>
      <c r="CP36" t="s">
        <v>844</v>
      </c>
      <c r="CQ36" t="s">
        <v>845</v>
      </c>
      <c r="CR36" t="s">
        <v>136</v>
      </c>
      <c r="CS36" t="str">
        <f>HYPERLINK("https://nconnect.nicmar.ac.in/pdf/82_resume_1771442100.pdf/Y2FyZWVy","View Resume")</f>
        <v>0</v>
      </c>
    </row>
    <row r="37" spans="1:97">
      <c r="A37" t="s">
        <v>846</v>
      </c>
      <c r="B37" t="s">
        <v>138</v>
      </c>
      <c r="C37" t="s">
        <v>165</v>
      </c>
      <c r="D37" t="s">
        <v>847</v>
      </c>
      <c r="E37" t="s">
        <v>848</v>
      </c>
      <c r="F37" t="s">
        <v>849</v>
      </c>
      <c r="G37">
        <v>7758003865</v>
      </c>
      <c r="H37" t="s">
        <v>169</v>
      </c>
      <c r="I37" t="s">
        <v>850</v>
      </c>
      <c r="J37" t="s">
        <v>105</v>
      </c>
      <c r="K37" t="s">
        <v>851</v>
      </c>
      <c r="L37" t="s">
        <v>852</v>
      </c>
      <c r="M37" t="s">
        <v>853</v>
      </c>
      <c r="N37" t="s">
        <v>109</v>
      </c>
      <c r="AI37" t="s">
        <v>854</v>
      </c>
      <c r="AJ37" t="s">
        <v>855</v>
      </c>
      <c r="AK37" t="s">
        <v>856</v>
      </c>
      <c r="AL37">
        <v>69.14</v>
      </c>
      <c r="AN37">
        <v>1996</v>
      </c>
      <c r="AO37" t="s">
        <v>113</v>
      </c>
      <c r="AP37" t="s">
        <v>857</v>
      </c>
      <c r="AQ37" t="s">
        <v>858</v>
      </c>
      <c r="AR37" t="s">
        <v>859</v>
      </c>
      <c r="AS37">
        <v>61.5</v>
      </c>
      <c r="AU37">
        <v>1996</v>
      </c>
      <c r="AV37" t="s">
        <v>109</v>
      </c>
      <c r="BC37" t="s">
        <v>113</v>
      </c>
      <c r="BD37" t="s">
        <v>860</v>
      </c>
      <c r="BE37" t="s">
        <v>857</v>
      </c>
      <c r="BF37" t="s">
        <v>861</v>
      </c>
      <c r="BG37">
        <v>67.36</v>
      </c>
      <c r="BI37">
        <v>1999</v>
      </c>
      <c r="BJ37">
        <v>19</v>
      </c>
      <c r="BK37" t="s">
        <v>862</v>
      </c>
      <c r="BL37">
        <v>53</v>
      </c>
      <c r="BM37" t="s">
        <v>863</v>
      </c>
      <c r="BN37" t="s">
        <v>113</v>
      </c>
      <c r="BO37" t="s">
        <v>864</v>
      </c>
      <c r="BP37" t="s">
        <v>865</v>
      </c>
      <c r="BQ37" t="s">
        <v>866</v>
      </c>
      <c r="BR37">
        <v>80.75</v>
      </c>
      <c r="BT37">
        <v>2010</v>
      </c>
      <c r="BU37">
        <v>31</v>
      </c>
      <c r="BV37" t="s">
        <v>867</v>
      </c>
      <c r="BW37">
        <v>53</v>
      </c>
      <c r="BX37" t="s">
        <v>868</v>
      </c>
      <c r="BY37" t="s">
        <v>113</v>
      </c>
      <c r="BZ37" t="s">
        <v>869</v>
      </c>
      <c r="CA37" t="s">
        <v>869</v>
      </c>
      <c r="CB37" t="s">
        <v>870</v>
      </c>
      <c r="CC37">
        <v>60</v>
      </c>
      <c r="CE37">
        <v>2012</v>
      </c>
      <c r="CF37" t="s">
        <v>113</v>
      </c>
      <c r="CG37" t="s">
        <v>871</v>
      </c>
      <c r="CH37" t="s">
        <v>872</v>
      </c>
      <c r="CI37" t="s">
        <v>240</v>
      </c>
      <c r="CK37" t="s">
        <v>109</v>
      </c>
      <c r="CL37" t="s">
        <v>113</v>
      </c>
      <c r="CM37" t="s">
        <v>873</v>
      </c>
      <c r="CN37" t="s">
        <v>113</v>
      </c>
      <c r="CO37" t="s">
        <v>874</v>
      </c>
      <c r="CP37" t="s">
        <v>856</v>
      </c>
      <c r="CQ37" t="s">
        <v>875</v>
      </c>
      <c r="CR37" t="str">
        <f>HYPERLINK("https://nconnect.nicmar.ac.in/public/storage/profile/699bfd976ddca.png","Download")</f>
        <v>0</v>
      </c>
      <c r="CS37" t="str">
        <f>HYPERLINK("https://nconnect.nicmar.ac.in/pdf/71_resume_1771831038.pdf/Y2FyZWVy","View Resume")</f>
        <v>0</v>
      </c>
    </row>
    <row r="38" spans="1:97">
      <c r="A38" t="s">
        <v>521</v>
      </c>
      <c r="B38" t="s">
        <v>138</v>
      </c>
      <c r="C38" t="s">
        <v>165</v>
      </c>
      <c r="D38" t="s">
        <v>522</v>
      </c>
      <c r="E38" t="s">
        <v>876</v>
      </c>
      <c r="F38" t="s">
        <v>877</v>
      </c>
      <c r="G38">
        <v>9860919443</v>
      </c>
      <c r="H38" t="s">
        <v>169</v>
      </c>
      <c r="I38" t="s">
        <v>878</v>
      </c>
      <c r="J38" t="s">
        <v>105</v>
      </c>
      <c r="K38" t="s">
        <v>879</v>
      </c>
      <c r="L38" t="s">
        <v>880</v>
      </c>
      <c r="M38" t="s">
        <v>881</v>
      </c>
      <c r="N38" t="s">
        <v>109</v>
      </c>
      <c r="AI38" t="s">
        <v>882</v>
      </c>
      <c r="AJ38" t="s">
        <v>883</v>
      </c>
      <c r="AK38" t="s">
        <v>884</v>
      </c>
      <c r="AL38">
        <v>65</v>
      </c>
      <c r="AN38">
        <v>1999</v>
      </c>
      <c r="AO38" t="s">
        <v>113</v>
      </c>
      <c r="AP38" t="s">
        <v>885</v>
      </c>
      <c r="AQ38" t="s">
        <v>883</v>
      </c>
      <c r="AR38" t="s">
        <v>886</v>
      </c>
      <c r="AS38">
        <v>66</v>
      </c>
      <c r="AU38">
        <v>2001</v>
      </c>
      <c r="AV38" t="s">
        <v>109</v>
      </c>
      <c r="BC38" t="s">
        <v>113</v>
      </c>
      <c r="BD38" t="s">
        <v>887</v>
      </c>
      <c r="BE38" t="s">
        <v>888</v>
      </c>
      <c r="BF38" t="s">
        <v>889</v>
      </c>
      <c r="BG38">
        <v>66.5</v>
      </c>
      <c r="BI38">
        <v>2007</v>
      </c>
      <c r="BJ38">
        <v>19</v>
      </c>
      <c r="BK38" t="s">
        <v>890</v>
      </c>
      <c r="BL38">
        <v>11</v>
      </c>
      <c r="BN38" t="s">
        <v>113</v>
      </c>
      <c r="BO38" t="s">
        <v>891</v>
      </c>
      <c r="BP38" t="s">
        <v>892</v>
      </c>
      <c r="BQ38" t="s">
        <v>893</v>
      </c>
      <c r="BR38">
        <v>77.9</v>
      </c>
      <c r="BT38">
        <v>2014</v>
      </c>
      <c r="BU38">
        <v>31</v>
      </c>
      <c r="BV38" t="s">
        <v>894</v>
      </c>
      <c r="BW38">
        <v>11</v>
      </c>
      <c r="BY38" t="s">
        <v>109</v>
      </c>
      <c r="CF38" t="s">
        <v>113</v>
      </c>
      <c r="CG38" t="s">
        <v>895</v>
      </c>
      <c r="CH38" t="s">
        <v>896</v>
      </c>
      <c r="CI38" t="s">
        <v>240</v>
      </c>
      <c r="CK38" t="s">
        <v>109</v>
      </c>
      <c r="CL38" t="s">
        <v>113</v>
      </c>
      <c r="CM38" t="s">
        <v>897</v>
      </c>
      <c r="CN38" t="s">
        <v>113</v>
      </c>
      <c r="CO38" t="s">
        <v>898</v>
      </c>
      <c r="CP38" t="s">
        <v>899</v>
      </c>
      <c r="CQ38" t="s">
        <v>900</v>
      </c>
      <c r="CR38" t="s">
        <v>136</v>
      </c>
      <c r="CS38" t="str">
        <f>HYPERLINK("https://nconnect.nicmar.ac.in/pdf/32_resume_1771459737.pdf/Y2FyZWVy","View Resume")</f>
        <v>0</v>
      </c>
    </row>
    <row r="39" spans="1:97">
      <c r="A39" t="s">
        <v>294</v>
      </c>
      <c r="B39" t="s">
        <v>138</v>
      </c>
      <c r="C39" t="s">
        <v>295</v>
      </c>
      <c r="D39" t="s">
        <v>296</v>
      </c>
      <c r="E39" t="s">
        <v>901</v>
      </c>
      <c r="F39" t="s">
        <v>902</v>
      </c>
      <c r="G39">
        <v>9797397402</v>
      </c>
      <c r="H39" t="s">
        <v>169</v>
      </c>
      <c r="I39" t="s">
        <v>903</v>
      </c>
      <c r="J39" t="s">
        <v>904</v>
      </c>
      <c r="K39" t="s">
        <v>905</v>
      </c>
      <c r="L39" t="s">
        <v>906</v>
      </c>
      <c r="M39" t="s">
        <v>907</v>
      </c>
      <c r="N39" t="s">
        <v>109</v>
      </c>
      <c r="AI39" t="s">
        <v>908</v>
      </c>
      <c r="AJ39" t="s">
        <v>909</v>
      </c>
      <c r="AK39" t="s">
        <v>910</v>
      </c>
      <c r="AL39">
        <v>0.0</v>
      </c>
      <c r="AM39">
        <v>9.8</v>
      </c>
      <c r="AN39">
        <v>2011</v>
      </c>
      <c r="AO39" t="s">
        <v>113</v>
      </c>
      <c r="AP39" t="s">
        <v>911</v>
      </c>
      <c r="AQ39" t="s">
        <v>912</v>
      </c>
      <c r="AR39" t="s">
        <v>913</v>
      </c>
      <c r="AS39">
        <v>87</v>
      </c>
      <c r="AT39">
        <v>0.0</v>
      </c>
      <c r="AU39">
        <v>2013</v>
      </c>
      <c r="AV39" t="s">
        <v>109</v>
      </c>
      <c r="BC39" t="s">
        <v>113</v>
      </c>
      <c r="BD39" t="s">
        <v>914</v>
      </c>
      <c r="BE39" t="s">
        <v>915</v>
      </c>
      <c r="BF39" t="s">
        <v>916</v>
      </c>
      <c r="BG39">
        <v>0.0</v>
      </c>
      <c r="BH39">
        <v>9.8</v>
      </c>
      <c r="BI39">
        <v>2017</v>
      </c>
      <c r="BJ39">
        <v>1</v>
      </c>
      <c r="BL39">
        <v>9</v>
      </c>
      <c r="BN39" t="s">
        <v>113</v>
      </c>
      <c r="BO39" t="s">
        <v>917</v>
      </c>
      <c r="BP39" t="s">
        <v>917</v>
      </c>
      <c r="BQ39" t="s">
        <v>918</v>
      </c>
      <c r="BR39">
        <v>0.0</v>
      </c>
      <c r="BS39">
        <v>3.8</v>
      </c>
      <c r="BT39">
        <v>2019</v>
      </c>
      <c r="BU39">
        <v>14</v>
      </c>
      <c r="BW39">
        <v>15</v>
      </c>
      <c r="BY39" t="s">
        <v>113</v>
      </c>
      <c r="BZ39" t="s">
        <v>919</v>
      </c>
      <c r="CA39" t="s">
        <v>919</v>
      </c>
      <c r="CB39" t="s">
        <v>920</v>
      </c>
      <c r="CC39">
        <v>0.0</v>
      </c>
      <c r="CD39">
        <v>4.0</v>
      </c>
      <c r="CE39">
        <v>2020</v>
      </c>
      <c r="CF39" t="s">
        <v>113</v>
      </c>
      <c r="CG39" t="s">
        <v>607</v>
      </c>
      <c r="CH39" t="s">
        <v>921</v>
      </c>
      <c r="CI39" t="s">
        <v>132</v>
      </c>
      <c r="CJ39">
        <v>2025</v>
      </c>
      <c r="CL39" t="s">
        <v>113</v>
      </c>
      <c r="CM39" t="s">
        <v>922</v>
      </c>
      <c r="CN39" t="s">
        <v>113</v>
      </c>
      <c r="CO39" t="s">
        <v>923</v>
      </c>
      <c r="CP39" t="s">
        <v>924</v>
      </c>
      <c r="CQ39" t="s">
        <v>925</v>
      </c>
      <c r="CR39" t="s">
        <v>136</v>
      </c>
      <c r="CS39" t="str">
        <f>HYPERLINK("https://nconnect.nicmar.ac.in/pdf/75_resume_1771462971.pdf/Y2FyZWVy","View Resume")</f>
        <v>0</v>
      </c>
    </row>
    <row r="40" spans="1:97">
      <c r="A40" t="s">
        <v>926</v>
      </c>
      <c r="B40" t="s">
        <v>318</v>
      </c>
      <c r="C40" t="s">
        <v>139</v>
      </c>
      <c r="D40" t="s">
        <v>927</v>
      </c>
      <c r="E40" t="s">
        <v>901</v>
      </c>
      <c r="F40" t="s">
        <v>902</v>
      </c>
      <c r="G40">
        <v>9797397402</v>
      </c>
      <c r="H40" t="s">
        <v>169</v>
      </c>
      <c r="I40" t="s">
        <v>903</v>
      </c>
      <c r="J40" t="s">
        <v>904</v>
      </c>
      <c r="K40" t="s">
        <v>905</v>
      </c>
      <c r="L40" t="s">
        <v>906</v>
      </c>
      <c r="M40" t="s">
        <v>907</v>
      </c>
      <c r="N40" t="s">
        <v>109</v>
      </c>
      <c r="AI40" t="s">
        <v>908</v>
      </c>
      <c r="AJ40" t="s">
        <v>909</v>
      </c>
      <c r="AK40" t="s">
        <v>910</v>
      </c>
      <c r="AL40">
        <v>0.0</v>
      </c>
      <c r="AM40">
        <v>9.8</v>
      </c>
      <c r="AN40">
        <v>2011</v>
      </c>
      <c r="AO40" t="s">
        <v>113</v>
      </c>
      <c r="AP40" t="s">
        <v>911</v>
      </c>
      <c r="AQ40" t="s">
        <v>912</v>
      </c>
      <c r="AR40" t="s">
        <v>913</v>
      </c>
      <c r="AS40">
        <v>87</v>
      </c>
      <c r="AT40">
        <v>0.0</v>
      </c>
      <c r="AU40">
        <v>2013</v>
      </c>
      <c r="AV40" t="s">
        <v>109</v>
      </c>
      <c r="BC40" t="s">
        <v>113</v>
      </c>
      <c r="BD40" t="s">
        <v>914</v>
      </c>
      <c r="BE40" t="s">
        <v>915</v>
      </c>
      <c r="BF40" t="s">
        <v>916</v>
      </c>
      <c r="BG40">
        <v>0.0</v>
      </c>
      <c r="BH40">
        <v>9.8</v>
      </c>
      <c r="BI40">
        <v>2017</v>
      </c>
      <c r="BJ40">
        <v>1</v>
      </c>
      <c r="BL40">
        <v>9</v>
      </c>
      <c r="BN40" t="s">
        <v>113</v>
      </c>
      <c r="BO40" t="s">
        <v>917</v>
      </c>
      <c r="BP40" t="s">
        <v>917</v>
      </c>
      <c r="BQ40" t="s">
        <v>918</v>
      </c>
      <c r="BR40">
        <v>0.0</v>
      </c>
      <c r="BS40">
        <v>3.8</v>
      </c>
      <c r="BT40">
        <v>2019</v>
      </c>
      <c r="BU40">
        <v>14</v>
      </c>
      <c r="BW40">
        <v>15</v>
      </c>
      <c r="BY40" t="s">
        <v>113</v>
      </c>
      <c r="BZ40" t="s">
        <v>919</v>
      </c>
      <c r="CA40" t="s">
        <v>919</v>
      </c>
      <c r="CB40" t="s">
        <v>920</v>
      </c>
      <c r="CC40">
        <v>0.0</v>
      </c>
      <c r="CD40">
        <v>4.0</v>
      </c>
      <c r="CE40">
        <v>2020</v>
      </c>
      <c r="CF40" t="s">
        <v>113</v>
      </c>
      <c r="CG40" t="s">
        <v>607</v>
      </c>
      <c r="CH40" t="s">
        <v>921</v>
      </c>
      <c r="CI40" t="s">
        <v>132</v>
      </c>
      <c r="CJ40">
        <v>2025</v>
      </c>
      <c r="CL40" t="s">
        <v>113</v>
      </c>
      <c r="CM40" t="s">
        <v>922</v>
      </c>
      <c r="CN40" t="s">
        <v>113</v>
      </c>
      <c r="CO40" t="s">
        <v>923</v>
      </c>
      <c r="CP40" t="s">
        <v>924</v>
      </c>
      <c r="CQ40" t="s">
        <v>928</v>
      </c>
      <c r="CR40" t="s">
        <v>136</v>
      </c>
      <c r="CS40" t="str">
        <f>HYPERLINK("https://nconnect.nicmar.ac.in/pdf/75_resume_1771462971.pdf/Y2FyZWVy","View Resume")</f>
        <v>0</v>
      </c>
    </row>
    <row r="41" spans="1:97">
      <c r="A41" t="s">
        <v>370</v>
      </c>
      <c r="B41" t="s">
        <v>138</v>
      </c>
      <c r="C41" t="s">
        <v>295</v>
      </c>
      <c r="D41" t="s">
        <v>371</v>
      </c>
      <c r="E41" t="s">
        <v>901</v>
      </c>
      <c r="F41" t="s">
        <v>902</v>
      </c>
      <c r="G41">
        <v>9797397402</v>
      </c>
      <c r="H41" t="s">
        <v>169</v>
      </c>
      <c r="I41" t="s">
        <v>903</v>
      </c>
      <c r="J41" t="s">
        <v>904</v>
      </c>
      <c r="K41" t="s">
        <v>905</v>
      </c>
      <c r="L41" t="s">
        <v>906</v>
      </c>
      <c r="M41" t="s">
        <v>907</v>
      </c>
      <c r="N41" t="s">
        <v>109</v>
      </c>
      <c r="AI41" t="s">
        <v>908</v>
      </c>
      <c r="AJ41" t="s">
        <v>909</v>
      </c>
      <c r="AK41" t="s">
        <v>910</v>
      </c>
      <c r="AL41">
        <v>0.0</v>
      </c>
      <c r="AM41">
        <v>9.8</v>
      </c>
      <c r="AN41">
        <v>2011</v>
      </c>
      <c r="AO41" t="s">
        <v>113</v>
      </c>
      <c r="AP41" t="s">
        <v>911</v>
      </c>
      <c r="AQ41" t="s">
        <v>912</v>
      </c>
      <c r="AR41" t="s">
        <v>913</v>
      </c>
      <c r="AS41">
        <v>87</v>
      </c>
      <c r="AT41">
        <v>0.0</v>
      </c>
      <c r="AU41">
        <v>2013</v>
      </c>
      <c r="AV41" t="s">
        <v>109</v>
      </c>
      <c r="BC41" t="s">
        <v>113</v>
      </c>
      <c r="BD41" t="s">
        <v>914</v>
      </c>
      <c r="BE41" t="s">
        <v>915</v>
      </c>
      <c r="BF41" t="s">
        <v>916</v>
      </c>
      <c r="BG41">
        <v>0.0</v>
      </c>
      <c r="BH41">
        <v>9.8</v>
      </c>
      <c r="BI41">
        <v>2017</v>
      </c>
      <c r="BJ41">
        <v>1</v>
      </c>
      <c r="BL41">
        <v>9</v>
      </c>
      <c r="BN41" t="s">
        <v>113</v>
      </c>
      <c r="BO41" t="s">
        <v>917</v>
      </c>
      <c r="BP41" t="s">
        <v>917</v>
      </c>
      <c r="BQ41" t="s">
        <v>918</v>
      </c>
      <c r="BR41">
        <v>0.0</v>
      </c>
      <c r="BS41">
        <v>3.8</v>
      </c>
      <c r="BT41">
        <v>2019</v>
      </c>
      <c r="BU41">
        <v>14</v>
      </c>
      <c r="BW41">
        <v>15</v>
      </c>
      <c r="BY41" t="s">
        <v>113</v>
      </c>
      <c r="BZ41" t="s">
        <v>919</v>
      </c>
      <c r="CA41" t="s">
        <v>919</v>
      </c>
      <c r="CB41" t="s">
        <v>920</v>
      </c>
      <c r="CC41">
        <v>0.0</v>
      </c>
      <c r="CD41">
        <v>4.0</v>
      </c>
      <c r="CE41">
        <v>2020</v>
      </c>
      <c r="CF41" t="s">
        <v>113</v>
      </c>
      <c r="CG41" t="s">
        <v>607</v>
      </c>
      <c r="CH41" t="s">
        <v>921</v>
      </c>
      <c r="CI41" t="s">
        <v>132</v>
      </c>
      <c r="CJ41">
        <v>2025</v>
      </c>
      <c r="CL41" t="s">
        <v>113</v>
      </c>
      <c r="CM41" t="s">
        <v>922</v>
      </c>
      <c r="CN41" t="s">
        <v>113</v>
      </c>
      <c r="CO41" t="s">
        <v>923</v>
      </c>
      <c r="CP41" t="s">
        <v>924</v>
      </c>
      <c r="CQ41" t="s">
        <v>929</v>
      </c>
      <c r="CR41" t="s">
        <v>136</v>
      </c>
      <c r="CS41" t="str">
        <f>HYPERLINK("https://nconnect.nicmar.ac.in/pdf/75_resume_1771462971.pdf/Y2FyZWVy","View Resume")</f>
        <v>0</v>
      </c>
    </row>
    <row r="42" spans="1:97">
      <c r="A42" t="s">
        <v>97</v>
      </c>
      <c r="B42" t="s">
        <v>98</v>
      </c>
      <c r="C42" t="s">
        <v>99</v>
      </c>
      <c r="D42" t="s">
        <v>100</v>
      </c>
      <c r="E42" t="s">
        <v>930</v>
      </c>
      <c r="F42" t="s">
        <v>931</v>
      </c>
      <c r="G42">
        <v>7038655213</v>
      </c>
      <c r="H42" t="s">
        <v>103</v>
      </c>
      <c r="I42" t="s">
        <v>932</v>
      </c>
      <c r="J42" t="s">
        <v>105</v>
      </c>
      <c r="K42" t="s">
        <v>933</v>
      </c>
      <c r="L42" t="s">
        <v>934</v>
      </c>
      <c r="M42" t="s">
        <v>935</v>
      </c>
      <c r="N42" t="s">
        <v>109</v>
      </c>
      <c r="AI42" t="s">
        <v>936</v>
      </c>
      <c r="AJ42" t="s">
        <v>937</v>
      </c>
      <c r="AK42" t="s">
        <v>938</v>
      </c>
      <c r="AL42">
        <v>70</v>
      </c>
      <c r="AN42">
        <v>2008</v>
      </c>
      <c r="AO42" t="s">
        <v>113</v>
      </c>
      <c r="AP42" t="s">
        <v>939</v>
      </c>
      <c r="AQ42" t="s">
        <v>940</v>
      </c>
      <c r="AR42" t="s">
        <v>941</v>
      </c>
      <c r="AS42">
        <v>80.58</v>
      </c>
      <c r="AU42">
        <v>2010</v>
      </c>
      <c r="AV42" t="s">
        <v>109</v>
      </c>
      <c r="BC42" t="s">
        <v>113</v>
      </c>
      <c r="BD42" t="s">
        <v>942</v>
      </c>
      <c r="BE42" t="s">
        <v>943</v>
      </c>
      <c r="BF42" t="s">
        <v>354</v>
      </c>
      <c r="BG42">
        <v>75.1</v>
      </c>
      <c r="BI42">
        <v>2014</v>
      </c>
      <c r="BJ42">
        <v>2</v>
      </c>
      <c r="BL42">
        <v>9</v>
      </c>
      <c r="BN42" t="s">
        <v>113</v>
      </c>
      <c r="BO42" t="s">
        <v>944</v>
      </c>
      <c r="BP42" t="s">
        <v>944</v>
      </c>
      <c r="BQ42" t="s">
        <v>945</v>
      </c>
      <c r="BR42">
        <v>63</v>
      </c>
      <c r="BT42">
        <v>2020</v>
      </c>
      <c r="BU42">
        <v>24</v>
      </c>
      <c r="BW42">
        <v>50</v>
      </c>
      <c r="BY42" t="s">
        <v>109</v>
      </c>
      <c r="CF42" t="s">
        <v>109</v>
      </c>
      <c r="CL42" t="s">
        <v>109</v>
      </c>
      <c r="CN42" t="s">
        <v>109</v>
      </c>
      <c r="CP42" t="s">
        <v>946</v>
      </c>
      <c r="CQ42" t="s">
        <v>947</v>
      </c>
      <c r="CR42" t="s">
        <v>136</v>
      </c>
      <c r="CS42" t="str">
        <f>HYPERLINK("https://nconnect.nicmar.ac.in/pdf/89_resume_1771463848.pdf/Y2FyZWVy","View Resume")</f>
        <v>0</v>
      </c>
    </row>
    <row r="43" spans="1:97">
      <c r="A43" t="s">
        <v>656</v>
      </c>
      <c r="B43" t="s">
        <v>318</v>
      </c>
      <c r="C43" t="s">
        <v>139</v>
      </c>
      <c r="D43" t="s">
        <v>140</v>
      </c>
      <c r="E43" t="s">
        <v>948</v>
      </c>
      <c r="F43" t="s">
        <v>949</v>
      </c>
      <c r="G43">
        <v>9944224485</v>
      </c>
      <c r="H43" t="s">
        <v>103</v>
      </c>
      <c r="I43" t="s">
        <v>950</v>
      </c>
      <c r="J43" t="s">
        <v>105</v>
      </c>
      <c r="K43" t="s">
        <v>484</v>
      </c>
      <c r="L43" t="s">
        <v>951</v>
      </c>
      <c r="M43" t="s">
        <v>952</v>
      </c>
      <c r="N43" t="s">
        <v>113</v>
      </c>
      <c r="O43" t="s">
        <v>953</v>
      </c>
      <c r="P43" t="s">
        <v>954</v>
      </c>
      <c r="AI43" t="s">
        <v>955</v>
      </c>
      <c r="AJ43" t="s">
        <v>956</v>
      </c>
      <c r="AK43" t="s">
        <v>957</v>
      </c>
      <c r="AL43">
        <v>55</v>
      </c>
      <c r="AN43">
        <v>2000</v>
      </c>
      <c r="AO43" t="s">
        <v>109</v>
      </c>
      <c r="AV43" t="s">
        <v>113</v>
      </c>
      <c r="AW43" t="s">
        <v>958</v>
      </c>
      <c r="AX43" t="s">
        <v>959</v>
      </c>
      <c r="AY43" t="s">
        <v>960</v>
      </c>
      <c r="AZ43">
        <v>89</v>
      </c>
      <c r="BB43">
        <v>2003</v>
      </c>
      <c r="BC43" t="s">
        <v>113</v>
      </c>
      <c r="BD43" t="s">
        <v>961</v>
      </c>
      <c r="BE43" t="s">
        <v>962</v>
      </c>
      <c r="BF43" t="s">
        <v>963</v>
      </c>
      <c r="BG43">
        <v>71</v>
      </c>
      <c r="BI43">
        <v>2007</v>
      </c>
      <c r="BJ43">
        <v>2</v>
      </c>
      <c r="BL43">
        <v>9</v>
      </c>
      <c r="BN43" t="s">
        <v>113</v>
      </c>
      <c r="BO43" t="s">
        <v>964</v>
      </c>
      <c r="BP43" t="s">
        <v>965</v>
      </c>
      <c r="BQ43" t="s">
        <v>966</v>
      </c>
      <c r="BR43">
        <v>84</v>
      </c>
      <c r="BS43">
        <v>8.4</v>
      </c>
      <c r="BT43">
        <v>2009</v>
      </c>
      <c r="BU43">
        <v>14</v>
      </c>
      <c r="BW43">
        <v>47</v>
      </c>
      <c r="BY43" t="s">
        <v>109</v>
      </c>
      <c r="CF43" t="s">
        <v>113</v>
      </c>
      <c r="CG43" t="s">
        <v>140</v>
      </c>
      <c r="CH43" t="s">
        <v>967</v>
      </c>
      <c r="CI43" t="s">
        <v>132</v>
      </c>
      <c r="CJ43">
        <v>2015</v>
      </c>
      <c r="CL43" t="s">
        <v>113</v>
      </c>
      <c r="CM43" t="s">
        <v>968</v>
      </c>
      <c r="CN43" t="s">
        <v>113</v>
      </c>
      <c r="CO43" t="s">
        <v>969</v>
      </c>
      <c r="CP43" t="s">
        <v>970</v>
      </c>
      <c r="CQ43" t="s">
        <v>971</v>
      </c>
      <c r="CR43" t="s">
        <v>136</v>
      </c>
      <c r="CS43" t="str">
        <f>HYPERLINK("https://nconnect.nicmar.ac.in/pdf/88_resume_1771465920.pdf/Y2FyZWVy","View Resume")</f>
        <v>0</v>
      </c>
    </row>
    <row r="44" spans="1:97">
      <c r="A44" t="s">
        <v>164</v>
      </c>
      <c r="B44" t="s">
        <v>138</v>
      </c>
      <c r="C44" t="s">
        <v>165</v>
      </c>
      <c r="D44" t="s">
        <v>166</v>
      </c>
      <c r="E44" t="s">
        <v>972</v>
      </c>
      <c r="F44" t="s">
        <v>973</v>
      </c>
      <c r="G44">
        <v>9177096356</v>
      </c>
      <c r="H44" t="s">
        <v>103</v>
      </c>
      <c r="I44" t="s">
        <v>974</v>
      </c>
      <c r="J44" t="s">
        <v>105</v>
      </c>
      <c r="K44" t="s">
        <v>975</v>
      </c>
      <c r="L44" t="s">
        <v>976</v>
      </c>
      <c r="M44" t="s">
        <v>977</v>
      </c>
      <c r="N44" t="s">
        <v>109</v>
      </c>
      <c r="AI44" t="s">
        <v>978</v>
      </c>
      <c r="AJ44" t="s">
        <v>759</v>
      </c>
      <c r="AK44" t="s">
        <v>979</v>
      </c>
      <c r="AL44">
        <v>77</v>
      </c>
      <c r="AN44">
        <v>1998</v>
      </c>
      <c r="AO44" t="s">
        <v>113</v>
      </c>
      <c r="AP44" t="s">
        <v>980</v>
      </c>
      <c r="AQ44" t="s">
        <v>762</v>
      </c>
      <c r="AR44" t="s">
        <v>981</v>
      </c>
      <c r="AS44">
        <v>80</v>
      </c>
      <c r="AU44">
        <v>2000</v>
      </c>
      <c r="AV44" t="s">
        <v>109</v>
      </c>
      <c r="BC44" t="s">
        <v>113</v>
      </c>
      <c r="BD44" t="s">
        <v>982</v>
      </c>
      <c r="BE44" t="s">
        <v>983</v>
      </c>
      <c r="BF44" t="s">
        <v>984</v>
      </c>
      <c r="BG44">
        <v>74.16</v>
      </c>
      <c r="BI44">
        <v>2004</v>
      </c>
      <c r="BJ44">
        <v>19</v>
      </c>
      <c r="BK44" t="s">
        <v>985</v>
      </c>
      <c r="BL44">
        <v>11</v>
      </c>
      <c r="BN44" t="s">
        <v>113</v>
      </c>
      <c r="BO44" t="s">
        <v>983</v>
      </c>
      <c r="BP44" t="s">
        <v>986</v>
      </c>
      <c r="BQ44" t="s">
        <v>193</v>
      </c>
      <c r="BR44">
        <v>63.3</v>
      </c>
      <c r="BT44">
        <v>2006</v>
      </c>
      <c r="BU44">
        <v>31</v>
      </c>
      <c r="BV44" t="s">
        <v>987</v>
      </c>
      <c r="BW44">
        <v>33</v>
      </c>
      <c r="BY44" t="s">
        <v>113</v>
      </c>
      <c r="BZ44" t="s">
        <v>983</v>
      </c>
      <c r="CA44" t="s">
        <v>988</v>
      </c>
      <c r="CB44" t="s">
        <v>989</v>
      </c>
      <c r="CC44">
        <v>68.5</v>
      </c>
      <c r="CE44">
        <v>2009</v>
      </c>
      <c r="CF44" t="s">
        <v>113</v>
      </c>
      <c r="CG44" t="s">
        <v>990</v>
      </c>
      <c r="CH44" t="s">
        <v>983</v>
      </c>
      <c r="CI44" t="s">
        <v>132</v>
      </c>
      <c r="CJ44">
        <v>2013</v>
      </c>
      <c r="CL44" t="s">
        <v>109</v>
      </c>
      <c r="CN44" t="s">
        <v>113</v>
      </c>
      <c r="CO44" t="s">
        <v>991</v>
      </c>
      <c r="CP44" t="s">
        <v>992</v>
      </c>
      <c r="CQ44" t="s">
        <v>993</v>
      </c>
      <c r="CR44" t="str">
        <f>HYPERLINK("https://nconnect.nicmar.ac.in/public/storage/profile/69993803e7de4.png","Download")</f>
        <v>0</v>
      </c>
      <c r="CS44" t="str">
        <f>HYPERLINK("https://nconnect.nicmar.ac.in/pdf/9_resume_1771472117.pdf/Y2FyZWVy","View Resume")</f>
        <v>0</v>
      </c>
    </row>
    <row r="45" spans="1:97">
      <c r="A45" t="s">
        <v>192</v>
      </c>
      <c r="B45" t="s">
        <v>138</v>
      </c>
      <c r="C45" t="s">
        <v>165</v>
      </c>
      <c r="D45" t="s">
        <v>193</v>
      </c>
      <c r="E45" t="s">
        <v>972</v>
      </c>
      <c r="F45" t="s">
        <v>973</v>
      </c>
      <c r="G45">
        <v>9177096356</v>
      </c>
      <c r="H45" t="s">
        <v>103</v>
      </c>
      <c r="I45" t="s">
        <v>974</v>
      </c>
      <c r="J45" t="s">
        <v>105</v>
      </c>
      <c r="K45" t="s">
        <v>975</v>
      </c>
      <c r="L45" t="s">
        <v>976</v>
      </c>
      <c r="M45" t="s">
        <v>977</v>
      </c>
      <c r="N45" t="s">
        <v>109</v>
      </c>
      <c r="AI45" t="s">
        <v>978</v>
      </c>
      <c r="AJ45" t="s">
        <v>759</v>
      </c>
      <c r="AK45" t="s">
        <v>979</v>
      </c>
      <c r="AL45">
        <v>77</v>
      </c>
      <c r="AN45">
        <v>1998</v>
      </c>
      <c r="AO45" t="s">
        <v>113</v>
      </c>
      <c r="AP45" t="s">
        <v>980</v>
      </c>
      <c r="AQ45" t="s">
        <v>762</v>
      </c>
      <c r="AR45" t="s">
        <v>981</v>
      </c>
      <c r="AS45">
        <v>80</v>
      </c>
      <c r="AU45">
        <v>2000</v>
      </c>
      <c r="AV45" t="s">
        <v>109</v>
      </c>
      <c r="BC45" t="s">
        <v>113</v>
      </c>
      <c r="BD45" t="s">
        <v>982</v>
      </c>
      <c r="BE45" t="s">
        <v>983</v>
      </c>
      <c r="BF45" t="s">
        <v>984</v>
      </c>
      <c r="BG45">
        <v>74.16</v>
      </c>
      <c r="BI45">
        <v>2004</v>
      </c>
      <c r="BJ45">
        <v>19</v>
      </c>
      <c r="BK45" t="s">
        <v>985</v>
      </c>
      <c r="BL45">
        <v>11</v>
      </c>
      <c r="BN45" t="s">
        <v>113</v>
      </c>
      <c r="BO45" t="s">
        <v>983</v>
      </c>
      <c r="BP45" t="s">
        <v>986</v>
      </c>
      <c r="BQ45" t="s">
        <v>193</v>
      </c>
      <c r="BR45">
        <v>63.3</v>
      </c>
      <c r="BT45">
        <v>2006</v>
      </c>
      <c r="BU45">
        <v>31</v>
      </c>
      <c r="BV45" t="s">
        <v>987</v>
      </c>
      <c r="BW45">
        <v>33</v>
      </c>
      <c r="BY45" t="s">
        <v>113</v>
      </c>
      <c r="BZ45" t="s">
        <v>983</v>
      </c>
      <c r="CA45" t="s">
        <v>988</v>
      </c>
      <c r="CB45" t="s">
        <v>989</v>
      </c>
      <c r="CC45">
        <v>68.5</v>
      </c>
      <c r="CE45">
        <v>2009</v>
      </c>
      <c r="CF45" t="s">
        <v>113</v>
      </c>
      <c r="CG45" t="s">
        <v>990</v>
      </c>
      <c r="CH45" t="s">
        <v>983</v>
      </c>
      <c r="CI45" t="s">
        <v>132</v>
      </c>
      <c r="CJ45">
        <v>2013</v>
      </c>
      <c r="CL45" t="s">
        <v>109</v>
      </c>
      <c r="CN45" t="s">
        <v>113</v>
      </c>
      <c r="CO45" t="s">
        <v>991</v>
      </c>
      <c r="CP45" t="s">
        <v>992</v>
      </c>
      <c r="CQ45" t="s">
        <v>993</v>
      </c>
      <c r="CR45" t="str">
        <f>HYPERLINK("https://nconnect.nicmar.ac.in/public/storage/profile/69993803e7de4.png","Download")</f>
        <v>0</v>
      </c>
      <c r="CS45" t="str">
        <f>HYPERLINK("https://nconnect.nicmar.ac.in/pdf/9_resume_1771472117.pdf/Y2FyZWVy","View Resume")</f>
        <v>0</v>
      </c>
    </row>
    <row r="46" spans="1:97">
      <c r="A46" t="s">
        <v>317</v>
      </c>
      <c r="B46" t="s">
        <v>318</v>
      </c>
      <c r="C46" t="s">
        <v>165</v>
      </c>
      <c r="D46" t="s">
        <v>319</v>
      </c>
      <c r="E46" t="s">
        <v>994</v>
      </c>
      <c r="F46" t="s">
        <v>995</v>
      </c>
      <c r="G46">
        <v>8686070425</v>
      </c>
      <c r="H46" t="s">
        <v>103</v>
      </c>
      <c r="I46" t="s">
        <v>996</v>
      </c>
      <c r="J46" t="s">
        <v>105</v>
      </c>
      <c r="K46" t="s">
        <v>997</v>
      </c>
      <c r="L46" t="s">
        <v>998</v>
      </c>
      <c r="M46" t="s">
        <v>999</v>
      </c>
      <c r="N46" t="s">
        <v>109</v>
      </c>
      <c r="AI46" t="s">
        <v>1000</v>
      </c>
      <c r="AJ46" t="s">
        <v>1001</v>
      </c>
      <c r="AK46" t="s">
        <v>1002</v>
      </c>
      <c r="AL46">
        <v>66.6</v>
      </c>
      <c r="AN46">
        <v>1994</v>
      </c>
      <c r="AO46" t="s">
        <v>113</v>
      </c>
      <c r="AP46" t="s">
        <v>1003</v>
      </c>
      <c r="AQ46" t="s">
        <v>1004</v>
      </c>
      <c r="AR46" t="s">
        <v>1005</v>
      </c>
      <c r="AS46">
        <v>74</v>
      </c>
      <c r="AU46">
        <v>1997</v>
      </c>
      <c r="AV46" t="s">
        <v>109</v>
      </c>
      <c r="BC46" t="s">
        <v>113</v>
      </c>
      <c r="BD46" t="s">
        <v>1006</v>
      </c>
      <c r="BE46" t="s">
        <v>1007</v>
      </c>
      <c r="BF46" t="s">
        <v>1008</v>
      </c>
      <c r="BG46">
        <v>52</v>
      </c>
      <c r="BI46">
        <v>2002</v>
      </c>
      <c r="BJ46">
        <v>19</v>
      </c>
      <c r="BK46" t="s">
        <v>1009</v>
      </c>
      <c r="BL46">
        <v>24</v>
      </c>
      <c r="BN46" t="s">
        <v>113</v>
      </c>
      <c r="BO46" t="s">
        <v>1010</v>
      </c>
      <c r="BP46" t="s">
        <v>1011</v>
      </c>
      <c r="BQ46" t="s">
        <v>1012</v>
      </c>
      <c r="BR46">
        <v>78.5</v>
      </c>
      <c r="BT46">
        <v>2011</v>
      </c>
      <c r="BU46">
        <v>31</v>
      </c>
      <c r="BV46" t="s">
        <v>1013</v>
      </c>
      <c r="BW46">
        <v>23</v>
      </c>
      <c r="BY46" t="s">
        <v>109</v>
      </c>
      <c r="CF46" t="s">
        <v>113</v>
      </c>
      <c r="CG46" t="s">
        <v>1014</v>
      </c>
      <c r="CH46" t="s">
        <v>1015</v>
      </c>
      <c r="CI46" t="s">
        <v>132</v>
      </c>
      <c r="CJ46">
        <v>2021</v>
      </c>
      <c r="CL46" t="s">
        <v>113</v>
      </c>
      <c r="CN46" t="s">
        <v>113</v>
      </c>
      <c r="CO46" t="s">
        <v>1016</v>
      </c>
      <c r="CP46" t="s">
        <v>397</v>
      </c>
      <c r="CQ46" t="s">
        <v>1017</v>
      </c>
      <c r="CR46" t="s">
        <v>136</v>
      </c>
      <c r="CS46" t="str">
        <f>HYPERLINK("https://nconnect.nicmar.ac.in/pdf/91_resume_1771473884.pdf/Y2FyZWVy","View Resume")</f>
        <v>0</v>
      </c>
    </row>
    <row r="47" spans="1:97">
      <c r="A47" t="s">
        <v>164</v>
      </c>
      <c r="B47" t="s">
        <v>138</v>
      </c>
      <c r="C47" t="s">
        <v>165</v>
      </c>
      <c r="D47" t="s">
        <v>166</v>
      </c>
      <c r="E47" t="s">
        <v>1018</v>
      </c>
      <c r="F47" t="s">
        <v>1019</v>
      </c>
      <c r="G47">
        <v>9760790335</v>
      </c>
      <c r="H47" t="s">
        <v>103</v>
      </c>
      <c r="I47" t="s">
        <v>1020</v>
      </c>
      <c r="J47" t="s">
        <v>144</v>
      </c>
      <c r="K47" t="s">
        <v>1021</v>
      </c>
      <c r="L47" t="s">
        <v>1022</v>
      </c>
      <c r="M47" t="s">
        <v>1023</v>
      </c>
      <c r="N47" t="s">
        <v>109</v>
      </c>
      <c r="AI47" t="s">
        <v>1024</v>
      </c>
      <c r="AJ47" t="s">
        <v>1025</v>
      </c>
      <c r="AK47" t="s">
        <v>1026</v>
      </c>
      <c r="AL47">
        <v>78</v>
      </c>
      <c r="AN47">
        <v>2009</v>
      </c>
      <c r="AO47" t="s">
        <v>113</v>
      </c>
      <c r="AP47" t="s">
        <v>1027</v>
      </c>
      <c r="AQ47" t="s">
        <v>1025</v>
      </c>
      <c r="AR47" t="s">
        <v>1028</v>
      </c>
      <c r="AS47">
        <v>62</v>
      </c>
      <c r="AU47">
        <v>2012</v>
      </c>
      <c r="AV47" t="s">
        <v>109</v>
      </c>
      <c r="BC47" t="s">
        <v>113</v>
      </c>
      <c r="BD47" t="s">
        <v>1029</v>
      </c>
      <c r="BE47" t="s">
        <v>1025</v>
      </c>
      <c r="BF47" t="s">
        <v>1030</v>
      </c>
      <c r="BG47">
        <v>74</v>
      </c>
      <c r="BI47">
        <v>2016</v>
      </c>
      <c r="BJ47">
        <v>19</v>
      </c>
      <c r="BK47" t="s">
        <v>1031</v>
      </c>
      <c r="BL47">
        <v>27</v>
      </c>
      <c r="BN47" t="s">
        <v>113</v>
      </c>
      <c r="BO47" t="s">
        <v>1029</v>
      </c>
      <c r="BP47" t="s">
        <v>1025</v>
      </c>
      <c r="BQ47" t="s">
        <v>1032</v>
      </c>
      <c r="BR47">
        <v>72</v>
      </c>
      <c r="BT47">
        <v>2020</v>
      </c>
      <c r="BU47">
        <v>31</v>
      </c>
      <c r="BV47" t="s">
        <v>339</v>
      </c>
      <c r="BW47">
        <v>32</v>
      </c>
      <c r="BY47" t="s">
        <v>109</v>
      </c>
      <c r="CF47" t="s">
        <v>113</v>
      </c>
      <c r="CG47" t="s">
        <v>1033</v>
      </c>
      <c r="CH47" t="s">
        <v>1034</v>
      </c>
      <c r="CI47" t="s">
        <v>132</v>
      </c>
      <c r="CJ47">
        <v>2025</v>
      </c>
      <c r="CL47" t="s">
        <v>113</v>
      </c>
      <c r="CM47" t="s">
        <v>1035</v>
      </c>
      <c r="CN47" t="s">
        <v>109</v>
      </c>
      <c r="CP47" t="s">
        <v>1026</v>
      </c>
      <c r="CQ47" t="s">
        <v>1036</v>
      </c>
      <c r="CR47" t="s">
        <v>136</v>
      </c>
      <c r="CS47" t="str">
        <f>HYPERLINK("https://nconnect.nicmar.ac.in/pdf/101_resume_1771477688.pdf/Y2FyZWVy","View Resume")</f>
        <v>0</v>
      </c>
    </row>
    <row r="48" spans="1:97">
      <c r="A48" t="s">
        <v>164</v>
      </c>
      <c r="B48" t="s">
        <v>138</v>
      </c>
      <c r="C48" t="s">
        <v>165</v>
      </c>
      <c r="D48" t="s">
        <v>166</v>
      </c>
      <c r="E48" t="s">
        <v>1037</v>
      </c>
      <c r="F48" t="s">
        <v>1038</v>
      </c>
      <c r="G48">
        <v>9914629263</v>
      </c>
      <c r="H48" t="s">
        <v>103</v>
      </c>
      <c r="I48" t="s">
        <v>1039</v>
      </c>
      <c r="J48" t="s">
        <v>105</v>
      </c>
      <c r="K48" t="s">
        <v>505</v>
      </c>
      <c r="L48" t="s">
        <v>1040</v>
      </c>
      <c r="M48" t="s">
        <v>1041</v>
      </c>
      <c r="N48" t="s">
        <v>109</v>
      </c>
      <c r="AI48" t="s">
        <v>1042</v>
      </c>
      <c r="AJ48" t="s">
        <v>1043</v>
      </c>
      <c r="AK48" t="s">
        <v>782</v>
      </c>
      <c r="AL48">
        <v>73.67</v>
      </c>
      <c r="AN48">
        <v>2006</v>
      </c>
      <c r="AO48" t="s">
        <v>113</v>
      </c>
      <c r="AP48" t="s">
        <v>1044</v>
      </c>
      <c r="AQ48" t="s">
        <v>1043</v>
      </c>
      <c r="AR48" t="s">
        <v>668</v>
      </c>
      <c r="AS48">
        <v>62.92</v>
      </c>
      <c r="AU48">
        <v>2008</v>
      </c>
      <c r="AV48" t="s">
        <v>109</v>
      </c>
      <c r="BC48" t="s">
        <v>113</v>
      </c>
      <c r="BD48" t="s">
        <v>1045</v>
      </c>
      <c r="BE48" t="s">
        <v>1046</v>
      </c>
      <c r="BF48" t="s">
        <v>1047</v>
      </c>
      <c r="BG48">
        <v>70.11</v>
      </c>
      <c r="BI48">
        <v>2012</v>
      </c>
      <c r="BJ48">
        <v>19</v>
      </c>
      <c r="BK48" t="s">
        <v>1048</v>
      </c>
      <c r="BL48">
        <v>34</v>
      </c>
      <c r="BN48" t="s">
        <v>113</v>
      </c>
      <c r="BO48" t="s">
        <v>1049</v>
      </c>
      <c r="BP48" t="s">
        <v>1050</v>
      </c>
      <c r="BQ48" t="s">
        <v>1047</v>
      </c>
      <c r="BR48">
        <v>88.3</v>
      </c>
      <c r="BS48">
        <v>8.83</v>
      </c>
      <c r="BT48">
        <v>2016</v>
      </c>
      <c r="BU48">
        <v>31</v>
      </c>
      <c r="BV48" t="s">
        <v>1051</v>
      </c>
      <c r="BW48">
        <v>34</v>
      </c>
      <c r="BY48" t="s">
        <v>109</v>
      </c>
      <c r="CF48" t="s">
        <v>113</v>
      </c>
      <c r="CG48" t="s">
        <v>1052</v>
      </c>
      <c r="CH48" t="s">
        <v>1053</v>
      </c>
      <c r="CI48" t="s">
        <v>132</v>
      </c>
      <c r="CJ48">
        <v>2023</v>
      </c>
      <c r="CL48" t="s">
        <v>109</v>
      </c>
      <c r="CN48" t="s">
        <v>113</v>
      </c>
      <c r="CO48" t="s">
        <v>1054</v>
      </c>
      <c r="CP48" t="s">
        <v>1055</v>
      </c>
      <c r="CQ48" t="s">
        <v>1056</v>
      </c>
      <c r="CR48" t="s">
        <v>136</v>
      </c>
      <c r="CS48" t="str">
        <f>HYPERLINK("https://nconnect.nicmar.ac.in/pdf/102_resume_1771478004.pdf/Y2FyZWVy","View Resume")</f>
        <v>0</v>
      </c>
    </row>
    <row r="49" spans="1:97">
      <c r="A49" t="s">
        <v>501</v>
      </c>
      <c r="B49" t="s">
        <v>138</v>
      </c>
      <c r="C49" t="s">
        <v>165</v>
      </c>
      <c r="D49" t="s">
        <v>319</v>
      </c>
      <c r="E49" t="s">
        <v>1057</v>
      </c>
      <c r="F49" t="s">
        <v>1058</v>
      </c>
      <c r="G49">
        <v>9881153579</v>
      </c>
      <c r="H49" t="s">
        <v>169</v>
      </c>
      <c r="I49" t="s">
        <v>1059</v>
      </c>
      <c r="J49" t="s">
        <v>105</v>
      </c>
      <c r="K49" t="s">
        <v>1060</v>
      </c>
      <c r="L49" t="s">
        <v>1061</v>
      </c>
      <c r="M49" t="s">
        <v>1062</v>
      </c>
      <c r="N49" t="s">
        <v>109</v>
      </c>
      <c r="AI49" t="s">
        <v>1063</v>
      </c>
      <c r="AJ49" t="s">
        <v>1064</v>
      </c>
      <c r="AK49" t="s">
        <v>1065</v>
      </c>
      <c r="AL49">
        <v>89.84</v>
      </c>
      <c r="AN49">
        <v>2009</v>
      </c>
      <c r="AO49" t="s">
        <v>113</v>
      </c>
      <c r="AP49" t="s">
        <v>1066</v>
      </c>
      <c r="AQ49" t="s">
        <v>1067</v>
      </c>
      <c r="AR49" t="s">
        <v>1068</v>
      </c>
      <c r="AS49">
        <v>68</v>
      </c>
      <c r="AU49">
        <v>2011</v>
      </c>
      <c r="AV49" t="s">
        <v>109</v>
      </c>
      <c r="BC49" t="s">
        <v>113</v>
      </c>
      <c r="BD49" t="s">
        <v>279</v>
      </c>
      <c r="BE49" t="s">
        <v>1069</v>
      </c>
      <c r="BF49" t="s">
        <v>281</v>
      </c>
      <c r="BG49">
        <v>78</v>
      </c>
      <c r="BI49">
        <v>2014</v>
      </c>
      <c r="BJ49">
        <v>19</v>
      </c>
      <c r="BK49" t="s">
        <v>1070</v>
      </c>
      <c r="BL49">
        <v>53</v>
      </c>
      <c r="BM49" t="s">
        <v>281</v>
      </c>
      <c r="BN49" t="s">
        <v>113</v>
      </c>
      <c r="BO49" t="s">
        <v>279</v>
      </c>
      <c r="BP49" t="s">
        <v>1069</v>
      </c>
      <c r="BQ49" t="s">
        <v>1071</v>
      </c>
      <c r="BR49">
        <v>72</v>
      </c>
      <c r="BT49">
        <v>2018</v>
      </c>
      <c r="BU49">
        <v>31</v>
      </c>
      <c r="BV49" t="s">
        <v>1072</v>
      </c>
      <c r="BW49">
        <v>17</v>
      </c>
      <c r="BY49" t="s">
        <v>109</v>
      </c>
      <c r="CF49" t="s">
        <v>113</v>
      </c>
      <c r="CG49" t="s">
        <v>1071</v>
      </c>
      <c r="CH49" t="s">
        <v>1073</v>
      </c>
      <c r="CI49" t="s">
        <v>132</v>
      </c>
      <c r="CJ49">
        <v>2025</v>
      </c>
      <c r="CL49" t="s">
        <v>113</v>
      </c>
      <c r="CN49" t="s">
        <v>113</v>
      </c>
      <c r="CO49" t="s">
        <v>1074</v>
      </c>
      <c r="CP49" t="s">
        <v>1075</v>
      </c>
      <c r="CQ49" t="s">
        <v>1076</v>
      </c>
      <c r="CR49" t="s">
        <v>136</v>
      </c>
      <c r="CS49" t="str">
        <f>HYPERLINK("https://nconnect.nicmar.ac.in/pdf/100_resume_1771479382.pdf/Y2FyZWVy","View Resume")</f>
        <v>0</v>
      </c>
    </row>
    <row r="50" spans="1:97">
      <c r="A50" t="s">
        <v>846</v>
      </c>
      <c r="B50" t="s">
        <v>138</v>
      </c>
      <c r="C50" t="s">
        <v>165</v>
      </c>
      <c r="D50" t="s">
        <v>847</v>
      </c>
      <c r="E50" t="s">
        <v>1057</v>
      </c>
      <c r="F50" t="s">
        <v>1058</v>
      </c>
      <c r="G50">
        <v>9881153579</v>
      </c>
      <c r="H50" t="s">
        <v>169</v>
      </c>
      <c r="I50" t="s">
        <v>1059</v>
      </c>
      <c r="J50" t="s">
        <v>105</v>
      </c>
      <c r="K50" t="s">
        <v>1060</v>
      </c>
      <c r="L50" t="s">
        <v>1061</v>
      </c>
      <c r="M50" t="s">
        <v>1062</v>
      </c>
      <c r="N50" t="s">
        <v>109</v>
      </c>
      <c r="AI50" t="s">
        <v>1063</v>
      </c>
      <c r="AJ50" t="s">
        <v>1064</v>
      </c>
      <c r="AK50" t="s">
        <v>1065</v>
      </c>
      <c r="AL50">
        <v>89.84</v>
      </c>
      <c r="AN50">
        <v>2009</v>
      </c>
      <c r="AO50" t="s">
        <v>113</v>
      </c>
      <c r="AP50" t="s">
        <v>1066</v>
      </c>
      <c r="AQ50" t="s">
        <v>1067</v>
      </c>
      <c r="AR50" t="s">
        <v>1068</v>
      </c>
      <c r="AS50">
        <v>68</v>
      </c>
      <c r="AU50">
        <v>2011</v>
      </c>
      <c r="AV50" t="s">
        <v>109</v>
      </c>
      <c r="BC50" t="s">
        <v>113</v>
      </c>
      <c r="BD50" t="s">
        <v>279</v>
      </c>
      <c r="BE50" t="s">
        <v>1069</v>
      </c>
      <c r="BF50" t="s">
        <v>281</v>
      </c>
      <c r="BG50">
        <v>78</v>
      </c>
      <c r="BI50">
        <v>2014</v>
      </c>
      <c r="BJ50">
        <v>19</v>
      </c>
      <c r="BK50" t="s">
        <v>1070</v>
      </c>
      <c r="BL50">
        <v>53</v>
      </c>
      <c r="BM50" t="s">
        <v>281</v>
      </c>
      <c r="BN50" t="s">
        <v>113</v>
      </c>
      <c r="BO50" t="s">
        <v>279</v>
      </c>
      <c r="BP50" t="s">
        <v>1069</v>
      </c>
      <c r="BQ50" t="s">
        <v>1071</v>
      </c>
      <c r="BR50">
        <v>72</v>
      </c>
      <c r="BT50">
        <v>2018</v>
      </c>
      <c r="BU50">
        <v>31</v>
      </c>
      <c r="BV50" t="s">
        <v>1072</v>
      </c>
      <c r="BW50">
        <v>17</v>
      </c>
      <c r="BY50" t="s">
        <v>109</v>
      </c>
      <c r="CF50" t="s">
        <v>113</v>
      </c>
      <c r="CG50" t="s">
        <v>1071</v>
      </c>
      <c r="CH50" t="s">
        <v>1073</v>
      </c>
      <c r="CI50" t="s">
        <v>132</v>
      </c>
      <c r="CJ50">
        <v>2025</v>
      </c>
      <c r="CL50" t="s">
        <v>113</v>
      </c>
      <c r="CN50" t="s">
        <v>113</v>
      </c>
      <c r="CO50" t="s">
        <v>1074</v>
      </c>
      <c r="CP50" t="s">
        <v>1075</v>
      </c>
      <c r="CQ50" t="s">
        <v>1077</v>
      </c>
      <c r="CR50" t="s">
        <v>136</v>
      </c>
      <c r="CS50" t="str">
        <f>HYPERLINK("https://nconnect.nicmar.ac.in/pdf/100_resume_1771479382.pdf/Y2FyZWVy","View Resume")</f>
        <v>0</v>
      </c>
    </row>
    <row r="51" spans="1:97">
      <c r="A51" t="s">
        <v>137</v>
      </c>
      <c r="B51" t="s">
        <v>138</v>
      </c>
      <c r="C51" t="s">
        <v>139</v>
      </c>
      <c r="D51" t="s">
        <v>140</v>
      </c>
      <c r="E51" t="s">
        <v>1078</v>
      </c>
      <c r="F51" t="s">
        <v>1079</v>
      </c>
      <c r="G51">
        <v>7006069264</v>
      </c>
      <c r="H51" t="s">
        <v>103</v>
      </c>
      <c r="I51" t="s">
        <v>1080</v>
      </c>
      <c r="J51" t="s">
        <v>144</v>
      </c>
      <c r="K51" t="s">
        <v>1081</v>
      </c>
      <c r="L51" t="s">
        <v>1082</v>
      </c>
      <c r="M51" t="s">
        <v>1083</v>
      </c>
      <c r="N51" t="s">
        <v>109</v>
      </c>
      <c r="AI51" t="s">
        <v>1084</v>
      </c>
      <c r="AJ51" t="s">
        <v>1085</v>
      </c>
      <c r="AK51" t="s">
        <v>1086</v>
      </c>
      <c r="AL51">
        <v>79.6</v>
      </c>
      <c r="AN51">
        <v>2009</v>
      </c>
      <c r="AO51" t="s">
        <v>113</v>
      </c>
      <c r="AP51" t="s">
        <v>1087</v>
      </c>
      <c r="AQ51" t="s">
        <v>1085</v>
      </c>
      <c r="AR51" t="s">
        <v>1088</v>
      </c>
      <c r="AS51">
        <v>73.6</v>
      </c>
      <c r="AU51">
        <v>2011</v>
      </c>
      <c r="AV51" t="s">
        <v>109</v>
      </c>
      <c r="BC51" t="s">
        <v>113</v>
      </c>
      <c r="BD51" t="s">
        <v>1089</v>
      </c>
      <c r="BE51" t="s">
        <v>1089</v>
      </c>
      <c r="BF51" t="s">
        <v>309</v>
      </c>
      <c r="BG51">
        <v>73.3</v>
      </c>
      <c r="BI51">
        <v>2016</v>
      </c>
      <c r="BJ51">
        <v>1</v>
      </c>
      <c r="BL51">
        <v>9</v>
      </c>
      <c r="BN51" t="s">
        <v>113</v>
      </c>
      <c r="BO51" t="s">
        <v>1090</v>
      </c>
      <c r="BP51" t="s">
        <v>1090</v>
      </c>
      <c r="BQ51" t="s">
        <v>140</v>
      </c>
      <c r="BR51">
        <v>83</v>
      </c>
      <c r="BS51">
        <v>9.14</v>
      </c>
      <c r="BT51">
        <v>2018</v>
      </c>
      <c r="BU51">
        <v>14</v>
      </c>
      <c r="BW51">
        <v>47</v>
      </c>
      <c r="BY51" t="s">
        <v>109</v>
      </c>
      <c r="CF51" t="s">
        <v>113</v>
      </c>
      <c r="CG51" t="s">
        <v>1091</v>
      </c>
      <c r="CH51" t="s">
        <v>1092</v>
      </c>
      <c r="CI51" t="s">
        <v>132</v>
      </c>
      <c r="CJ51">
        <v>2024</v>
      </c>
      <c r="CL51" t="s">
        <v>113</v>
      </c>
      <c r="CM51" t="s">
        <v>1093</v>
      </c>
      <c r="CN51" t="s">
        <v>113</v>
      </c>
      <c r="CO51" t="s">
        <v>1094</v>
      </c>
      <c r="CP51" t="s">
        <v>1095</v>
      </c>
      <c r="CQ51" t="s">
        <v>1096</v>
      </c>
      <c r="CR51" t="s">
        <v>136</v>
      </c>
      <c r="CS51" t="str">
        <f>HYPERLINK("https://nconnect.nicmar.ac.in/pdf/36_resume_1771479806.pdf/Y2FyZWVy","View Resume")</f>
        <v>0</v>
      </c>
    </row>
    <row r="52" spans="1:97">
      <c r="A52" t="s">
        <v>372</v>
      </c>
      <c r="B52" t="s">
        <v>98</v>
      </c>
      <c r="C52" t="s">
        <v>165</v>
      </c>
      <c r="D52" t="s">
        <v>224</v>
      </c>
      <c r="E52" t="s">
        <v>1097</v>
      </c>
      <c r="F52" t="s">
        <v>1098</v>
      </c>
      <c r="G52">
        <v>9818384078</v>
      </c>
      <c r="H52" t="s">
        <v>103</v>
      </c>
      <c r="I52" t="s">
        <v>1099</v>
      </c>
      <c r="J52" t="s">
        <v>105</v>
      </c>
      <c r="K52" t="s">
        <v>1100</v>
      </c>
      <c r="L52" t="s">
        <v>1101</v>
      </c>
      <c r="M52" t="s">
        <v>1102</v>
      </c>
      <c r="N52" t="s">
        <v>109</v>
      </c>
      <c r="AI52" t="s">
        <v>1103</v>
      </c>
      <c r="AJ52" t="s">
        <v>1104</v>
      </c>
      <c r="AK52" t="s">
        <v>1105</v>
      </c>
      <c r="AL52">
        <v>80</v>
      </c>
      <c r="AN52">
        <v>1996</v>
      </c>
      <c r="AO52" t="s">
        <v>113</v>
      </c>
      <c r="AP52" t="s">
        <v>1104</v>
      </c>
      <c r="AQ52" t="s">
        <v>1106</v>
      </c>
      <c r="AR52" t="s">
        <v>1107</v>
      </c>
      <c r="AS52">
        <v>75</v>
      </c>
      <c r="AU52">
        <v>1998</v>
      </c>
      <c r="AV52" t="s">
        <v>109</v>
      </c>
      <c r="BC52" t="s">
        <v>113</v>
      </c>
      <c r="BD52" t="s">
        <v>1108</v>
      </c>
      <c r="BE52" t="s">
        <v>1108</v>
      </c>
      <c r="BF52" t="s">
        <v>1109</v>
      </c>
      <c r="BG52">
        <v>74</v>
      </c>
      <c r="BI52">
        <v>2003</v>
      </c>
      <c r="BJ52">
        <v>19</v>
      </c>
      <c r="BL52">
        <v>18</v>
      </c>
      <c r="BN52" t="s">
        <v>113</v>
      </c>
      <c r="BO52" t="s">
        <v>1110</v>
      </c>
      <c r="BP52" t="s">
        <v>1110</v>
      </c>
      <c r="BQ52" t="s">
        <v>1111</v>
      </c>
      <c r="BR52">
        <v>71</v>
      </c>
      <c r="BS52">
        <v>7</v>
      </c>
      <c r="BT52">
        <v>2010</v>
      </c>
      <c r="BU52">
        <v>31</v>
      </c>
      <c r="BV52" t="s">
        <v>339</v>
      </c>
      <c r="BW52">
        <v>53</v>
      </c>
      <c r="BX52" t="s">
        <v>1112</v>
      </c>
      <c r="BY52" t="s">
        <v>109</v>
      </c>
      <c r="CF52" t="s">
        <v>109</v>
      </c>
      <c r="CL52" t="s">
        <v>113</v>
      </c>
      <c r="CM52" t="s">
        <v>1113</v>
      </c>
      <c r="CN52" t="s">
        <v>113</v>
      </c>
      <c r="CO52" t="s">
        <v>1114</v>
      </c>
      <c r="CP52" t="s">
        <v>1115</v>
      </c>
      <c r="CQ52" t="s">
        <v>1096</v>
      </c>
      <c r="CR52" t="s">
        <v>136</v>
      </c>
      <c r="CS52" t="str">
        <f>HYPERLINK("https://nconnect.nicmar.ac.in/pdf/13_resume_1771479835.pdf/Y2FyZWVy","View Resume")</f>
        <v>0</v>
      </c>
    </row>
    <row r="53" spans="1:97">
      <c r="A53" t="s">
        <v>1116</v>
      </c>
      <c r="B53" t="s">
        <v>98</v>
      </c>
      <c r="C53" t="s">
        <v>99</v>
      </c>
      <c r="D53" t="s">
        <v>1117</v>
      </c>
      <c r="E53" t="s">
        <v>1118</v>
      </c>
      <c r="F53" t="s">
        <v>1119</v>
      </c>
      <c r="G53">
        <v>8013318406</v>
      </c>
      <c r="H53" t="s">
        <v>103</v>
      </c>
      <c r="I53" t="s">
        <v>1120</v>
      </c>
      <c r="J53" t="s">
        <v>144</v>
      </c>
      <c r="K53" t="s">
        <v>1121</v>
      </c>
      <c r="L53" t="s">
        <v>1122</v>
      </c>
      <c r="M53" t="s">
        <v>1123</v>
      </c>
      <c r="N53" t="s">
        <v>109</v>
      </c>
      <c r="AI53" t="s">
        <v>1124</v>
      </c>
      <c r="AJ53" t="s">
        <v>1125</v>
      </c>
      <c r="AK53" t="s">
        <v>1126</v>
      </c>
      <c r="AL53">
        <v>73</v>
      </c>
      <c r="AN53">
        <v>2009</v>
      </c>
      <c r="AO53" t="s">
        <v>113</v>
      </c>
      <c r="AP53" t="s">
        <v>1124</v>
      </c>
      <c r="AQ53" t="s">
        <v>1127</v>
      </c>
      <c r="AR53" t="s">
        <v>1128</v>
      </c>
      <c r="AS53">
        <v>66.25</v>
      </c>
      <c r="AU53">
        <v>2011</v>
      </c>
      <c r="AV53" t="s">
        <v>109</v>
      </c>
      <c r="BC53" t="s">
        <v>113</v>
      </c>
      <c r="BD53" t="s">
        <v>1129</v>
      </c>
      <c r="BE53" t="s">
        <v>1130</v>
      </c>
      <c r="BF53" t="s">
        <v>1131</v>
      </c>
      <c r="BG53">
        <v>69.3</v>
      </c>
      <c r="BI53">
        <v>2018</v>
      </c>
      <c r="BJ53">
        <v>8</v>
      </c>
      <c r="BL53">
        <v>2</v>
      </c>
      <c r="BN53" t="s">
        <v>113</v>
      </c>
      <c r="BO53" t="s">
        <v>1132</v>
      </c>
      <c r="BP53" t="s">
        <v>1133</v>
      </c>
      <c r="BQ53" t="s">
        <v>1131</v>
      </c>
      <c r="BR53">
        <v>76</v>
      </c>
      <c r="BT53">
        <v>2023</v>
      </c>
      <c r="BU53">
        <v>31</v>
      </c>
      <c r="BV53" t="s">
        <v>1134</v>
      </c>
      <c r="BW53">
        <v>3</v>
      </c>
      <c r="BY53" t="s">
        <v>109</v>
      </c>
      <c r="CF53" t="s">
        <v>109</v>
      </c>
      <c r="CL53" t="s">
        <v>113</v>
      </c>
      <c r="CM53" t="s">
        <v>1135</v>
      </c>
      <c r="CN53" t="s">
        <v>113</v>
      </c>
      <c r="CO53" t="s">
        <v>1136</v>
      </c>
      <c r="CP53" t="s">
        <v>1137</v>
      </c>
      <c r="CQ53" t="s">
        <v>1138</v>
      </c>
      <c r="CR53" t="s">
        <v>136</v>
      </c>
      <c r="CS53" t="str">
        <f>HYPERLINK("https://nconnect.nicmar.ac.in/pdf/106_resume_1771480184.pdf/Y2FyZWVy","View Resume")</f>
        <v>0</v>
      </c>
    </row>
    <row r="54" spans="1:97">
      <c r="A54" t="s">
        <v>137</v>
      </c>
      <c r="B54" t="s">
        <v>138</v>
      </c>
      <c r="C54" t="s">
        <v>139</v>
      </c>
      <c r="D54" t="s">
        <v>140</v>
      </c>
      <c r="E54" t="s">
        <v>1139</v>
      </c>
      <c r="F54" t="s">
        <v>1140</v>
      </c>
      <c r="G54">
        <v>9505646482</v>
      </c>
      <c r="H54" t="s">
        <v>103</v>
      </c>
      <c r="I54" t="s">
        <v>1141</v>
      </c>
      <c r="J54" t="s">
        <v>144</v>
      </c>
      <c r="K54" t="s">
        <v>423</v>
      </c>
      <c r="L54" t="s">
        <v>1142</v>
      </c>
      <c r="M54" t="s">
        <v>1143</v>
      </c>
      <c r="N54" t="s">
        <v>109</v>
      </c>
      <c r="AI54" t="s">
        <v>1144</v>
      </c>
      <c r="AJ54" t="s">
        <v>1145</v>
      </c>
      <c r="AK54" t="s">
        <v>1146</v>
      </c>
      <c r="AL54">
        <v>97</v>
      </c>
      <c r="AM54">
        <v>9.7</v>
      </c>
      <c r="AN54">
        <v>2012</v>
      </c>
      <c r="AO54" t="s">
        <v>109</v>
      </c>
      <c r="AV54" t="s">
        <v>113</v>
      </c>
      <c r="AW54" t="s">
        <v>1147</v>
      </c>
      <c r="AX54" t="s">
        <v>1148</v>
      </c>
      <c r="AY54" t="s">
        <v>309</v>
      </c>
      <c r="AZ54">
        <v>94.91</v>
      </c>
      <c r="BB54">
        <v>2015</v>
      </c>
      <c r="BC54" t="s">
        <v>113</v>
      </c>
      <c r="BD54" t="s">
        <v>1149</v>
      </c>
      <c r="BE54" t="s">
        <v>1150</v>
      </c>
      <c r="BF54" t="s">
        <v>309</v>
      </c>
      <c r="BG54">
        <v>84.45</v>
      </c>
      <c r="BI54">
        <v>2018</v>
      </c>
      <c r="BJ54">
        <v>1</v>
      </c>
      <c r="BL54">
        <v>9</v>
      </c>
      <c r="BN54" t="s">
        <v>113</v>
      </c>
      <c r="BO54" t="s">
        <v>1151</v>
      </c>
      <c r="BP54" t="s">
        <v>1151</v>
      </c>
      <c r="BQ54" t="s">
        <v>140</v>
      </c>
      <c r="BR54">
        <v>80</v>
      </c>
      <c r="BS54">
        <v>8.43</v>
      </c>
      <c r="BT54">
        <v>2021</v>
      </c>
      <c r="BU54">
        <v>14</v>
      </c>
      <c r="BW54">
        <v>47</v>
      </c>
      <c r="BY54" t="s">
        <v>109</v>
      </c>
      <c r="CF54" t="s">
        <v>113</v>
      </c>
      <c r="CG54" t="s">
        <v>1152</v>
      </c>
      <c r="CH54" t="s">
        <v>1153</v>
      </c>
      <c r="CI54" t="s">
        <v>132</v>
      </c>
      <c r="CJ54">
        <v>2025</v>
      </c>
      <c r="CL54" t="s">
        <v>109</v>
      </c>
      <c r="CN54" t="s">
        <v>113</v>
      </c>
      <c r="CO54" t="s">
        <v>1154</v>
      </c>
      <c r="CP54" t="s">
        <v>1155</v>
      </c>
      <c r="CQ54" t="s">
        <v>1156</v>
      </c>
      <c r="CR54" t="s">
        <v>136</v>
      </c>
      <c r="CS54" t="str">
        <f>HYPERLINK("https://nconnect.nicmar.ac.in/pdf/108_resume_1771479868.pdf/Y2FyZWVy","View Resume")</f>
        <v>0</v>
      </c>
    </row>
    <row r="55" spans="1:97">
      <c r="A55" t="s">
        <v>223</v>
      </c>
      <c r="B55" t="s">
        <v>138</v>
      </c>
      <c r="C55" t="s">
        <v>165</v>
      </c>
      <c r="D55" t="s">
        <v>224</v>
      </c>
      <c r="E55" t="s">
        <v>1157</v>
      </c>
      <c r="F55" t="s">
        <v>1158</v>
      </c>
      <c r="G55">
        <v>9481962722</v>
      </c>
      <c r="H55" t="s">
        <v>103</v>
      </c>
      <c r="I55" t="s">
        <v>1159</v>
      </c>
      <c r="J55" t="s">
        <v>105</v>
      </c>
      <c r="K55" t="s">
        <v>1160</v>
      </c>
      <c r="L55" t="s">
        <v>1161</v>
      </c>
      <c r="M55" t="s">
        <v>1162</v>
      </c>
      <c r="N55" t="s">
        <v>109</v>
      </c>
      <c r="AI55" t="s">
        <v>1163</v>
      </c>
      <c r="AJ55" t="s">
        <v>1164</v>
      </c>
      <c r="AK55" t="s">
        <v>1165</v>
      </c>
      <c r="AL55">
        <v>92.67</v>
      </c>
      <c r="AN55">
        <v>2013</v>
      </c>
      <c r="AO55" t="s">
        <v>113</v>
      </c>
      <c r="AP55" t="s">
        <v>1166</v>
      </c>
      <c r="AQ55" t="s">
        <v>1167</v>
      </c>
      <c r="AR55" t="s">
        <v>1168</v>
      </c>
      <c r="AS55">
        <v>71.33</v>
      </c>
      <c r="AU55">
        <v>2015</v>
      </c>
      <c r="AV55" t="s">
        <v>109</v>
      </c>
      <c r="BC55" t="s">
        <v>113</v>
      </c>
      <c r="BD55" t="s">
        <v>1169</v>
      </c>
      <c r="BE55" t="s">
        <v>1170</v>
      </c>
      <c r="BF55" t="s">
        <v>1171</v>
      </c>
      <c r="BG55">
        <v>70.2</v>
      </c>
      <c r="BI55">
        <v>2019</v>
      </c>
      <c r="BJ55">
        <v>19</v>
      </c>
      <c r="BK55" t="s">
        <v>1172</v>
      </c>
      <c r="BL55">
        <v>53</v>
      </c>
      <c r="BM55" t="s">
        <v>1173</v>
      </c>
      <c r="BN55" t="s">
        <v>113</v>
      </c>
      <c r="BO55" t="s">
        <v>1174</v>
      </c>
      <c r="BP55" t="s">
        <v>1175</v>
      </c>
      <c r="BQ55" t="s">
        <v>1176</v>
      </c>
      <c r="BR55">
        <v>87.8</v>
      </c>
      <c r="BT55">
        <v>2022</v>
      </c>
      <c r="BU55">
        <v>31</v>
      </c>
      <c r="BV55" t="s">
        <v>339</v>
      </c>
      <c r="BW55">
        <v>53</v>
      </c>
      <c r="BX55" t="s">
        <v>1177</v>
      </c>
      <c r="BY55" t="s">
        <v>109</v>
      </c>
      <c r="CF55" t="s">
        <v>113</v>
      </c>
      <c r="CG55" t="s">
        <v>1178</v>
      </c>
      <c r="CH55" t="s">
        <v>1179</v>
      </c>
      <c r="CI55" t="s">
        <v>132</v>
      </c>
      <c r="CJ55">
        <v>2026</v>
      </c>
      <c r="CL55" t="s">
        <v>109</v>
      </c>
      <c r="CN55" t="s">
        <v>113</v>
      </c>
      <c r="CO55" t="s">
        <v>1180</v>
      </c>
      <c r="CP55" t="s">
        <v>1181</v>
      </c>
      <c r="CQ55" t="s">
        <v>1182</v>
      </c>
      <c r="CR55" t="s">
        <v>136</v>
      </c>
      <c r="CS55" t="str">
        <f>HYPERLINK("https://nconnect.nicmar.ac.in/pdf/110_resume_1771480579.pdf/Y2FyZWVy","View Resume")</f>
        <v>0</v>
      </c>
    </row>
    <row r="56" spans="1:97">
      <c r="A56" t="s">
        <v>1183</v>
      </c>
      <c r="B56" t="s">
        <v>318</v>
      </c>
      <c r="C56" t="s">
        <v>99</v>
      </c>
      <c r="D56" t="s">
        <v>1184</v>
      </c>
      <c r="E56" t="s">
        <v>1185</v>
      </c>
      <c r="F56" t="s">
        <v>1186</v>
      </c>
      <c r="G56">
        <v>8628879793</v>
      </c>
      <c r="H56" t="s">
        <v>169</v>
      </c>
      <c r="I56" t="s">
        <v>1187</v>
      </c>
      <c r="J56" t="s">
        <v>144</v>
      </c>
      <c r="K56" t="s">
        <v>505</v>
      </c>
      <c r="L56" t="s">
        <v>1188</v>
      </c>
      <c r="M56" t="s">
        <v>1189</v>
      </c>
      <c r="N56" t="s">
        <v>109</v>
      </c>
      <c r="AI56" t="s">
        <v>1190</v>
      </c>
      <c r="AJ56" t="s">
        <v>1191</v>
      </c>
      <c r="AK56" t="s">
        <v>1192</v>
      </c>
      <c r="AL56">
        <v>95</v>
      </c>
      <c r="AM56">
        <v>10</v>
      </c>
      <c r="AN56">
        <v>2017</v>
      </c>
      <c r="AO56" t="s">
        <v>113</v>
      </c>
      <c r="AP56" t="s">
        <v>1193</v>
      </c>
      <c r="AQ56" t="s">
        <v>1191</v>
      </c>
      <c r="AR56" t="s">
        <v>1194</v>
      </c>
      <c r="AS56">
        <v>94</v>
      </c>
      <c r="AT56">
        <v>0</v>
      </c>
      <c r="AU56">
        <v>2019</v>
      </c>
      <c r="AV56" t="s">
        <v>109</v>
      </c>
      <c r="BC56" t="s">
        <v>113</v>
      </c>
      <c r="BD56" t="s">
        <v>1132</v>
      </c>
      <c r="BE56" t="s">
        <v>1195</v>
      </c>
      <c r="BF56" t="s">
        <v>1196</v>
      </c>
      <c r="BG56">
        <v>78</v>
      </c>
      <c r="BH56">
        <v>0</v>
      </c>
      <c r="BI56">
        <v>2024</v>
      </c>
      <c r="BJ56">
        <v>8</v>
      </c>
      <c r="BL56">
        <v>2</v>
      </c>
      <c r="BN56" t="s">
        <v>113</v>
      </c>
      <c r="BO56" t="s">
        <v>1174</v>
      </c>
      <c r="BP56" t="s">
        <v>1197</v>
      </c>
      <c r="BQ56" t="s">
        <v>1198</v>
      </c>
      <c r="BR56">
        <v>84.55</v>
      </c>
      <c r="BS56">
        <v>8.9</v>
      </c>
      <c r="BT56">
        <v>2026</v>
      </c>
      <c r="BU56">
        <v>31</v>
      </c>
      <c r="BW56">
        <v>2</v>
      </c>
      <c r="BY56" t="s">
        <v>109</v>
      </c>
      <c r="CF56" t="s">
        <v>109</v>
      </c>
      <c r="CL56" t="s">
        <v>113</v>
      </c>
      <c r="CM56" t="s">
        <v>1199</v>
      </c>
      <c r="CN56" t="s">
        <v>113</v>
      </c>
      <c r="CO56" t="s">
        <v>1200</v>
      </c>
      <c r="CP56" t="s">
        <v>1201</v>
      </c>
      <c r="CQ56" t="s">
        <v>1202</v>
      </c>
      <c r="CR56" t="s">
        <v>136</v>
      </c>
      <c r="CS56" t="str">
        <f>HYPERLINK("https://nconnect.nicmar.ac.in/pdf/96_resume_1771480665.pdf/Y2FyZWVy","View Resume")</f>
        <v>0</v>
      </c>
    </row>
    <row r="57" spans="1:97">
      <c r="A57" t="s">
        <v>1203</v>
      </c>
      <c r="B57" t="s">
        <v>138</v>
      </c>
      <c r="C57" t="s">
        <v>165</v>
      </c>
      <c r="D57" t="s">
        <v>1204</v>
      </c>
      <c r="E57" t="s">
        <v>1205</v>
      </c>
      <c r="F57" t="s">
        <v>1206</v>
      </c>
      <c r="G57">
        <v>7259887654</v>
      </c>
      <c r="H57" t="s">
        <v>169</v>
      </c>
      <c r="I57" t="s">
        <v>1207</v>
      </c>
      <c r="J57" t="s">
        <v>105</v>
      </c>
      <c r="K57" t="s">
        <v>484</v>
      </c>
      <c r="L57" t="s">
        <v>1208</v>
      </c>
      <c r="M57" t="s">
        <v>1209</v>
      </c>
      <c r="N57" t="s">
        <v>109</v>
      </c>
      <c r="AI57" t="s">
        <v>1210</v>
      </c>
      <c r="AJ57" t="s">
        <v>1211</v>
      </c>
      <c r="AK57" t="s">
        <v>1212</v>
      </c>
      <c r="AL57">
        <v>83</v>
      </c>
      <c r="AN57">
        <v>1997</v>
      </c>
      <c r="AO57" t="s">
        <v>113</v>
      </c>
      <c r="AP57" t="s">
        <v>1213</v>
      </c>
      <c r="AQ57" t="s">
        <v>1214</v>
      </c>
      <c r="AR57" t="s">
        <v>668</v>
      </c>
      <c r="AS57">
        <v>73</v>
      </c>
      <c r="AU57">
        <v>1999</v>
      </c>
      <c r="AV57" t="s">
        <v>109</v>
      </c>
      <c r="BC57" t="s">
        <v>113</v>
      </c>
      <c r="BD57" t="s">
        <v>1215</v>
      </c>
      <c r="BE57" t="s">
        <v>1216</v>
      </c>
      <c r="BF57" t="s">
        <v>646</v>
      </c>
      <c r="BG57">
        <v>67</v>
      </c>
      <c r="BI57">
        <v>2002</v>
      </c>
      <c r="BJ57">
        <v>19</v>
      </c>
      <c r="BK57" t="s">
        <v>1217</v>
      </c>
      <c r="BL57">
        <v>11</v>
      </c>
      <c r="BM57" t="s">
        <v>646</v>
      </c>
      <c r="BN57" t="s">
        <v>113</v>
      </c>
      <c r="BO57" t="s">
        <v>1215</v>
      </c>
      <c r="BP57" t="s">
        <v>1214</v>
      </c>
      <c r="BQ57" t="s">
        <v>1218</v>
      </c>
      <c r="BR57">
        <v>65</v>
      </c>
      <c r="BT57">
        <v>2004</v>
      </c>
      <c r="BU57">
        <v>23</v>
      </c>
      <c r="BV57" t="s">
        <v>339</v>
      </c>
      <c r="BW57">
        <v>53</v>
      </c>
      <c r="BX57" t="s">
        <v>643</v>
      </c>
      <c r="BY57" t="s">
        <v>109</v>
      </c>
      <c r="CF57" t="s">
        <v>109</v>
      </c>
      <c r="CL57" t="s">
        <v>113</v>
      </c>
      <c r="CM57" t="s">
        <v>1219</v>
      </c>
      <c r="CN57" t="s">
        <v>113</v>
      </c>
      <c r="CO57" t="s">
        <v>1220</v>
      </c>
      <c r="CP57" t="s">
        <v>1221</v>
      </c>
      <c r="CQ57" t="s">
        <v>1222</v>
      </c>
      <c r="CR57" t="s">
        <v>136</v>
      </c>
      <c r="CS57" t="str">
        <f>HYPERLINK("https://nconnect.nicmar.ac.in/pdf/43_resume_1771481579.pdf/Y2FyZWVy","View Resume")</f>
        <v>0</v>
      </c>
    </row>
    <row r="58" spans="1:97">
      <c r="A58" t="s">
        <v>223</v>
      </c>
      <c r="B58" t="s">
        <v>138</v>
      </c>
      <c r="C58" t="s">
        <v>165</v>
      </c>
      <c r="D58" t="s">
        <v>224</v>
      </c>
      <c r="E58" t="s">
        <v>1205</v>
      </c>
      <c r="F58" t="s">
        <v>1206</v>
      </c>
      <c r="G58">
        <v>7259887654</v>
      </c>
      <c r="H58" t="s">
        <v>169</v>
      </c>
      <c r="I58" t="s">
        <v>1207</v>
      </c>
      <c r="J58" t="s">
        <v>105</v>
      </c>
      <c r="K58" t="s">
        <v>484</v>
      </c>
      <c r="L58" t="s">
        <v>1208</v>
      </c>
      <c r="M58" t="s">
        <v>1209</v>
      </c>
      <c r="N58" t="s">
        <v>109</v>
      </c>
      <c r="AI58" t="s">
        <v>1210</v>
      </c>
      <c r="AJ58" t="s">
        <v>1211</v>
      </c>
      <c r="AK58" t="s">
        <v>1212</v>
      </c>
      <c r="AL58">
        <v>83</v>
      </c>
      <c r="AN58">
        <v>1997</v>
      </c>
      <c r="AO58" t="s">
        <v>113</v>
      </c>
      <c r="AP58" t="s">
        <v>1213</v>
      </c>
      <c r="AQ58" t="s">
        <v>1214</v>
      </c>
      <c r="AR58" t="s">
        <v>668</v>
      </c>
      <c r="AS58">
        <v>73</v>
      </c>
      <c r="AU58">
        <v>1999</v>
      </c>
      <c r="AV58" t="s">
        <v>109</v>
      </c>
      <c r="BC58" t="s">
        <v>113</v>
      </c>
      <c r="BD58" t="s">
        <v>1215</v>
      </c>
      <c r="BE58" t="s">
        <v>1216</v>
      </c>
      <c r="BF58" t="s">
        <v>646</v>
      </c>
      <c r="BG58">
        <v>67</v>
      </c>
      <c r="BI58">
        <v>2002</v>
      </c>
      <c r="BJ58">
        <v>19</v>
      </c>
      <c r="BK58" t="s">
        <v>1217</v>
      </c>
      <c r="BL58">
        <v>11</v>
      </c>
      <c r="BM58" t="s">
        <v>646</v>
      </c>
      <c r="BN58" t="s">
        <v>113</v>
      </c>
      <c r="BO58" t="s">
        <v>1215</v>
      </c>
      <c r="BP58" t="s">
        <v>1214</v>
      </c>
      <c r="BQ58" t="s">
        <v>1218</v>
      </c>
      <c r="BR58">
        <v>65</v>
      </c>
      <c r="BT58">
        <v>2004</v>
      </c>
      <c r="BU58">
        <v>23</v>
      </c>
      <c r="BV58" t="s">
        <v>339</v>
      </c>
      <c r="BW58">
        <v>53</v>
      </c>
      <c r="BX58" t="s">
        <v>643</v>
      </c>
      <c r="BY58" t="s">
        <v>109</v>
      </c>
      <c r="CF58" t="s">
        <v>109</v>
      </c>
      <c r="CL58" t="s">
        <v>113</v>
      </c>
      <c r="CM58" t="s">
        <v>1219</v>
      </c>
      <c r="CN58" t="s">
        <v>113</v>
      </c>
      <c r="CO58" t="s">
        <v>1220</v>
      </c>
      <c r="CP58" t="s">
        <v>1221</v>
      </c>
      <c r="CQ58" t="s">
        <v>1223</v>
      </c>
      <c r="CR58" t="s">
        <v>136</v>
      </c>
      <c r="CS58" t="str">
        <f>HYPERLINK("https://nconnect.nicmar.ac.in/pdf/43_resume_1771481579.pdf/Y2FyZWVy","View Resume")</f>
        <v>0</v>
      </c>
    </row>
    <row r="59" spans="1:97">
      <c r="A59" t="s">
        <v>372</v>
      </c>
      <c r="B59" t="s">
        <v>98</v>
      </c>
      <c r="C59" t="s">
        <v>165</v>
      </c>
      <c r="D59" t="s">
        <v>224</v>
      </c>
      <c r="E59" t="s">
        <v>1205</v>
      </c>
      <c r="F59" t="s">
        <v>1206</v>
      </c>
      <c r="G59">
        <v>7259887654</v>
      </c>
      <c r="H59" t="s">
        <v>169</v>
      </c>
      <c r="I59" t="s">
        <v>1207</v>
      </c>
      <c r="J59" t="s">
        <v>105</v>
      </c>
      <c r="K59" t="s">
        <v>484</v>
      </c>
      <c r="L59" t="s">
        <v>1208</v>
      </c>
      <c r="M59" t="s">
        <v>1209</v>
      </c>
      <c r="N59" t="s">
        <v>109</v>
      </c>
      <c r="AI59" t="s">
        <v>1210</v>
      </c>
      <c r="AJ59" t="s">
        <v>1211</v>
      </c>
      <c r="AK59" t="s">
        <v>1212</v>
      </c>
      <c r="AL59">
        <v>83</v>
      </c>
      <c r="AN59">
        <v>1997</v>
      </c>
      <c r="AO59" t="s">
        <v>113</v>
      </c>
      <c r="AP59" t="s">
        <v>1213</v>
      </c>
      <c r="AQ59" t="s">
        <v>1214</v>
      </c>
      <c r="AR59" t="s">
        <v>668</v>
      </c>
      <c r="AS59">
        <v>73</v>
      </c>
      <c r="AU59">
        <v>1999</v>
      </c>
      <c r="AV59" t="s">
        <v>109</v>
      </c>
      <c r="BC59" t="s">
        <v>113</v>
      </c>
      <c r="BD59" t="s">
        <v>1215</v>
      </c>
      <c r="BE59" t="s">
        <v>1216</v>
      </c>
      <c r="BF59" t="s">
        <v>646</v>
      </c>
      <c r="BG59">
        <v>67</v>
      </c>
      <c r="BI59">
        <v>2002</v>
      </c>
      <c r="BJ59">
        <v>19</v>
      </c>
      <c r="BK59" t="s">
        <v>1217</v>
      </c>
      <c r="BL59">
        <v>11</v>
      </c>
      <c r="BM59" t="s">
        <v>646</v>
      </c>
      <c r="BN59" t="s">
        <v>113</v>
      </c>
      <c r="BO59" t="s">
        <v>1215</v>
      </c>
      <c r="BP59" t="s">
        <v>1214</v>
      </c>
      <c r="BQ59" t="s">
        <v>1218</v>
      </c>
      <c r="BR59">
        <v>65</v>
      </c>
      <c r="BT59">
        <v>2004</v>
      </c>
      <c r="BU59">
        <v>23</v>
      </c>
      <c r="BV59" t="s">
        <v>339</v>
      </c>
      <c r="BW59">
        <v>53</v>
      </c>
      <c r="BX59" t="s">
        <v>643</v>
      </c>
      <c r="BY59" t="s">
        <v>109</v>
      </c>
      <c r="CF59" t="s">
        <v>109</v>
      </c>
      <c r="CL59" t="s">
        <v>113</v>
      </c>
      <c r="CM59" t="s">
        <v>1219</v>
      </c>
      <c r="CN59" t="s">
        <v>113</v>
      </c>
      <c r="CO59" t="s">
        <v>1220</v>
      </c>
      <c r="CP59" t="s">
        <v>1221</v>
      </c>
      <c r="CQ59" t="s">
        <v>1223</v>
      </c>
      <c r="CR59" t="s">
        <v>136</v>
      </c>
      <c r="CS59" t="str">
        <f>HYPERLINK("https://nconnect.nicmar.ac.in/pdf/43_resume_1771481579.pdf/Y2FyZWVy","View Resume")</f>
        <v>0</v>
      </c>
    </row>
    <row r="60" spans="1:97">
      <c r="A60" t="s">
        <v>192</v>
      </c>
      <c r="B60" t="s">
        <v>138</v>
      </c>
      <c r="C60" t="s">
        <v>165</v>
      </c>
      <c r="D60" t="s">
        <v>193</v>
      </c>
      <c r="E60" t="s">
        <v>1224</v>
      </c>
      <c r="F60" t="s">
        <v>1225</v>
      </c>
      <c r="G60">
        <v>9562660992</v>
      </c>
      <c r="H60" t="s">
        <v>103</v>
      </c>
      <c r="I60" t="s">
        <v>1226</v>
      </c>
      <c r="J60" t="s">
        <v>144</v>
      </c>
      <c r="K60" t="s">
        <v>1227</v>
      </c>
      <c r="L60" t="s">
        <v>1228</v>
      </c>
      <c r="M60" t="s">
        <v>1229</v>
      </c>
      <c r="N60" t="s">
        <v>109</v>
      </c>
      <c r="AI60" t="s">
        <v>1230</v>
      </c>
      <c r="AJ60" t="s">
        <v>1231</v>
      </c>
      <c r="AK60" t="s">
        <v>1232</v>
      </c>
      <c r="AL60">
        <v>89.3</v>
      </c>
      <c r="AN60">
        <v>2013</v>
      </c>
      <c r="AO60" t="s">
        <v>113</v>
      </c>
      <c r="AP60" t="s">
        <v>1230</v>
      </c>
      <c r="AQ60" t="s">
        <v>1231</v>
      </c>
      <c r="AR60" t="s">
        <v>1233</v>
      </c>
      <c r="AS60">
        <v>95.8</v>
      </c>
      <c r="AU60">
        <v>2015</v>
      </c>
      <c r="AV60" t="s">
        <v>109</v>
      </c>
      <c r="BC60" t="s">
        <v>113</v>
      </c>
      <c r="BD60" t="s">
        <v>1234</v>
      </c>
      <c r="BE60" t="s">
        <v>1235</v>
      </c>
      <c r="BF60" t="s">
        <v>1236</v>
      </c>
      <c r="BG60">
        <v>85.3</v>
      </c>
      <c r="BI60">
        <v>2018</v>
      </c>
      <c r="BJ60">
        <v>19</v>
      </c>
      <c r="BK60" t="s">
        <v>1237</v>
      </c>
      <c r="BL60">
        <v>23</v>
      </c>
      <c r="BN60" t="s">
        <v>113</v>
      </c>
      <c r="BO60" t="s">
        <v>1234</v>
      </c>
      <c r="BP60" t="s">
        <v>1238</v>
      </c>
      <c r="BQ60" t="s">
        <v>1239</v>
      </c>
      <c r="BR60">
        <v>87</v>
      </c>
      <c r="BT60">
        <v>2020</v>
      </c>
      <c r="BU60">
        <v>31</v>
      </c>
      <c r="BV60" t="s">
        <v>1240</v>
      </c>
      <c r="BW60">
        <v>53</v>
      </c>
      <c r="BX60" t="s">
        <v>1241</v>
      </c>
      <c r="BY60" t="s">
        <v>109</v>
      </c>
      <c r="CF60" t="s">
        <v>113</v>
      </c>
      <c r="CG60" t="s">
        <v>1242</v>
      </c>
      <c r="CH60" t="s">
        <v>1243</v>
      </c>
      <c r="CI60" t="s">
        <v>240</v>
      </c>
      <c r="CK60" t="s">
        <v>113</v>
      </c>
      <c r="CL60" t="s">
        <v>109</v>
      </c>
      <c r="CN60" t="s">
        <v>113</v>
      </c>
      <c r="CO60" t="s">
        <v>1244</v>
      </c>
      <c r="CP60" t="s">
        <v>1245</v>
      </c>
      <c r="CQ60" t="s">
        <v>1246</v>
      </c>
      <c r="CR60" t="s">
        <v>136</v>
      </c>
      <c r="CS60" t="str">
        <f>HYPERLINK("https://nconnect.nicmar.ac.in/pdf/117_resume_1771481916.pdf/Y2FyZWVy","View Resume")</f>
        <v>0</v>
      </c>
    </row>
    <row r="61" spans="1:97">
      <c r="A61" t="s">
        <v>137</v>
      </c>
      <c r="B61" t="s">
        <v>138</v>
      </c>
      <c r="C61" t="s">
        <v>139</v>
      </c>
      <c r="D61" t="s">
        <v>140</v>
      </c>
      <c r="E61" t="s">
        <v>1247</v>
      </c>
      <c r="F61" t="s">
        <v>1248</v>
      </c>
      <c r="G61">
        <v>8098142148</v>
      </c>
      <c r="H61" t="s">
        <v>103</v>
      </c>
      <c r="I61" t="s">
        <v>1249</v>
      </c>
      <c r="J61" t="s">
        <v>144</v>
      </c>
      <c r="K61" t="s">
        <v>1250</v>
      </c>
      <c r="L61" t="s">
        <v>1251</v>
      </c>
      <c r="M61" t="s">
        <v>1252</v>
      </c>
      <c r="N61" t="s">
        <v>109</v>
      </c>
      <c r="AI61" t="s">
        <v>1253</v>
      </c>
      <c r="AJ61" t="s">
        <v>1254</v>
      </c>
      <c r="AK61" t="s">
        <v>1255</v>
      </c>
      <c r="AL61">
        <v>86.4</v>
      </c>
      <c r="AN61">
        <v>2008</v>
      </c>
      <c r="AO61" t="s">
        <v>113</v>
      </c>
      <c r="AP61" t="s">
        <v>1253</v>
      </c>
      <c r="AQ61" t="s">
        <v>1254</v>
      </c>
      <c r="AR61" t="s">
        <v>1256</v>
      </c>
      <c r="AS61">
        <v>87.2</v>
      </c>
      <c r="AU61">
        <v>2010</v>
      </c>
      <c r="AV61" t="s">
        <v>109</v>
      </c>
      <c r="BC61" t="s">
        <v>113</v>
      </c>
      <c r="BD61" t="s">
        <v>961</v>
      </c>
      <c r="BE61" t="s">
        <v>1257</v>
      </c>
      <c r="BF61" t="s">
        <v>1258</v>
      </c>
      <c r="BG61">
        <v>69.8</v>
      </c>
      <c r="BH61">
        <v>6.98</v>
      </c>
      <c r="BI61">
        <v>2014</v>
      </c>
      <c r="BJ61">
        <v>2</v>
      </c>
      <c r="BL61">
        <v>9</v>
      </c>
      <c r="BN61" t="s">
        <v>113</v>
      </c>
      <c r="BO61" t="s">
        <v>961</v>
      </c>
      <c r="BP61" t="s">
        <v>1259</v>
      </c>
      <c r="BQ61" t="s">
        <v>1260</v>
      </c>
      <c r="BR61">
        <v>84.5</v>
      </c>
      <c r="BS61">
        <v>8.45</v>
      </c>
      <c r="BT61">
        <v>2016</v>
      </c>
      <c r="BU61">
        <v>14</v>
      </c>
      <c r="BW61">
        <v>47</v>
      </c>
      <c r="BY61" t="s">
        <v>109</v>
      </c>
      <c r="CF61" t="s">
        <v>113</v>
      </c>
      <c r="CG61" t="s">
        <v>1261</v>
      </c>
      <c r="CH61" t="s">
        <v>1262</v>
      </c>
      <c r="CI61" t="s">
        <v>132</v>
      </c>
      <c r="CJ61">
        <v>2025</v>
      </c>
      <c r="CL61" t="s">
        <v>113</v>
      </c>
      <c r="CM61" t="s">
        <v>1263</v>
      </c>
      <c r="CN61" t="s">
        <v>113</v>
      </c>
      <c r="CO61" t="s">
        <v>1264</v>
      </c>
      <c r="CP61" t="s">
        <v>1265</v>
      </c>
      <c r="CQ61" t="s">
        <v>1266</v>
      </c>
      <c r="CR61" t="s">
        <v>136</v>
      </c>
      <c r="CS61" t="str">
        <f>HYPERLINK("https://nconnect.nicmar.ac.in/pdf/105_resume_1771482064.pdf/Y2FyZWVy","View Resume")</f>
        <v>0</v>
      </c>
    </row>
    <row r="62" spans="1:97">
      <c r="A62" t="s">
        <v>192</v>
      </c>
      <c r="B62" t="s">
        <v>138</v>
      </c>
      <c r="C62" t="s">
        <v>165</v>
      </c>
      <c r="D62" t="s">
        <v>193</v>
      </c>
      <c r="E62" t="s">
        <v>1267</v>
      </c>
      <c r="F62" t="s">
        <v>1268</v>
      </c>
      <c r="G62">
        <v>9340994381</v>
      </c>
      <c r="H62" t="s">
        <v>103</v>
      </c>
      <c r="I62" t="s">
        <v>1269</v>
      </c>
      <c r="J62" t="s">
        <v>105</v>
      </c>
      <c r="K62" t="s">
        <v>1270</v>
      </c>
      <c r="L62" t="s">
        <v>1271</v>
      </c>
      <c r="M62" t="s">
        <v>1272</v>
      </c>
      <c r="N62" t="s">
        <v>109</v>
      </c>
      <c r="AI62" t="s">
        <v>1273</v>
      </c>
      <c r="AJ62" t="s">
        <v>1274</v>
      </c>
      <c r="AK62" t="s">
        <v>1275</v>
      </c>
      <c r="AL62">
        <v>56</v>
      </c>
      <c r="AM62">
        <v>5.6</v>
      </c>
      <c r="AN62">
        <v>1999</v>
      </c>
      <c r="AO62" t="s">
        <v>113</v>
      </c>
      <c r="AP62" t="s">
        <v>1276</v>
      </c>
      <c r="AQ62" t="s">
        <v>1277</v>
      </c>
      <c r="AR62" t="s">
        <v>1278</v>
      </c>
      <c r="AS62">
        <v>56</v>
      </c>
      <c r="AU62">
        <v>2001</v>
      </c>
      <c r="AV62" t="s">
        <v>109</v>
      </c>
      <c r="BC62" t="s">
        <v>113</v>
      </c>
      <c r="BD62" t="s">
        <v>1279</v>
      </c>
      <c r="BE62" t="s">
        <v>1280</v>
      </c>
      <c r="BF62" t="s">
        <v>1278</v>
      </c>
      <c r="BG62">
        <v>53</v>
      </c>
      <c r="BI62">
        <v>2004</v>
      </c>
      <c r="BJ62">
        <v>19</v>
      </c>
      <c r="BK62" t="s">
        <v>1281</v>
      </c>
      <c r="BL62">
        <v>53</v>
      </c>
      <c r="BM62" t="s">
        <v>1278</v>
      </c>
      <c r="BN62" t="s">
        <v>113</v>
      </c>
      <c r="BO62" t="s">
        <v>1282</v>
      </c>
      <c r="BP62" t="s">
        <v>1283</v>
      </c>
      <c r="BQ62" t="s">
        <v>1284</v>
      </c>
      <c r="BR62">
        <v>68</v>
      </c>
      <c r="BT62">
        <v>2009</v>
      </c>
      <c r="BU62">
        <v>31</v>
      </c>
      <c r="BV62" t="s">
        <v>1285</v>
      </c>
      <c r="BW62">
        <v>33</v>
      </c>
      <c r="BY62" t="s">
        <v>113</v>
      </c>
      <c r="BZ62" t="s">
        <v>1286</v>
      </c>
      <c r="CA62" t="s">
        <v>1287</v>
      </c>
      <c r="CB62" t="s">
        <v>841</v>
      </c>
      <c r="CC62">
        <v>58</v>
      </c>
      <c r="CE62">
        <v>2013</v>
      </c>
      <c r="CF62" t="s">
        <v>113</v>
      </c>
      <c r="CG62" t="s">
        <v>746</v>
      </c>
      <c r="CH62" t="s">
        <v>1288</v>
      </c>
      <c r="CI62" t="s">
        <v>132</v>
      </c>
      <c r="CJ62">
        <v>2023</v>
      </c>
      <c r="CL62" t="s">
        <v>109</v>
      </c>
      <c r="CN62" t="s">
        <v>109</v>
      </c>
      <c r="CP62" t="s">
        <v>1289</v>
      </c>
      <c r="CQ62" t="s">
        <v>1290</v>
      </c>
      <c r="CR62" t="s">
        <v>136</v>
      </c>
      <c r="CS62" t="str">
        <f>HYPERLINK("https://nconnect.nicmar.ac.in/pdf/109_resume_1771482151.pdf/Y2FyZWVy","View Resume")</f>
        <v>0</v>
      </c>
    </row>
    <row r="63" spans="1:97">
      <c r="A63" t="s">
        <v>372</v>
      </c>
      <c r="B63" t="s">
        <v>98</v>
      </c>
      <c r="C63" t="s">
        <v>165</v>
      </c>
      <c r="D63" t="s">
        <v>224</v>
      </c>
      <c r="E63" t="s">
        <v>1291</v>
      </c>
      <c r="F63" t="s">
        <v>1292</v>
      </c>
      <c r="G63">
        <v>9732092011</v>
      </c>
      <c r="H63" t="s">
        <v>103</v>
      </c>
      <c r="I63" t="s">
        <v>1293</v>
      </c>
      <c r="J63" t="s">
        <v>105</v>
      </c>
      <c r="K63" t="s">
        <v>505</v>
      </c>
      <c r="L63" t="s">
        <v>1294</v>
      </c>
      <c r="M63" t="s">
        <v>1295</v>
      </c>
      <c r="N63" t="s">
        <v>109</v>
      </c>
      <c r="AI63" t="s">
        <v>1296</v>
      </c>
      <c r="AJ63" t="s">
        <v>1231</v>
      </c>
      <c r="AK63" t="s">
        <v>1297</v>
      </c>
      <c r="AL63">
        <v>61.4</v>
      </c>
      <c r="AN63">
        <v>1999</v>
      </c>
      <c r="AO63" t="s">
        <v>113</v>
      </c>
      <c r="AP63" t="s">
        <v>1296</v>
      </c>
      <c r="AQ63" t="s">
        <v>1231</v>
      </c>
      <c r="AR63" t="s">
        <v>1298</v>
      </c>
      <c r="AS63">
        <v>61.6</v>
      </c>
      <c r="AU63">
        <v>2002</v>
      </c>
      <c r="AV63" t="s">
        <v>109</v>
      </c>
      <c r="BC63" t="s">
        <v>113</v>
      </c>
      <c r="BD63" t="s">
        <v>1299</v>
      </c>
      <c r="BE63" t="s">
        <v>1300</v>
      </c>
      <c r="BF63" t="s">
        <v>1301</v>
      </c>
      <c r="BG63">
        <v>61.3</v>
      </c>
      <c r="BI63">
        <v>2005</v>
      </c>
      <c r="BJ63">
        <v>19</v>
      </c>
      <c r="BK63" t="s">
        <v>1302</v>
      </c>
      <c r="BL63">
        <v>53</v>
      </c>
      <c r="BM63" t="s">
        <v>1301</v>
      </c>
      <c r="BN63" t="s">
        <v>113</v>
      </c>
      <c r="BO63" t="s">
        <v>1303</v>
      </c>
      <c r="BP63" t="s">
        <v>1304</v>
      </c>
      <c r="BQ63" t="s">
        <v>1301</v>
      </c>
      <c r="BR63">
        <v>63.3</v>
      </c>
      <c r="BT63">
        <v>2008</v>
      </c>
      <c r="BU63">
        <v>31</v>
      </c>
      <c r="BV63" t="s">
        <v>1305</v>
      </c>
      <c r="BW63">
        <v>53</v>
      </c>
      <c r="BX63" t="s">
        <v>1306</v>
      </c>
      <c r="BY63" t="s">
        <v>113</v>
      </c>
      <c r="BZ63" t="s">
        <v>1307</v>
      </c>
      <c r="CA63" t="s">
        <v>1308</v>
      </c>
      <c r="CB63" t="s">
        <v>1309</v>
      </c>
      <c r="CC63">
        <v>92.3</v>
      </c>
      <c r="CD63">
        <v>9.23</v>
      </c>
      <c r="CE63">
        <v>2018</v>
      </c>
      <c r="CF63" t="s">
        <v>113</v>
      </c>
      <c r="CG63" t="s">
        <v>1310</v>
      </c>
      <c r="CH63" t="s">
        <v>539</v>
      </c>
      <c r="CI63" t="s">
        <v>132</v>
      </c>
      <c r="CJ63">
        <v>2023</v>
      </c>
      <c r="CL63" t="s">
        <v>109</v>
      </c>
      <c r="CN63" t="s">
        <v>113</v>
      </c>
      <c r="CO63" t="s">
        <v>1311</v>
      </c>
      <c r="CP63" t="s">
        <v>267</v>
      </c>
      <c r="CQ63" t="s">
        <v>1312</v>
      </c>
      <c r="CR63" t="s">
        <v>136</v>
      </c>
      <c r="CS63" t="str">
        <f>HYPERLINK("https://nconnect.nicmar.ac.in/pdf/113_resume_1771482354.pdf/Y2FyZWVy","View Resume")</f>
        <v>0</v>
      </c>
    </row>
    <row r="64" spans="1:97">
      <c r="A64" t="s">
        <v>501</v>
      </c>
      <c r="B64" t="s">
        <v>138</v>
      </c>
      <c r="C64" t="s">
        <v>165</v>
      </c>
      <c r="D64" t="s">
        <v>319</v>
      </c>
      <c r="E64" t="s">
        <v>1313</v>
      </c>
      <c r="F64" t="s">
        <v>1314</v>
      </c>
      <c r="G64">
        <v>9035345397</v>
      </c>
      <c r="H64" t="s">
        <v>103</v>
      </c>
      <c r="I64" t="s">
        <v>1315</v>
      </c>
      <c r="J64" t="s">
        <v>105</v>
      </c>
      <c r="K64" t="s">
        <v>1316</v>
      </c>
      <c r="L64" t="s">
        <v>1317</v>
      </c>
      <c r="M64" t="s">
        <v>1318</v>
      </c>
      <c r="N64" t="s">
        <v>109</v>
      </c>
      <c r="AI64" t="s">
        <v>1319</v>
      </c>
      <c r="AJ64" t="s">
        <v>1320</v>
      </c>
      <c r="AK64" t="s">
        <v>1321</v>
      </c>
      <c r="AL64">
        <v>77</v>
      </c>
      <c r="AN64">
        <v>1996</v>
      </c>
      <c r="AO64" t="s">
        <v>113</v>
      </c>
      <c r="AP64" t="s">
        <v>1322</v>
      </c>
      <c r="AQ64" t="s">
        <v>1323</v>
      </c>
      <c r="AR64" t="s">
        <v>1324</v>
      </c>
      <c r="AS64">
        <v>77</v>
      </c>
      <c r="AU64">
        <v>1998</v>
      </c>
      <c r="AV64" t="s">
        <v>109</v>
      </c>
      <c r="BC64" t="s">
        <v>113</v>
      </c>
      <c r="BD64" t="s">
        <v>1325</v>
      </c>
      <c r="BE64" t="s">
        <v>1326</v>
      </c>
      <c r="BF64" t="s">
        <v>839</v>
      </c>
      <c r="BG64">
        <v>76</v>
      </c>
      <c r="BI64">
        <v>2001</v>
      </c>
      <c r="BJ64">
        <v>19</v>
      </c>
      <c r="BL64">
        <v>23</v>
      </c>
      <c r="BN64" t="s">
        <v>113</v>
      </c>
      <c r="BO64" t="s">
        <v>1325</v>
      </c>
      <c r="BP64" t="s">
        <v>1327</v>
      </c>
      <c r="BQ64" t="s">
        <v>1328</v>
      </c>
      <c r="BR64">
        <v>60</v>
      </c>
      <c r="BT64">
        <v>2003</v>
      </c>
      <c r="BU64">
        <v>31</v>
      </c>
      <c r="BV64" t="s">
        <v>1329</v>
      </c>
      <c r="BW64">
        <v>23</v>
      </c>
      <c r="BY64" t="s">
        <v>109</v>
      </c>
      <c r="CF64" t="s">
        <v>113</v>
      </c>
      <c r="CG64" t="s">
        <v>1330</v>
      </c>
      <c r="CH64" t="s">
        <v>1331</v>
      </c>
      <c r="CI64" t="s">
        <v>240</v>
      </c>
      <c r="CK64" t="s">
        <v>109</v>
      </c>
      <c r="CL64" t="s">
        <v>113</v>
      </c>
      <c r="CM64" t="s">
        <v>1332</v>
      </c>
      <c r="CN64" t="s">
        <v>113</v>
      </c>
      <c r="CO64" t="s">
        <v>1333</v>
      </c>
      <c r="CP64" t="s">
        <v>1334</v>
      </c>
      <c r="CQ64" t="s">
        <v>1335</v>
      </c>
      <c r="CR64" t="s">
        <v>136</v>
      </c>
      <c r="CS64" t="str">
        <f>HYPERLINK("https://nconnect.nicmar.ac.in/pdf/123_resume_1771482222.pdf/Y2FyZWVy","View Resume")</f>
        <v>0</v>
      </c>
    </row>
    <row r="65" spans="1:97">
      <c r="A65" t="s">
        <v>294</v>
      </c>
      <c r="B65" t="s">
        <v>138</v>
      </c>
      <c r="C65" t="s">
        <v>295</v>
      </c>
      <c r="D65" t="s">
        <v>296</v>
      </c>
      <c r="E65" t="s">
        <v>1336</v>
      </c>
      <c r="F65" t="s">
        <v>1337</v>
      </c>
      <c r="G65">
        <v>9030342265</v>
      </c>
      <c r="H65" t="s">
        <v>103</v>
      </c>
      <c r="I65" t="s">
        <v>1338</v>
      </c>
      <c r="J65" t="s">
        <v>144</v>
      </c>
      <c r="K65" t="s">
        <v>1339</v>
      </c>
      <c r="L65" t="s">
        <v>1340</v>
      </c>
      <c r="M65" t="s">
        <v>1341</v>
      </c>
      <c r="N65" t="s">
        <v>109</v>
      </c>
      <c r="AI65" t="s">
        <v>1342</v>
      </c>
      <c r="AJ65" t="s">
        <v>1343</v>
      </c>
      <c r="AK65" t="s">
        <v>1344</v>
      </c>
      <c r="AL65">
        <v>90.33</v>
      </c>
      <c r="AN65">
        <v>2011</v>
      </c>
      <c r="AO65" t="s">
        <v>109</v>
      </c>
      <c r="AV65" t="s">
        <v>113</v>
      </c>
      <c r="AW65" t="s">
        <v>309</v>
      </c>
      <c r="AX65" t="s">
        <v>1345</v>
      </c>
      <c r="AY65" t="s">
        <v>309</v>
      </c>
      <c r="AZ65">
        <v>75.69</v>
      </c>
      <c r="BB65">
        <v>2014</v>
      </c>
      <c r="BC65" t="s">
        <v>113</v>
      </c>
      <c r="BD65" t="s">
        <v>1346</v>
      </c>
      <c r="BE65" t="s">
        <v>1347</v>
      </c>
      <c r="BF65" t="s">
        <v>309</v>
      </c>
      <c r="BG65">
        <v>71.31</v>
      </c>
      <c r="BI65">
        <v>2017</v>
      </c>
      <c r="BJ65">
        <v>1</v>
      </c>
      <c r="BL65">
        <v>9</v>
      </c>
      <c r="BN65" t="s">
        <v>113</v>
      </c>
      <c r="BO65" t="s">
        <v>1348</v>
      </c>
      <c r="BP65" t="s">
        <v>1349</v>
      </c>
      <c r="BQ65" t="s">
        <v>1350</v>
      </c>
      <c r="BR65">
        <v>7.15</v>
      </c>
      <c r="BS65">
        <v>7.15</v>
      </c>
      <c r="BT65">
        <v>2019</v>
      </c>
      <c r="BU65">
        <v>12</v>
      </c>
      <c r="BW65">
        <v>15</v>
      </c>
      <c r="BY65" t="s">
        <v>109</v>
      </c>
      <c r="CF65" t="s">
        <v>113</v>
      </c>
      <c r="CG65" t="s">
        <v>1351</v>
      </c>
      <c r="CH65" t="s">
        <v>1348</v>
      </c>
      <c r="CI65" t="s">
        <v>132</v>
      </c>
      <c r="CJ65">
        <v>2025</v>
      </c>
      <c r="CL65" t="s">
        <v>109</v>
      </c>
      <c r="CN65" t="s">
        <v>109</v>
      </c>
      <c r="CP65" t="s">
        <v>1352</v>
      </c>
      <c r="CQ65" t="s">
        <v>1335</v>
      </c>
      <c r="CR65" t="s">
        <v>136</v>
      </c>
      <c r="CS65" t="str">
        <f>HYPERLINK("https://nconnect.nicmar.ac.in/pdf/121_resume_1771482445.pdf/Y2FyZWVy","View Resume")</f>
        <v>0</v>
      </c>
    </row>
    <row r="66" spans="1:97">
      <c r="A66" t="s">
        <v>137</v>
      </c>
      <c r="B66" t="s">
        <v>138</v>
      </c>
      <c r="C66" t="s">
        <v>139</v>
      </c>
      <c r="D66" t="s">
        <v>140</v>
      </c>
      <c r="E66" t="s">
        <v>1353</v>
      </c>
      <c r="F66" t="s">
        <v>1354</v>
      </c>
      <c r="G66">
        <v>8309063066</v>
      </c>
      <c r="H66" t="s">
        <v>103</v>
      </c>
      <c r="I66" t="s">
        <v>1355</v>
      </c>
      <c r="J66" t="s">
        <v>105</v>
      </c>
      <c r="K66" t="s">
        <v>1356</v>
      </c>
      <c r="L66" t="s">
        <v>1357</v>
      </c>
      <c r="M66" t="s">
        <v>1358</v>
      </c>
      <c r="N66" t="s">
        <v>109</v>
      </c>
      <c r="AI66" t="s">
        <v>1359</v>
      </c>
      <c r="AJ66" t="s">
        <v>759</v>
      </c>
      <c r="AK66" t="s">
        <v>981</v>
      </c>
      <c r="AL66">
        <v>83.33</v>
      </c>
      <c r="AN66">
        <v>2004</v>
      </c>
      <c r="AO66" t="s">
        <v>113</v>
      </c>
      <c r="AP66" t="s">
        <v>1360</v>
      </c>
      <c r="AQ66" t="s">
        <v>762</v>
      </c>
      <c r="AR66" t="s">
        <v>1361</v>
      </c>
      <c r="AS66">
        <v>86.9</v>
      </c>
      <c r="AU66">
        <v>2006</v>
      </c>
      <c r="AV66" t="s">
        <v>109</v>
      </c>
      <c r="BC66" t="s">
        <v>113</v>
      </c>
      <c r="BD66" t="s">
        <v>1362</v>
      </c>
      <c r="BE66" t="s">
        <v>1363</v>
      </c>
      <c r="BF66" t="s">
        <v>309</v>
      </c>
      <c r="BG66">
        <v>67.8</v>
      </c>
      <c r="BH66">
        <v>6.78</v>
      </c>
      <c r="BI66">
        <v>2010</v>
      </c>
      <c r="BJ66">
        <v>2</v>
      </c>
      <c r="BL66">
        <v>9</v>
      </c>
      <c r="BN66" t="s">
        <v>113</v>
      </c>
      <c r="BO66" t="s">
        <v>1364</v>
      </c>
      <c r="BP66" t="s">
        <v>1365</v>
      </c>
      <c r="BQ66" t="s">
        <v>140</v>
      </c>
      <c r="BR66">
        <v>79.66</v>
      </c>
      <c r="BT66">
        <v>2016</v>
      </c>
      <c r="BU66">
        <v>14</v>
      </c>
      <c r="BW66">
        <v>7</v>
      </c>
      <c r="BY66" t="s">
        <v>109</v>
      </c>
      <c r="CF66" t="s">
        <v>113</v>
      </c>
      <c r="CG66" t="s">
        <v>140</v>
      </c>
      <c r="CH66" t="s">
        <v>1366</v>
      </c>
      <c r="CI66" t="s">
        <v>132</v>
      </c>
      <c r="CJ66">
        <v>2025</v>
      </c>
      <c r="CL66" t="s">
        <v>109</v>
      </c>
      <c r="CN66" t="s">
        <v>109</v>
      </c>
      <c r="CP66" t="s">
        <v>981</v>
      </c>
      <c r="CQ66" t="s">
        <v>1367</v>
      </c>
      <c r="CR66" t="str">
        <f>HYPERLINK("https://nconnect.nicmar.ac.in/public/storage/profile/6996f5462909c.png","Download")</f>
        <v>0</v>
      </c>
      <c r="CS66" t="str">
        <f>HYPERLINK("https://nconnect.nicmar.ac.in/pdf/125_resume_1771483315.pdf/Y2FyZWVy","View Resume")</f>
        <v>0</v>
      </c>
    </row>
    <row r="67" spans="1:97">
      <c r="A67" t="s">
        <v>656</v>
      </c>
      <c r="B67" t="s">
        <v>318</v>
      </c>
      <c r="C67" t="s">
        <v>139</v>
      </c>
      <c r="D67" t="s">
        <v>140</v>
      </c>
      <c r="E67" t="s">
        <v>1353</v>
      </c>
      <c r="F67" t="s">
        <v>1354</v>
      </c>
      <c r="G67">
        <v>8309063066</v>
      </c>
      <c r="H67" t="s">
        <v>103</v>
      </c>
      <c r="I67" t="s">
        <v>1355</v>
      </c>
      <c r="J67" t="s">
        <v>105</v>
      </c>
      <c r="K67" t="s">
        <v>1356</v>
      </c>
      <c r="L67" t="s">
        <v>1357</v>
      </c>
      <c r="M67" t="s">
        <v>1358</v>
      </c>
      <c r="N67" t="s">
        <v>109</v>
      </c>
      <c r="AI67" t="s">
        <v>1359</v>
      </c>
      <c r="AJ67" t="s">
        <v>759</v>
      </c>
      <c r="AK67" t="s">
        <v>981</v>
      </c>
      <c r="AL67">
        <v>83.33</v>
      </c>
      <c r="AN67">
        <v>2004</v>
      </c>
      <c r="AO67" t="s">
        <v>113</v>
      </c>
      <c r="AP67" t="s">
        <v>1360</v>
      </c>
      <c r="AQ67" t="s">
        <v>762</v>
      </c>
      <c r="AR67" t="s">
        <v>1361</v>
      </c>
      <c r="AS67">
        <v>86.9</v>
      </c>
      <c r="AU67">
        <v>2006</v>
      </c>
      <c r="AV67" t="s">
        <v>109</v>
      </c>
      <c r="BC67" t="s">
        <v>113</v>
      </c>
      <c r="BD67" t="s">
        <v>1362</v>
      </c>
      <c r="BE67" t="s">
        <v>1363</v>
      </c>
      <c r="BF67" t="s">
        <v>309</v>
      </c>
      <c r="BG67">
        <v>67.8</v>
      </c>
      <c r="BH67">
        <v>6.78</v>
      </c>
      <c r="BI67">
        <v>2010</v>
      </c>
      <c r="BJ67">
        <v>2</v>
      </c>
      <c r="BL67">
        <v>9</v>
      </c>
      <c r="BN67" t="s">
        <v>113</v>
      </c>
      <c r="BO67" t="s">
        <v>1364</v>
      </c>
      <c r="BP67" t="s">
        <v>1365</v>
      </c>
      <c r="BQ67" t="s">
        <v>140</v>
      </c>
      <c r="BR67">
        <v>79.66</v>
      </c>
      <c r="BT67">
        <v>2016</v>
      </c>
      <c r="BU67">
        <v>14</v>
      </c>
      <c r="BW67">
        <v>7</v>
      </c>
      <c r="BY67" t="s">
        <v>109</v>
      </c>
      <c r="CF67" t="s">
        <v>113</v>
      </c>
      <c r="CG67" t="s">
        <v>140</v>
      </c>
      <c r="CH67" t="s">
        <v>1366</v>
      </c>
      <c r="CI67" t="s">
        <v>132</v>
      </c>
      <c r="CJ67">
        <v>2025</v>
      </c>
      <c r="CL67" t="s">
        <v>109</v>
      </c>
      <c r="CN67" t="s">
        <v>109</v>
      </c>
      <c r="CP67" t="s">
        <v>981</v>
      </c>
      <c r="CQ67" t="s">
        <v>1368</v>
      </c>
      <c r="CR67" t="str">
        <f>HYPERLINK("https://nconnect.nicmar.ac.in/public/storage/profile/6996f5462909c.png","Download")</f>
        <v>0</v>
      </c>
      <c r="CS67" t="str">
        <f>HYPERLINK("https://nconnect.nicmar.ac.in/pdf/125_resume_1771483315.pdf/Y2FyZWVy","View Resume")</f>
        <v>0</v>
      </c>
    </row>
    <row r="68" spans="1:97">
      <c r="A68" t="s">
        <v>846</v>
      </c>
      <c r="B68" t="s">
        <v>138</v>
      </c>
      <c r="C68" t="s">
        <v>165</v>
      </c>
      <c r="D68" t="s">
        <v>847</v>
      </c>
      <c r="E68" t="s">
        <v>1369</v>
      </c>
      <c r="F68" t="s">
        <v>1370</v>
      </c>
      <c r="G68">
        <v>9339182105</v>
      </c>
      <c r="H68" t="s">
        <v>103</v>
      </c>
      <c r="I68" t="s">
        <v>1371</v>
      </c>
      <c r="J68" t="s">
        <v>144</v>
      </c>
      <c r="K68" t="s">
        <v>1372</v>
      </c>
      <c r="L68" t="s">
        <v>1373</v>
      </c>
      <c r="M68" t="s">
        <v>1374</v>
      </c>
      <c r="N68" t="s">
        <v>109</v>
      </c>
      <c r="AI68" t="s">
        <v>1375</v>
      </c>
      <c r="AJ68" t="s">
        <v>1376</v>
      </c>
      <c r="AK68" t="s">
        <v>1377</v>
      </c>
      <c r="AL68">
        <v>83</v>
      </c>
      <c r="AN68">
        <v>2011</v>
      </c>
      <c r="AO68" t="s">
        <v>113</v>
      </c>
      <c r="AP68" t="s">
        <v>1375</v>
      </c>
      <c r="AQ68" t="s">
        <v>1378</v>
      </c>
      <c r="AR68" t="s">
        <v>1379</v>
      </c>
      <c r="AS68">
        <v>83.6</v>
      </c>
      <c r="AU68">
        <v>2013</v>
      </c>
      <c r="AV68" t="s">
        <v>109</v>
      </c>
      <c r="BC68" t="s">
        <v>113</v>
      </c>
      <c r="BD68" t="s">
        <v>1380</v>
      </c>
      <c r="BE68" t="s">
        <v>1381</v>
      </c>
      <c r="BF68" t="s">
        <v>1382</v>
      </c>
      <c r="BG68">
        <v>62.37</v>
      </c>
      <c r="BI68">
        <v>2016</v>
      </c>
      <c r="BJ68">
        <v>19</v>
      </c>
      <c r="BK68" t="s">
        <v>1383</v>
      </c>
      <c r="BL68">
        <v>53</v>
      </c>
      <c r="BM68" t="s">
        <v>1384</v>
      </c>
      <c r="BN68" t="s">
        <v>113</v>
      </c>
      <c r="BO68" t="s">
        <v>1385</v>
      </c>
      <c r="BP68" t="s">
        <v>1386</v>
      </c>
      <c r="BQ68" t="s">
        <v>1384</v>
      </c>
      <c r="BR68">
        <v>78.5</v>
      </c>
      <c r="BT68">
        <v>2018</v>
      </c>
      <c r="BU68">
        <v>31</v>
      </c>
      <c r="BV68" t="s">
        <v>1387</v>
      </c>
      <c r="BW68">
        <v>53</v>
      </c>
      <c r="BX68" t="s">
        <v>1384</v>
      </c>
      <c r="BY68" t="s">
        <v>109</v>
      </c>
      <c r="CF68" t="s">
        <v>113</v>
      </c>
      <c r="CG68" t="s">
        <v>1388</v>
      </c>
      <c r="CH68" t="s">
        <v>539</v>
      </c>
      <c r="CI68" t="s">
        <v>132</v>
      </c>
      <c r="CJ68">
        <v>2024</v>
      </c>
      <c r="CL68" t="s">
        <v>109</v>
      </c>
      <c r="CN68" t="s">
        <v>113</v>
      </c>
      <c r="CO68" t="s">
        <v>1389</v>
      </c>
      <c r="CP68" t="s">
        <v>1377</v>
      </c>
      <c r="CQ68" t="s">
        <v>1390</v>
      </c>
      <c r="CR68" t="s">
        <v>136</v>
      </c>
      <c r="CS68" t="str">
        <f>HYPERLINK("https://nconnect.nicmar.ac.in/pdf/130_resume_1771483939.pdf/Y2FyZWVy","View Resume")</f>
        <v>0</v>
      </c>
    </row>
    <row r="69" spans="1:97">
      <c r="A69" t="s">
        <v>294</v>
      </c>
      <c r="B69" t="s">
        <v>138</v>
      </c>
      <c r="C69" t="s">
        <v>295</v>
      </c>
      <c r="D69" t="s">
        <v>296</v>
      </c>
      <c r="E69" t="s">
        <v>1391</v>
      </c>
      <c r="F69" t="s">
        <v>1392</v>
      </c>
      <c r="G69">
        <v>9743611173</v>
      </c>
      <c r="H69" t="s">
        <v>103</v>
      </c>
      <c r="I69" t="s">
        <v>1393</v>
      </c>
      <c r="J69" t="s">
        <v>105</v>
      </c>
      <c r="K69" t="s">
        <v>423</v>
      </c>
      <c r="L69" t="s">
        <v>1394</v>
      </c>
      <c r="M69" t="s">
        <v>1395</v>
      </c>
      <c r="N69" t="s">
        <v>109</v>
      </c>
      <c r="AI69" t="s">
        <v>1396</v>
      </c>
      <c r="AJ69" t="s">
        <v>1397</v>
      </c>
      <c r="AK69" t="s">
        <v>1398</v>
      </c>
      <c r="AL69">
        <v>88</v>
      </c>
      <c r="AN69">
        <v>2001</v>
      </c>
      <c r="AO69" t="s">
        <v>113</v>
      </c>
      <c r="AP69" t="s">
        <v>1399</v>
      </c>
      <c r="AQ69" t="s">
        <v>1400</v>
      </c>
      <c r="AR69" t="s">
        <v>1401</v>
      </c>
      <c r="AS69">
        <v>71.33</v>
      </c>
      <c r="AU69">
        <v>2003</v>
      </c>
      <c r="AV69" t="s">
        <v>109</v>
      </c>
      <c r="BC69" t="s">
        <v>113</v>
      </c>
      <c r="BD69" t="s">
        <v>1402</v>
      </c>
      <c r="BE69" t="s">
        <v>1403</v>
      </c>
      <c r="BF69" t="s">
        <v>1404</v>
      </c>
      <c r="BG69">
        <v>73.96</v>
      </c>
      <c r="BI69">
        <v>2007</v>
      </c>
      <c r="BJ69">
        <v>2</v>
      </c>
      <c r="BL69">
        <v>9</v>
      </c>
      <c r="BN69" t="s">
        <v>113</v>
      </c>
      <c r="BO69" t="s">
        <v>1405</v>
      </c>
      <c r="BP69" t="s">
        <v>1406</v>
      </c>
      <c r="BQ69" t="s">
        <v>1407</v>
      </c>
      <c r="BR69">
        <v>82.2</v>
      </c>
      <c r="BS69">
        <v>8.97</v>
      </c>
      <c r="BT69">
        <v>2007</v>
      </c>
      <c r="BU69">
        <v>12</v>
      </c>
      <c r="BW69">
        <v>15</v>
      </c>
      <c r="BY69" t="s">
        <v>109</v>
      </c>
      <c r="CF69" t="s">
        <v>113</v>
      </c>
      <c r="CG69" t="s">
        <v>1408</v>
      </c>
      <c r="CH69" t="s">
        <v>1409</v>
      </c>
      <c r="CI69" t="s">
        <v>240</v>
      </c>
      <c r="CK69" t="s">
        <v>109</v>
      </c>
      <c r="CL69" t="s">
        <v>113</v>
      </c>
      <c r="CN69" t="s">
        <v>113</v>
      </c>
      <c r="CO69" t="s">
        <v>1410</v>
      </c>
      <c r="CP69" t="s">
        <v>1411</v>
      </c>
      <c r="CQ69" t="s">
        <v>1412</v>
      </c>
      <c r="CR69" t="s">
        <v>136</v>
      </c>
      <c r="CS69" t="str">
        <f>HYPERLINK("https://nconnect.nicmar.ac.in/pdf/124_resume_1771484126.pdf/Y2FyZWVy","View Resume")</f>
        <v>0</v>
      </c>
    </row>
    <row r="70" spans="1:97">
      <c r="A70" t="s">
        <v>164</v>
      </c>
      <c r="B70" t="s">
        <v>138</v>
      </c>
      <c r="C70" t="s">
        <v>165</v>
      </c>
      <c r="D70" t="s">
        <v>166</v>
      </c>
      <c r="E70" t="s">
        <v>1413</v>
      </c>
      <c r="F70" t="s">
        <v>1414</v>
      </c>
      <c r="G70">
        <v>8763837714</v>
      </c>
      <c r="H70" t="s">
        <v>103</v>
      </c>
      <c r="I70" t="s">
        <v>1415</v>
      </c>
      <c r="J70" t="s">
        <v>105</v>
      </c>
      <c r="K70" t="s">
        <v>1416</v>
      </c>
      <c r="L70" t="s">
        <v>1417</v>
      </c>
      <c r="M70" t="s">
        <v>1418</v>
      </c>
      <c r="N70" t="s">
        <v>113</v>
      </c>
      <c r="O70" t="s">
        <v>1419</v>
      </c>
      <c r="P70" t="s">
        <v>746</v>
      </c>
      <c r="AI70" t="s">
        <v>1420</v>
      </c>
      <c r="AJ70" t="s">
        <v>1421</v>
      </c>
      <c r="AK70" t="s">
        <v>1422</v>
      </c>
      <c r="AL70">
        <v>87.6</v>
      </c>
      <c r="AN70">
        <v>2008</v>
      </c>
      <c r="AO70" t="s">
        <v>113</v>
      </c>
      <c r="AP70" t="s">
        <v>1423</v>
      </c>
      <c r="AQ70" t="s">
        <v>1424</v>
      </c>
      <c r="AR70" t="s">
        <v>1425</v>
      </c>
      <c r="AS70">
        <v>72</v>
      </c>
      <c r="AU70">
        <v>2010</v>
      </c>
      <c r="AV70" t="s">
        <v>109</v>
      </c>
      <c r="BC70" t="s">
        <v>113</v>
      </c>
      <c r="BD70" t="s">
        <v>1426</v>
      </c>
      <c r="BE70" t="s">
        <v>1427</v>
      </c>
      <c r="BF70" t="s">
        <v>1428</v>
      </c>
      <c r="BG70">
        <v>75.7</v>
      </c>
      <c r="BH70">
        <v>7.57</v>
      </c>
      <c r="BI70">
        <v>2014</v>
      </c>
      <c r="BJ70">
        <v>19</v>
      </c>
      <c r="BK70" t="s">
        <v>1429</v>
      </c>
      <c r="BL70">
        <v>53</v>
      </c>
      <c r="BM70" t="s">
        <v>1430</v>
      </c>
      <c r="BN70" t="s">
        <v>113</v>
      </c>
      <c r="BO70" t="s">
        <v>1431</v>
      </c>
      <c r="BP70" t="s">
        <v>1432</v>
      </c>
      <c r="BQ70" t="s">
        <v>1433</v>
      </c>
      <c r="BR70">
        <v>86.3</v>
      </c>
      <c r="BS70">
        <v>8.63</v>
      </c>
      <c r="BT70">
        <v>2017</v>
      </c>
      <c r="BU70">
        <v>31</v>
      </c>
      <c r="BV70" t="s">
        <v>1434</v>
      </c>
      <c r="BW70">
        <v>53</v>
      </c>
      <c r="BX70" t="s">
        <v>1435</v>
      </c>
      <c r="BY70" t="s">
        <v>109</v>
      </c>
      <c r="CF70" t="s">
        <v>113</v>
      </c>
      <c r="CG70" t="s">
        <v>1436</v>
      </c>
      <c r="CH70" t="s">
        <v>1437</v>
      </c>
      <c r="CI70" t="s">
        <v>132</v>
      </c>
      <c r="CJ70">
        <v>2023</v>
      </c>
      <c r="CL70" t="s">
        <v>113</v>
      </c>
      <c r="CM70" t="s">
        <v>1438</v>
      </c>
      <c r="CN70" t="s">
        <v>113</v>
      </c>
      <c r="CO70" t="s">
        <v>1439</v>
      </c>
      <c r="CP70" t="s">
        <v>1440</v>
      </c>
      <c r="CQ70" t="s">
        <v>1441</v>
      </c>
      <c r="CR70" t="s">
        <v>136</v>
      </c>
      <c r="CS70" t="str">
        <f>HYPERLINK("https://nconnect.nicmar.ac.in/pdf/34_resume_1771484139.pdf/Y2FyZWVy","View Resume")</f>
        <v>0</v>
      </c>
    </row>
    <row r="71" spans="1:97">
      <c r="A71" t="s">
        <v>1442</v>
      </c>
      <c r="B71" t="s">
        <v>98</v>
      </c>
      <c r="C71" t="s">
        <v>139</v>
      </c>
      <c r="D71" t="s">
        <v>1443</v>
      </c>
      <c r="E71" t="s">
        <v>1391</v>
      </c>
      <c r="F71" t="s">
        <v>1392</v>
      </c>
      <c r="G71">
        <v>9743611173</v>
      </c>
      <c r="H71" t="s">
        <v>103</v>
      </c>
      <c r="I71" t="s">
        <v>1393</v>
      </c>
      <c r="J71" t="s">
        <v>105</v>
      </c>
      <c r="K71" t="s">
        <v>423</v>
      </c>
      <c r="L71" t="s">
        <v>1394</v>
      </c>
      <c r="M71" t="s">
        <v>1395</v>
      </c>
      <c r="N71" t="s">
        <v>109</v>
      </c>
      <c r="AI71" t="s">
        <v>1396</v>
      </c>
      <c r="AJ71" t="s">
        <v>1397</v>
      </c>
      <c r="AK71" t="s">
        <v>1398</v>
      </c>
      <c r="AL71">
        <v>88</v>
      </c>
      <c r="AN71">
        <v>2001</v>
      </c>
      <c r="AO71" t="s">
        <v>113</v>
      </c>
      <c r="AP71" t="s">
        <v>1399</v>
      </c>
      <c r="AQ71" t="s">
        <v>1400</v>
      </c>
      <c r="AR71" t="s">
        <v>1401</v>
      </c>
      <c r="AS71">
        <v>71.33</v>
      </c>
      <c r="AU71">
        <v>2003</v>
      </c>
      <c r="AV71" t="s">
        <v>109</v>
      </c>
      <c r="BC71" t="s">
        <v>113</v>
      </c>
      <c r="BD71" t="s">
        <v>1402</v>
      </c>
      <c r="BE71" t="s">
        <v>1403</v>
      </c>
      <c r="BF71" t="s">
        <v>1404</v>
      </c>
      <c r="BG71">
        <v>73.96</v>
      </c>
      <c r="BI71">
        <v>2007</v>
      </c>
      <c r="BJ71">
        <v>2</v>
      </c>
      <c r="BL71">
        <v>9</v>
      </c>
      <c r="BN71" t="s">
        <v>113</v>
      </c>
      <c r="BO71" t="s">
        <v>1405</v>
      </c>
      <c r="BP71" t="s">
        <v>1406</v>
      </c>
      <c r="BQ71" t="s">
        <v>1407</v>
      </c>
      <c r="BR71">
        <v>82.2</v>
      </c>
      <c r="BS71">
        <v>8.97</v>
      </c>
      <c r="BT71">
        <v>2007</v>
      </c>
      <c r="BU71">
        <v>12</v>
      </c>
      <c r="BW71">
        <v>15</v>
      </c>
      <c r="BY71" t="s">
        <v>109</v>
      </c>
      <c r="CF71" t="s">
        <v>113</v>
      </c>
      <c r="CG71" t="s">
        <v>1408</v>
      </c>
      <c r="CH71" t="s">
        <v>1409</v>
      </c>
      <c r="CI71" t="s">
        <v>240</v>
      </c>
      <c r="CK71" t="s">
        <v>109</v>
      </c>
      <c r="CL71" t="s">
        <v>113</v>
      </c>
      <c r="CN71" t="s">
        <v>113</v>
      </c>
      <c r="CO71" t="s">
        <v>1410</v>
      </c>
      <c r="CP71" t="s">
        <v>1411</v>
      </c>
      <c r="CQ71" t="s">
        <v>1441</v>
      </c>
      <c r="CR71" t="s">
        <v>136</v>
      </c>
      <c r="CS71" t="str">
        <f>HYPERLINK("https://nconnect.nicmar.ac.in/pdf/124_resume_1771484126.pdf/Y2FyZWVy","View Resume")</f>
        <v>0</v>
      </c>
    </row>
    <row r="72" spans="1:97">
      <c r="A72" t="s">
        <v>137</v>
      </c>
      <c r="B72" t="s">
        <v>138</v>
      </c>
      <c r="C72" t="s">
        <v>139</v>
      </c>
      <c r="D72" t="s">
        <v>140</v>
      </c>
      <c r="E72" t="s">
        <v>1444</v>
      </c>
      <c r="F72" t="s">
        <v>1445</v>
      </c>
      <c r="G72">
        <v>9473561334</v>
      </c>
      <c r="H72" t="s">
        <v>103</v>
      </c>
      <c r="I72" t="s">
        <v>1446</v>
      </c>
      <c r="J72" t="s">
        <v>144</v>
      </c>
      <c r="K72" t="s">
        <v>505</v>
      </c>
      <c r="L72" t="s">
        <v>1447</v>
      </c>
      <c r="M72" t="s">
        <v>1448</v>
      </c>
      <c r="N72" t="s">
        <v>109</v>
      </c>
      <c r="AI72" t="s">
        <v>1449</v>
      </c>
      <c r="AJ72" t="s">
        <v>1450</v>
      </c>
      <c r="AK72" t="s">
        <v>1451</v>
      </c>
      <c r="AL72">
        <v>70</v>
      </c>
      <c r="AM72">
        <v>7</v>
      </c>
      <c r="AN72">
        <v>2010</v>
      </c>
      <c r="AO72" t="s">
        <v>113</v>
      </c>
      <c r="AP72" t="s">
        <v>1452</v>
      </c>
      <c r="AQ72" t="s">
        <v>1453</v>
      </c>
      <c r="AR72" t="s">
        <v>1454</v>
      </c>
      <c r="AS72">
        <v>56.6</v>
      </c>
      <c r="AU72">
        <v>2012</v>
      </c>
      <c r="AV72" t="s">
        <v>109</v>
      </c>
      <c r="BC72" t="s">
        <v>113</v>
      </c>
      <c r="BD72" t="s">
        <v>1455</v>
      </c>
      <c r="BE72" t="s">
        <v>1456</v>
      </c>
      <c r="BF72" t="s">
        <v>1457</v>
      </c>
      <c r="BG72">
        <v>68.8</v>
      </c>
      <c r="BI72">
        <v>2016</v>
      </c>
      <c r="BJ72">
        <v>1</v>
      </c>
      <c r="BL72">
        <v>9</v>
      </c>
      <c r="BN72" t="s">
        <v>113</v>
      </c>
      <c r="BO72" t="s">
        <v>1458</v>
      </c>
      <c r="BP72" t="s">
        <v>1459</v>
      </c>
      <c r="BQ72" t="s">
        <v>1460</v>
      </c>
      <c r="BR72">
        <v>82</v>
      </c>
      <c r="BS72">
        <v>8.2</v>
      </c>
      <c r="BT72">
        <v>2020</v>
      </c>
      <c r="BU72">
        <v>14</v>
      </c>
      <c r="BW72">
        <v>47</v>
      </c>
      <c r="BY72" t="s">
        <v>109</v>
      </c>
      <c r="CF72" t="s">
        <v>113</v>
      </c>
      <c r="CG72" t="s">
        <v>1461</v>
      </c>
      <c r="CH72" t="s">
        <v>1462</v>
      </c>
      <c r="CI72" t="s">
        <v>132</v>
      </c>
      <c r="CJ72">
        <v>2025</v>
      </c>
      <c r="CL72" t="s">
        <v>113</v>
      </c>
      <c r="CM72" t="s">
        <v>1463</v>
      </c>
      <c r="CN72" t="s">
        <v>113</v>
      </c>
      <c r="CO72" t="s">
        <v>1464</v>
      </c>
      <c r="CP72" t="s">
        <v>1465</v>
      </c>
      <c r="CQ72" t="s">
        <v>1466</v>
      </c>
      <c r="CR72" t="s">
        <v>136</v>
      </c>
      <c r="CS72" t="str">
        <f>HYPERLINK("https://nconnect.nicmar.ac.in/pdf/107_resume_1771484249.pdf/Y2FyZWVy","View Resume")</f>
        <v>0</v>
      </c>
    </row>
    <row r="73" spans="1:97">
      <c r="A73" t="s">
        <v>190</v>
      </c>
      <c r="B73" t="s">
        <v>138</v>
      </c>
      <c r="C73" t="s">
        <v>139</v>
      </c>
      <c r="D73" t="s">
        <v>191</v>
      </c>
      <c r="E73" t="s">
        <v>1467</v>
      </c>
      <c r="F73" t="s">
        <v>1468</v>
      </c>
      <c r="G73">
        <v>9595077955</v>
      </c>
      <c r="H73" t="s">
        <v>103</v>
      </c>
      <c r="I73" t="s">
        <v>1469</v>
      </c>
      <c r="J73" t="s">
        <v>144</v>
      </c>
      <c r="K73" t="s">
        <v>1470</v>
      </c>
      <c r="L73" t="s">
        <v>1471</v>
      </c>
      <c r="M73" t="s">
        <v>1472</v>
      </c>
      <c r="N73" t="s">
        <v>109</v>
      </c>
      <c r="AI73" t="s">
        <v>1473</v>
      </c>
      <c r="AJ73" t="s">
        <v>1474</v>
      </c>
      <c r="AK73" t="s">
        <v>1475</v>
      </c>
      <c r="AL73">
        <v>73.09</v>
      </c>
      <c r="AN73">
        <v>2010</v>
      </c>
      <c r="AO73" t="s">
        <v>113</v>
      </c>
      <c r="AP73" t="s">
        <v>1476</v>
      </c>
      <c r="AQ73" t="s">
        <v>1474</v>
      </c>
      <c r="AR73" t="s">
        <v>1477</v>
      </c>
      <c r="AS73">
        <v>56.5</v>
      </c>
      <c r="AU73">
        <v>2012</v>
      </c>
      <c r="AV73" t="s">
        <v>109</v>
      </c>
      <c r="BC73" t="s">
        <v>113</v>
      </c>
      <c r="BD73" t="s">
        <v>1478</v>
      </c>
      <c r="BE73" t="s">
        <v>1479</v>
      </c>
      <c r="BF73" t="s">
        <v>1477</v>
      </c>
      <c r="BG73">
        <v>76.45</v>
      </c>
      <c r="BI73">
        <v>2015</v>
      </c>
      <c r="BJ73">
        <v>19</v>
      </c>
      <c r="BK73" t="s">
        <v>1480</v>
      </c>
      <c r="BL73">
        <v>52</v>
      </c>
      <c r="BM73" t="s">
        <v>281</v>
      </c>
      <c r="BN73" t="s">
        <v>113</v>
      </c>
      <c r="BO73" t="s">
        <v>1478</v>
      </c>
      <c r="BP73" t="s">
        <v>1481</v>
      </c>
      <c r="BQ73" t="s">
        <v>281</v>
      </c>
      <c r="BR73">
        <v>70.44</v>
      </c>
      <c r="BS73">
        <v>8.43</v>
      </c>
      <c r="BT73">
        <v>2017</v>
      </c>
      <c r="BU73">
        <v>31</v>
      </c>
      <c r="BV73" t="s">
        <v>1482</v>
      </c>
      <c r="BW73">
        <v>53</v>
      </c>
      <c r="BX73" t="s">
        <v>281</v>
      </c>
      <c r="BY73" t="s">
        <v>113</v>
      </c>
      <c r="BZ73" t="s">
        <v>1478</v>
      </c>
      <c r="CA73" t="s">
        <v>1483</v>
      </c>
      <c r="CB73" t="s">
        <v>1484</v>
      </c>
      <c r="CC73">
        <v>74.91</v>
      </c>
      <c r="CD73">
        <v>8.75</v>
      </c>
      <c r="CE73">
        <v>2019</v>
      </c>
      <c r="CF73" t="s">
        <v>113</v>
      </c>
      <c r="CG73" t="s">
        <v>1485</v>
      </c>
      <c r="CH73" t="s">
        <v>1486</v>
      </c>
      <c r="CI73" t="s">
        <v>132</v>
      </c>
      <c r="CJ73">
        <v>2025</v>
      </c>
      <c r="CL73" t="s">
        <v>113</v>
      </c>
      <c r="CM73" t="s">
        <v>1487</v>
      </c>
      <c r="CN73" t="s">
        <v>113</v>
      </c>
      <c r="CO73" t="s">
        <v>1488</v>
      </c>
      <c r="CP73" t="s">
        <v>1489</v>
      </c>
      <c r="CQ73" t="s">
        <v>1490</v>
      </c>
      <c r="CR73" t="s">
        <v>136</v>
      </c>
      <c r="CS73" t="str">
        <f>HYPERLINK("https://nconnect.nicmar.ac.in/pdf/134_resume_1771484815.pdf/Y2FyZWVy","View Resume")</f>
        <v>0</v>
      </c>
    </row>
    <row r="74" spans="1:97">
      <c r="A74" t="s">
        <v>192</v>
      </c>
      <c r="B74" t="s">
        <v>138</v>
      </c>
      <c r="C74" t="s">
        <v>165</v>
      </c>
      <c r="D74" t="s">
        <v>193</v>
      </c>
      <c r="E74" t="s">
        <v>1491</v>
      </c>
      <c r="F74" t="s">
        <v>1492</v>
      </c>
      <c r="G74">
        <v>9045911949</v>
      </c>
      <c r="H74" t="s">
        <v>103</v>
      </c>
      <c r="I74" t="s">
        <v>1493</v>
      </c>
      <c r="J74" t="s">
        <v>144</v>
      </c>
      <c r="K74" t="s">
        <v>1494</v>
      </c>
      <c r="L74" t="s">
        <v>1495</v>
      </c>
      <c r="M74" t="s">
        <v>1496</v>
      </c>
      <c r="N74" t="s">
        <v>109</v>
      </c>
      <c r="AI74" t="s">
        <v>1497</v>
      </c>
      <c r="AJ74" t="s">
        <v>1498</v>
      </c>
      <c r="AK74" t="s">
        <v>1499</v>
      </c>
      <c r="AL74">
        <v>78</v>
      </c>
      <c r="AN74">
        <v>2007</v>
      </c>
      <c r="AO74" t="s">
        <v>113</v>
      </c>
      <c r="AP74" t="s">
        <v>1500</v>
      </c>
      <c r="AQ74" t="s">
        <v>1501</v>
      </c>
      <c r="AR74" t="s">
        <v>1502</v>
      </c>
      <c r="AS74">
        <v>70.5</v>
      </c>
      <c r="AU74">
        <v>2009</v>
      </c>
      <c r="AV74" t="s">
        <v>109</v>
      </c>
      <c r="BC74" t="s">
        <v>113</v>
      </c>
      <c r="BD74" t="s">
        <v>1503</v>
      </c>
      <c r="BE74" t="s">
        <v>1503</v>
      </c>
      <c r="BF74" t="s">
        <v>839</v>
      </c>
      <c r="BG74">
        <v>61.6</v>
      </c>
      <c r="BI74">
        <v>2012</v>
      </c>
      <c r="BJ74">
        <v>19</v>
      </c>
      <c r="BK74" t="s">
        <v>1504</v>
      </c>
      <c r="BL74">
        <v>53</v>
      </c>
      <c r="BM74" t="s">
        <v>839</v>
      </c>
      <c r="BN74" t="s">
        <v>113</v>
      </c>
      <c r="BO74" t="s">
        <v>815</v>
      </c>
      <c r="BP74" t="s">
        <v>1503</v>
      </c>
      <c r="BQ74" t="s">
        <v>1505</v>
      </c>
      <c r="BR74">
        <v>65.6</v>
      </c>
      <c r="BT74">
        <v>2014</v>
      </c>
      <c r="BU74">
        <v>31</v>
      </c>
      <c r="BV74" t="s">
        <v>1506</v>
      </c>
      <c r="BW74">
        <v>53</v>
      </c>
      <c r="BX74" t="s">
        <v>1505</v>
      </c>
      <c r="BY74" t="s">
        <v>109</v>
      </c>
      <c r="CF74" t="s">
        <v>113</v>
      </c>
      <c r="CG74" t="s">
        <v>746</v>
      </c>
      <c r="CH74" t="s">
        <v>815</v>
      </c>
      <c r="CI74" t="s">
        <v>240</v>
      </c>
      <c r="CK74" t="s">
        <v>113</v>
      </c>
      <c r="CL74" t="s">
        <v>109</v>
      </c>
      <c r="CN74" t="s">
        <v>109</v>
      </c>
      <c r="CP74" t="s">
        <v>1507</v>
      </c>
      <c r="CQ74" t="s">
        <v>1508</v>
      </c>
      <c r="CR74" t="s">
        <v>136</v>
      </c>
      <c r="CS74" t="str">
        <f>HYPERLINK("https://nconnect.nicmar.ac.in/pdf/138_resume_1771484793.pdf/Y2FyZWVy","View Resume")</f>
        <v>0</v>
      </c>
    </row>
    <row r="75" spans="1:97">
      <c r="A75" t="s">
        <v>501</v>
      </c>
      <c r="B75" t="s">
        <v>138</v>
      </c>
      <c r="C75" t="s">
        <v>165</v>
      </c>
      <c r="D75" t="s">
        <v>319</v>
      </c>
      <c r="E75" t="s">
        <v>1509</v>
      </c>
      <c r="F75" t="s">
        <v>1510</v>
      </c>
      <c r="G75">
        <v>9860572490</v>
      </c>
      <c r="H75" t="s">
        <v>169</v>
      </c>
      <c r="I75" t="s">
        <v>1511</v>
      </c>
      <c r="J75" t="s">
        <v>105</v>
      </c>
      <c r="K75" t="s">
        <v>1512</v>
      </c>
      <c r="L75" t="s">
        <v>1513</v>
      </c>
      <c r="M75" t="s">
        <v>1514</v>
      </c>
      <c r="N75" t="s">
        <v>109</v>
      </c>
      <c r="AI75" t="s">
        <v>1515</v>
      </c>
      <c r="AJ75" t="s">
        <v>1516</v>
      </c>
      <c r="AK75" t="s">
        <v>957</v>
      </c>
      <c r="AL75">
        <v>77</v>
      </c>
      <c r="AN75">
        <v>1988</v>
      </c>
      <c r="AO75" t="s">
        <v>113</v>
      </c>
      <c r="AP75" t="s">
        <v>1517</v>
      </c>
      <c r="AQ75" t="s">
        <v>1516</v>
      </c>
      <c r="AR75" t="s">
        <v>1518</v>
      </c>
      <c r="AS75">
        <v>61.67</v>
      </c>
      <c r="AU75">
        <v>1990</v>
      </c>
      <c r="AV75" t="s">
        <v>113</v>
      </c>
      <c r="AW75" t="s">
        <v>1519</v>
      </c>
      <c r="AX75" t="s">
        <v>1520</v>
      </c>
      <c r="AY75" t="s">
        <v>1521</v>
      </c>
      <c r="AZ75">
        <v>60</v>
      </c>
      <c r="BB75">
        <v>1994</v>
      </c>
      <c r="BC75" t="s">
        <v>113</v>
      </c>
      <c r="BD75" t="s">
        <v>1522</v>
      </c>
      <c r="BE75" t="s">
        <v>1523</v>
      </c>
      <c r="BF75" t="s">
        <v>1524</v>
      </c>
      <c r="BG75">
        <v>74</v>
      </c>
      <c r="BI75">
        <v>1993</v>
      </c>
      <c r="BJ75">
        <v>19</v>
      </c>
      <c r="BK75" t="s">
        <v>515</v>
      </c>
      <c r="BL75">
        <v>33</v>
      </c>
      <c r="BN75" t="s">
        <v>113</v>
      </c>
      <c r="BO75" t="s">
        <v>1522</v>
      </c>
      <c r="BP75" t="s">
        <v>1525</v>
      </c>
      <c r="BQ75" t="s">
        <v>1526</v>
      </c>
      <c r="BR75">
        <v>72</v>
      </c>
      <c r="BT75">
        <v>1996</v>
      </c>
      <c r="BU75">
        <v>31</v>
      </c>
      <c r="BW75">
        <v>23</v>
      </c>
      <c r="BY75" t="s">
        <v>113</v>
      </c>
      <c r="BZ75" t="s">
        <v>1522</v>
      </c>
      <c r="CA75" t="s">
        <v>1522</v>
      </c>
      <c r="CB75" t="s">
        <v>1527</v>
      </c>
      <c r="CC75">
        <v>62</v>
      </c>
      <c r="CE75">
        <v>2001</v>
      </c>
      <c r="CF75" t="s">
        <v>113</v>
      </c>
      <c r="CG75" t="s">
        <v>1528</v>
      </c>
      <c r="CH75" t="s">
        <v>1529</v>
      </c>
      <c r="CI75" t="s">
        <v>132</v>
      </c>
      <c r="CJ75">
        <v>2024</v>
      </c>
      <c r="CL75" t="s">
        <v>113</v>
      </c>
      <c r="CM75" t="s">
        <v>1530</v>
      </c>
      <c r="CN75" t="s">
        <v>109</v>
      </c>
      <c r="CP75" t="s">
        <v>1531</v>
      </c>
      <c r="CQ75" t="s">
        <v>1532</v>
      </c>
      <c r="CR75" t="s">
        <v>136</v>
      </c>
      <c r="CS75" t="str">
        <f>HYPERLINK("https://nconnect.nicmar.ac.in/pdf/131_resume_1771485082.pdf/Y2FyZWVy","View Resume")</f>
        <v>0</v>
      </c>
    </row>
    <row r="76" spans="1:97">
      <c r="A76" t="s">
        <v>164</v>
      </c>
      <c r="B76" t="s">
        <v>138</v>
      </c>
      <c r="C76" t="s">
        <v>165</v>
      </c>
      <c r="D76" t="s">
        <v>166</v>
      </c>
      <c r="E76" t="s">
        <v>1533</v>
      </c>
      <c r="F76" t="s">
        <v>1534</v>
      </c>
      <c r="G76">
        <v>9730113355</v>
      </c>
      <c r="H76" t="s">
        <v>103</v>
      </c>
      <c r="I76" t="s">
        <v>1535</v>
      </c>
      <c r="J76" t="s">
        <v>105</v>
      </c>
      <c r="K76" t="s">
        <v>1536</v>
      </c>
      <c r="L76" t="s">
        <v>1537</v>
      </c>
      <c r="M76" t="s">
        <v>1538</v>
      </c>
      <c r="N76" t="s">
        <v>113</v>
      </c>
      <c r="O76" t="s">
        <v>1539</v>
      </c>
      <c r="P76" t="s">
        <v>295</v>
      </c>
      <c r="AI76" t="s">
        <v>1540</v>
      </c>
      <c r="AJ76" t="s">
        <v>1231</v>
      </c>
      <c r="AK76" t="s">
        <v>281</v>
      </c>
      <c r="AL76">
        <v>68.4</v>
      </c>
      <c r="AN76">
        <v>1999</v>
      </c>
      <c r="AO76" t="s">
        <v>113</v>
      </c>
      <c r="AP76" t="s">
        <v>1541</v>
      </c>
      <c r="AQ76" t="s">
        <v>1542</v>
      </c>
      <c r="AR76" t="s">
        <v>1543</v>
      </c>
      <c r="AS76">
        <v>76.17</v>
      </c>
      <c r="AU76">
        <v>2001</v>
      </c>
      <c r="AV76" t="s">
        <v>109</v>
      </c>
      <c r="BC76" t="s">
        <v>113</v>
      </c>
      <c r="BD76" t="s">
        <v>914</v>
      </c>
      <c r="BE76" t="s">
        <v>1544</v>
      </c>
      <c r="BF76" t="s">
        <v>1545</v>
      </c>
      <c r="BG76">
        <v>63.13</v>
      </c>
      <c r="BI76">
        <v>2006</v>
      </c>
      <c r="BJ76">
        <v>19</v>
      </c>
      <c r="BK76" t="s">
        <v>1546</v>
      </c>
      <c r="BL76">
        <v>11</v>
      </c>
      <c r="BN76" t="s">
        <v>113</v>
      </c>
      <c r="BO76" t="s">
        <v>914</v>
      </c>
      <c r="BP76" t="s">
        <v>1547</v>
      </c>
      <c r="BQ76" t="s">
        <v>1548</v>
      </c>
      <c r="BR76">
        <v>65</v>
      </c>
      <c r="BT76">
        <v>2008</v>
      </c>
      <c r="BU76">
        <v>31</v>
      </c>
      <c r="BV76" t="s">
        <v>1549</v>
      </c>
      <c r="BW76">
        <v>33</v>
      </c>
      <c r="BY76" t="s">
        <v>113</v>
      </c>
      <c r="BZ76" t="s">
        <v>1550</v>
      </c>
      <c r="CA76" t="s">
        <v>1551</v>
      </c>
      <c r="CB76" t="s">
        <v>1552</v>
      </c>
      <c r="CC76">
        <v>76.3</v>
      </c>
      <c r="CD76">
        <v>7.63</v>
      </c>
      <c r="CE76">
        <v>2021</v>
      </c>
      <c r="CF76" t="s">
        <v>113</v>
      </c>
      <c r="CG76" t="s">
        <v>193</v>
      </c>
      <c r="CH76" t="s">
        <v>1553</v>
      </c>
      <c r="CI76" t="s">
        <v>132</v>
      </c>
      <c r="CJ76">
        <v>2019</v>
      </c>
      <c r="CL76" t="s">
        <v>109</v>
      </c>
      <c r="CN76" t="s">
        <v>113</v>
      </c>
      <c r="CO76" t="s">
        <v>1554</v>
      </c>
      <c r="CP76" t="s">
        <v>267</v>
      </c>
      <c r="CQ76" t="s">
        <v>1555</v>
      </c>
      <c r="CR76" t="s">
        <v>136</v>
      </c>
      <c r="CS76" t="str">
        <f>HYPERLINK("https://nconnect.nicmar.ac.in/pdf/136_resume_1771485395.pdf/Y2FyZWVy","View Resume")</f>
        <v>0</v>
      </c>
    </row>
    <row r="77" spans="1:97">
      <c r="A77" t="s">
        <v>223</v>
      </c>
      <c r="B77" t="s">
        <v>138</v>
      </c>
      <c r="C77" t="s">
        <v>165</v>
      </c>
      <c r="D77" t="s">
        <v>224</v>
      </c>
      <c r="E77" t="s">
        <v>1556</v>
      </c>
      <c r="F77" t="s">
        <v>1557</v>
      </c>
      <c r="G77">
        <v>9895299870</v>
      </c>
      <c r="H77" t="s">
        <v>103</v>
      </c>
      <c r="I77" t="s">
        <v>1558</v>
      </c>
      <c r="J77" t="s">
        <v>105</v>
      </c>
      <c r="K77" t="s">
        <v>1559</v>
      </c>
      <c r="L77" t="s">
        <v>1560</v>
      </c>
      <c r="M77" t="s">
        <v>1561</v>
      </c>
      <c r="N77" t="s">
        <v>109</v>
      </c>
      <c r="AI77" t="s">
        <v>1562</v>
      </c>
      <c r="AJ77" t="s">
        <v>1563</v>
      </c>
      <c r="AK77" t="s">
        <v>1564</v>
      </c>
      <c r="AL77">
        <v>80</v>
      </c>
      <c r="AN77">
        <v>1999</v>
      </c>
      <c r="AO77" t="s">
        <v>113</v>
      </c>
      <c r="AP77" t="s">
        <v>1562</v>
      </c>
      <c r="AQ77" t="s">
        <v>1565</v>
      </c>
      <c r="AR77" t="s">
        <v>1566</v>
      </c>
      <c r="AS77">
        <v>70</v>
      </c>
      <c r="AU77">
        <v>2001</v>
      </c>
      <c r="AV77" t="s">
        <v>109</v>
      </c>
      <c r="BC77" t="s">
        <v>113</v>
      </c>
      <c r="BD77" t="s">
        <v>1567</v>
      </c>
      <c r="BE77" t="s">
        <v>1568</v>
      </c>
      <c r="BF77" t="s">
        <v>1569</v>
      </c>
      <c r="BG77">
        <v>70</v>
      </c>
      <c r="BI77">
        <v>2004</v>
      </c>
      <c r="BJ77">
        <v>19</v>
      </c>
      <c r="BL77">
        <v>52</v>
      </c>
      <c r="BN77" t="s">
        <v>113</v>
      </c>
      <c r="BO77" t="s">
        <v>1570</v>
      </c>
      <c r="BP77" t="s">
        <v>1571</v>
      </c>
      <c r="BQ77" t="s">
        <v>1572</v>
      </c>
      <c r="BR77">
        <v>73</v>
      </c>
      <c r="BT77">
        <v>2006</v>
      </c>
      <c r="BU77">
        <v>31</v>
      </c>
      <c r="BV77" t="s">
        <v>1573</v>
      </c>
      <c r="BW77">
        <v>24</v>
      </c>
      <c r="BY77" t="s">
        <v>113</v>
      </c>
      <c r="BZ77" t="s">
        <v>1574</v>
      </c>
      <c r="CA77" t="s">
        <v>1571</v>
      </c>
      <c r="CB77" t="s">
        <v>1575</v>
      </c>
      <c r="CC77">
        <v>70</v>
      </c>
      <c r="CE77">
        <v>2014</v>
      </c>
      <c r="CF77" t="s">
        <v>113</v>
      </c>
      <c r="CG77" t="s">
        <v>1576</v>
      </c>
      <c r="CH77" t="s">
        <v>1571</v>
      </c>
      <c r="CI77" t="s">
        <v>132</v>
      </c>
      <c r="CJ77">
        <v>2017</v>
      </c>
      <c r="CL77" t="s">
        <v>113</v>
      </c>
      <c r="CM77" t="s">
        <v>1577</v>
      </c>
      <c r="CN77" t="s">
        <v>113</v>
      </c>
      <c r="CO77" t="s">
        <v>1578</v>
      </c>
      <c r="CP77" t="s">
        <v>1579</v>
      </c>
      <c r="CQ77" t="s">
        <v>1580</v>
      </c>
      <c r="CR77" t="s">
        <v>136</v>
      </c>
      <c r="CS77" t="str">
        <f>HYPERLINK("https://nconnect.nicmar.ac.in/pdf/143_resume_1771485910.pdf/Y2FyZWVy","View Resume")</f>
        <v>0</v>
      </c>
    </row>
    <row r="78" spans="1:97">
      <c r="A78" t="s">
        <v>501</v>
      </c>
      <c r="B78" t="s">
        <v>138</v>
      </c>
      <c r="C78" t="s">
        <v>165</v>
      </c>
      <c r="D78" t="s">
        <v>319</v>
      </c>
      <c r="E78" t="s">
        <v>1581</v>
      </c>
      <c r="F78" t="s">
        <v>1582</v>
      </c>
      <c r="G78">
        <v>7800169473</v>
      </c>
      <c r="H78" t="s">
        <v>169</v>
      </c>
      <c r="I78" t="s">
        <v>1583</v>
      </c>
      <c r="J78" t="s">
        <v>144</v>
      </c>
      <c r="K78" t="s">
        <v>1584</v>
      </c>
      <c r="L78" t="s">
        <v>1585</v>
      </c>
      <c r="M78" t="s">
        <v>1586</v>
      </c>
      <c r="N78" t="s">
        <v>109</v>
      </c>
      <c r="AI78" t="s">
        <v>1587</v>
      </c>
      <c r="AJ78" t="s">
        <v>1588</v>
      </c>
      <c r="AK78" t="s">
        <v>1589</v>
      </c>
      <c r="AL78">
        <v>64.6</v>
      </c>
      <c r="AM78">
        <v>6.8</v>
      </c>
      <c r="AN78">
        <v>2013</v>
      </c>
      <c r="AO78" t="s">
        <v>113</v>
      </c>
      <c r="AP78" t="s">
        <v>1590</v>
      </c>
      <c r="AQ78" t="s">
        <v>1591</v>
      </c>
      <c r="AR78" t="s">
        <v>839</v>
      </c>
      <c r="AS78">
        <v>84.2</v>
      </c>
      <c r="AU78">
        <v>2015</v>
      </c>
      <c r="AV78" t="s">
        <v>113</v>
      </c>
      <c r="AW78" t="s">
        <v>1592</v>
      </c>
      <c r="AX78" t="s">
        <v>1593</v>
      </c>
      <c r="AY78" t="s">
        <v>1594</v>
      </c>
      <c r="AZ78">
        <v>79</v>
      </c>
      <c r="BB78">
        <v>2021</v>
      </c>
      <c r="BC78" t="s">
        <v>113</v>
      </c>
      <c r="BD78" t="s">
        <v>1593</v>
      </c>
      <c r="BE78" t="s">
        <v>1595</v>
      </c>
      <c r="BF78" t="s">
        <v>839</v>
      </c>
      <c r="BG78">
        <v>74.5</v>
      </c>
      <c r="BH78">
        <v>7.85</v>
      </c>
      <c r="BI78">
        <v>2019</v>
      </c>
      <c r="BJ78">
        <v>19</v>
      </c>
      <c r="BK78" t="s">
        <v>1596</v>
      </c>
      <c r="BL78">
        <v>23</v>
      </c>
      <c r="BN78" t="s">
        <v>113</v>
      </c>
      <c r="BO78" t="s">
        <v>1593</v>
      </c>
      <c r="BP78" t="s">
        <v>1595</v>
      </c>
      <c r="BQ78" t="s">
        <v>1071</v>
      </c>
      <c r="BR78">
        <v>65</v>
      </c>
      <c r="BS78">
        <v>6.98</v>
      </c>
      <c r="BT78">
        <v>2021</v>
      </c>
      <c r="BU78">
        <v>31</v>
      </c>
      <c r="BV78" t="s">
        <v>1072</v>
      </c>
      <c r="BW78">
        <v>17</v>
      </c>
      <c r="BY78" t="s">
        <v>109</v>
      </c>
      <c r="CF78" t="s">
        <v>113</v>
      </c>
      <c r="CG78" t="s">
        <v>338</v>
      </c>
      <c r="CH78" t="s">
        <v>1597</v>
      </c>
      <c r="CI78" t="s">
        <v>240</v>
      </c>
      <c r="CK78" t="s">
        <v>109</v>
      </c>
      <c r="CL78" t="s">
        <v>109</v>
      </c>
      <c r="CN78" t="s">
        <v>109</v>
      </c>
      <c r="CP78" t="s">
        <v>1598</v>
      </c>
      <c r="CQ78" t="s">
        <v>1599</v>
      </c>
      <c r="CR78" t="s">
        <v>136</v>
      </c>
      <c r="CS78" t="str">
        <f>HYPERLINK("https://nconnect.nicmar.ac.in/pdf/150_resume_1771486556.pdf/Y2FyZWVy","View Resume")</f>
        <v>0</v>
      </c>
    </row>
    <row r="79" spans="1:97">
      <c r="A79" t="s">
        <v>137</v>
      </c>
      <c r="B79" t="s">
        <v>138</v>
      </c>
      <c r="C79" t="s">
        <v>139</v>
      </c>
      <c r="D79" t="s">
        <v>140</v>
      </c>
      <c r="E79" t="s">
        <v>1600</v>
      </c>
      <c r="F79" t="s">
        <v>1601</v>
      </c>
      <c r="G79">
        <v>8130058795</v>
      </c>
      <c r="H79" t="s">
        <v>169</v>
      </c>
      <c r="I79" t="s">
        <v>1602</v>
      </c>
      <c r="J79" t="s">
        <v>144</v>
      </c>
      <c r="K79" t="s">
        <v>484</v>
      </c>
      <c r="L79" t="s">
        <v>1603</v>
      </c>
      <c r="M79" t="s">
        <v>1604</v>
      </c>
      <c r="N79" t="s">
        <v>109</v>
      </c>
      <c r="AI79" t="s">
        <v>1605</v>
      </c>
      <c r="AJ79" t="s">
        <v>1606</v>
      </c>
      <c r="AK79" t="s">
        <v>1607</v>
      </c>
      <c r="AL79">
        <v>73.5</v>
      </c>
      <c r="AN79">
        <v>2008</v>
      </c>
      <c r="AO79" t="s">
        <v>113</v>
      </c>
      <c r="AP79" t="s">
        <v>1608</v>
      </c>
      <c r="AQ79" t="s">
        <v>1606</v>
      </c>
      <c r="AR79" t="s">
        <v>1609</v>
      </c>
      <c r="AS79">
        <v>76</v>
      </c>
      <c r="AU79">
        <v>2010</v>
      </c>
      <c r="AV79" t="s">
        <v>109</v>
      </c>
      <c r="BC79" t="s">
        <v>113</v>
      </c>
      <c r="BD79" t="s">
        <v>1610</v>
      </c>
      <c r="BE79" t="s">
        <v>1611</v>
      </c>
      <c r="BF79" t="s">
        <v>1612</v>
      </c>
      <c r="BG79">
        <v>76.34</v>
      </c>
      <c r="BI79">
        <v>2014</v>
      </c>
      <c r="BJ79">
        <v>1</v>
      </c>
      <c r="BL79">
        <v>9</v>
      </c>
      <c r="BN79" t="s">
        <v>113</v>
      </c>
      <c r="BO79" t="s">
        <v>1613</v>
      </c>
      <c r="BP79" t="s">
        <v>1614</v>
      </c>
      <c r="BQ79" t="s">
        <v>1615</v>
      </c>
      <c r="BR79">
        <v>91.8</v>
      </c>
      <c r="BS79">
        <v>9.18</v>
      </c>
      <c r="BT79">
        <v>2015</v>
      </c>
      <c r="BU79">
        <v>31</v>
      </c>
      <c r="BV79" t="s">
        <v>1616</v>
      </c>
      <c r="BW79">
        <v>7</v>
      </c>
      <c r="BY79" t="s">
        <v>109</v>
      </c>
      <c r="BZ79" t="s">
        <v>1617</v>
      </c>
      <c r="CF79" t="s">
        <v>113</v>
      </c>
      <c r="CG79" t="s">
        <v>1618</v>
      </c>
      <c r="CH79" t="s">
        <v>1619</v>
      </c>
      <c r="CI79" t="s">
        <v>132</v>
      </c>
      <c r="CJ79">
        <v>2025</v>
      </c>
      <c r="CL79" t="s">
        <v>113</v>
      </c>
      <c r="CM79" t="s">
        <v>1620</v>
      </c>
      <c r="CN79" t="s">
        <v>113</v>
      </c>
      <c r="CO79" t="s">
        <v>1621</v>
      </c>
      <c r="CP79" t="s">
        <v>1622</v>
      </c>
      <c r="CQ79" t="s">
        <v>1623</v>
      </c>
      <c r="CR79" t="s">
        <v>136</v>
      </c>
      <c r="CS79" t="str">
        <f>HYPERLINK("https://nconnect.nicmar.ac.in/pdf/133_resume_1771486796.pdf/Y2FyZWVy","View Resume")</f>
        <v>0</v>
      </c>
    </row>
    <row r="80" spans="1:97">
      <c r="A80" t="s">
        <v>1624</v>
      </c>
      <c r="B80" t="s">
        <v>318</v>
      </c>
      <c r="C80" t="s">
        <v>99</v>
      </c>
      <c r="D80" t="s">
        <v>1625</v>
      </c>
      <c r="E80" t="s">
        <v>1626</v>
      </c>
      <c r="F80" t="s">
        <v>1627</v>
      </c>
      <c r="G80">
        <v>9049507025</v>
      </c>
      <c r="H80" t="s">
        <v>169</v>
      </c>
      <c r="I80" t="s">
        <v>1628</v>
      </c>
      <c r="J80" t="s">
        <v>105</v>
      </c>
      <c r="K80" t="s">
        <v>1629</v>
      </c>
      <c r="L80" t="s">
        <v>1630</v>
      </c>
      <c r="M80" t="s">
        <v>1631</v>
      </c>
      <c r="N80" t="s">
        <v>109</v>
      </c>
      <c r="AI80" t="s">
        <v>1632</v>
      </c>
      <c r="AJ80" t="s">
        <v>1633</v>
      </c>
      <c r="AK80" t="s">
        <v>1634</v>
      </c>
      <c r="AL80">
        <v>82</v>
      </c>
      <c r="AN80">
        <v>2000</v>
      </c>
      <c r="AO80" t="s">
        <v>113</v>
      </c>
      <c r="AP80" t="s">
        <v>1632</v>
      </c>
      <c r="AQ80" t="s">
        <v>1633</v>
      </c>
      <c r="AR80" t="s">
        <v>1635</v>
      </c>
      <c r="AS80">
        <v>84.6</v>
      </c>
      <c r="AU80">
        <v>2002</v>
      </c>
      <c r="AV80" t="s">
        <v>109</v>
      </c>
      <c r="BC80" t="s">
        <v>113</v>
      </c>
      <c r="BD80" t="s">
        <v>1636</v>
      </c>
      <c r="BE80" t="s">
        <v>1637</v>
      </c>
      <c r="BF80" t="s">
        <v>1638</v>
      </c>
      <c r="BG80">
        <v>63</v>
      </c>
      <c r="BI80">
        <v>2007</v>
      </c>
      <c r="BJ80">
        <v>8</v>
      </c>
      <c r="BL80">
        <v>2</v>
      </c>
      <c r="BN80" t="s">
        <v>113</v>
      </c>
      <c r="BO80" t="s">
        <v>1132</v>
      </c>
      <c r="BP80" t="s">
        <v>1639</v>
      </c>
      <c r="BQ80" t="s">
        <v>1640</v>
      </c>
      <c r="BR80">
        <v>65.91</v>
      </c>
      <c r="BT80">
        <v>2010</v>
      </c>
      <c r="BU80">
        <v>31</v>
      </c>
      <c r="BV80" t="s">
        <v>1641</v>
      </c>
      <c r="BW80">
        <v>53</v>
      </c>
      <c r="BY80" t="s">
        <v>109</v>
      </c>
      <c r="CF80" t="s">
        <v>109</v>
      </c>
      <c r="CL80" t="s">
        <v>113</v>
      </c>
      <c r="CM80" t="s">
        <v>1642</v>
      </c>
      <c r="CN80" t="s">
        <v>113</v>
      </c>
      <c r="CO80" t="s">
        <v>1643</v>
      </c>
      <c r="CP80" t="s">
        <v>1644</v>
      </c>
      <c r="CQ80" t="s">
        <v>1645</v>
      </c>
      <c r="CR80" t="s">
        <v>136</v>
      </c>
      <c r="CS80" t="str">
        <f>HYPERLINK("https://nconnect.nicmar.ac.in/pdf/122_resume_1771487492.pdf/Y2FyZWVy","View Resume")</f>
        <v>0</v>
      </c>
    </row>
    <row r="81" spans="1:97">
      <c r="A81" t="s">
        <v>846</v>
      </c>
      <c r="B81" t="s">
        <v>138</v>
      </c>
      <c r="C81" t="s">
        <v>165</v>
      </c>
      <c r="D81" t="s">
        <v>847</v>
      </c>
      <c r="E81" t="s">
        <v>1646</v>
      </c>
      <c r="F81" t="s">
        <v>1647</v>
      </c>
      <c r="G81">
        <v>9142250252</v>
      </c>
      <c r="H81" t="s">
        <v>103</v>
      </c>
      <c r="I81" t="s">
        <v>1648</v>
      </c>
      <c r="J81" t="s">
        <v>144</v>
      </c>
      <c r="K81" t="s">
        <v>1584</v>
      </c>
      <c r="L81" t="s">
        <v>1649</v>
      </c>
      <c r="M81" t="s">
        <v>1650</v>
      </c>
      <c r="N81" t="s">
        <v>109</v>
      </c>
      <c r="AI81" t="s">
        <v>1651</v>
      </c>
      <c r="AJ81" t="s">
        <v>1652</v>
      </c>
      <c r="AK81" t="s">
        <v>1653</v>
      </c>
      <c r="AL81">
        <v>81</v>
      </c>
      <c r="AM81">
        <v>8.6</v>
      </c>
      <c r="AN81">
        <v>2011</v>
      </c>
      <c r="AO81" t="s">
        <v>113</v>
      </c>
      <c r="AP81" t="s">
        <v>1654</v>
      </c>
      <c r="AQ81" t="s">
        <v>1655</v>
      </c>
      <c r="AR81" t="s">
        <v>785</v>
      </c>
      <c r="AS81">
        <v>72</v>
      </c>
      <c r="AT81">
        <v>0</v>
      </c>
      <c r="AU81">
        <v>2013</v>
      </c>
      <c r="AV81" t="s">
        <v>109</v>
      </c>
      <c r="BC81" t="s">
        <v>113</v>
      </c>
      <c r="BD81" t="s">
        <v>1656</v>
      </c>
      <c r="BE81" t="s">
        <v>1657</v>
      </c>
      <c r="BF81" t="s">
        <v>1658</v>
      </c>
      <c r="BG81">
        <v>60</v>
      </c>
      <c r="BI81">
        <v>2017</v>
      </c>
      <c r="BJ81">
        <v>19</v>
      </c>
      <c r="BL81">
        <v>24</v>
      </c>
      <c r="BN81" t="s">
        <v>113</v>
      </c>
      <c r="BO81" t="s">
        <v>1656</v>
      </c>
      <c r="BP81" t="s">
        <v>1659</v>
      </c>
      <c r="BQ81" t="s">
        <v>1660</v>
      </c>
      <c r="BR81">
        <v>73</v>
      </c>
      <c r="BT81">
        <v>2019</v>
      </c>
      <c r="BU81">
        <v>31</v>
      </c>
      <c r="BW81">
        <v>27</v>
      </c>
      <c r="BY81" t="s">
        <v>109</v>
      </c>
      <c r="CF81" t="s">
        <v>113</v>
      </c>
      <c r="CG81" t="s">
        <v>1661</v>
      </c>
      <c r="CH81" t="s">
        <v>1662</v>
      </c>
      <c r="CI81" t="s">
        <v>132</v>
      </c>
      <c r="CJ81">
        <v>2026</v>
      </c>
      <c r="CL81" t="s">
        <v>109</v>
      </c>
      <c r="CN81" t="s">
        <v>113</v>
      </c>
      <c r="CO81" t="s">
        <v>1663</v>
      </c>
      <c r="CP81" t="s">
        <v>1664</v>
      </c>
      <c r="CQ81" t="s">
        <v>1665</v>
      </c>
      <c r="CR81" t="s">
        <v>136</v>
      </c>
      <c r="CS81" t="str">
        <f>HYPERLINK("https://nconnect.nicmar.ac.in/pdf/157_resume_1771488013.pdf/Y2FyZWVy","View Resume")</f>
        <v>0</v>
      </c>
    </row>
    <row r="82" spans="1:97">
      <c r="A82" t="s">
        <v>223</v>
      </c>
      <c r="B82" t="s">
        <v>138</v>
      </c>
      <c r="C82" t="s">
        <v>165</v>
      </c>
      <c r="D82" t="s">
        <v>224</v>
      </c>
      <c r="E82" t="s">
        <v>1666</v>
      </c>
      <c r="F82" t="s">
        <v>1667</v>
      </c>
      <c r="G82">
        <v>9822840978</v>
      </c>
      <c r="H82" t="s">
        <v>169</v>
      </c>
      <c r="I82" t="s">
        <v>1668</v>
      </c>
      <c r="J82" t="s">
        <v>105</v>
      </c>
      <c r="K82" t="s">
        <v>1669</v>
      </c>
      <c r="L82" t="s">
        <v>1670</v>
      </c>
      <c r="M82" t="s">
        <v>1671</v>
      </c>
      <c r="N82" t="s">
        <v>109</v>
      </c>
      <c r="AI82" t="s">
        <v>1672</v>
      </c>
      <c r="AJ82" t="s">
        <v>1673</v>
      </c>
      <c r="AK82" t="s">
        <v>1674</v>
      </c>
      <c r="AL82">
        <v>72.5</v>
      </c>
      <c r="AN82">
        <v>1985</v>
      </c>
      <c r="AO82" t="s">
        <v>113</v>
      </c>
      <c r="AP82" t="s">
        <v>1675</v>
      </c>
      <c r="AQ82" t="s">
        <v>1676</v>
      </c>
      <c r="AR82" t="s">
        <v>1677</v>
      </c>
      <c r="AS82">
        <v>50.25</v>
      </c>
      <c r="AU82">
        <v>1987</v>
      </c>
      <c r="AV82" t="s">
        <v>109</v>
      </c>
      <c r="BC82" t="s">
        <v>113</v>
      </c>
      <c r="BD82" t="s">
        <v>1678</v>
      </c>
      <c r="BE82" t="s">
        <v>1679</v>
      </c>
      <c r="BF82" t="s">
        <v>1680</v>
      </c>
      <c r="BG82">
        <v>56</v>
      </c>
      <c r="BI82">
        <v>1990</v>
      </c>
      <c r="BJ82">
        <v>19</v>
      </c>
      <c r="BK82" t="s">
        <v>1681</v>
      </c>
      <c r="BL82">
        <v>53</v>
      </c>
      <c r="BM82" t="s">
        <v>1682</v>
      </c>
      <c r="BN82" t="s">
        <v>113</v>
      </c>
      <c r="BO82" t="s">
        <v>279</v>
      </c>
      <c r="BP82" t="s">
        <v>1683</v>
      </c>
      <c r="BQ82" t="s">
        <v>1684</v>
      </c>
      <c r="BR82">
        <v>62.97</v>
      </c>
      <c r="BS82">
        <v>4.29</v>
      </c>
      <c r="BT82">
        <v>2015</v>
      </c>
      <c r="BU82">
        <v>31</v>
      </c>
      <c r="BV82" t="s">
        <v>1685</v>
      </c>
      <c r="BW82">
        <v>53</v>
      </c>
      <c r="BX82" t="s">
        <v>1684</v>
      </c>
      <c r="BY82" t="s">
        <v>109</v>
      </c>
      <c r="CF82" t="s">
        <v>113</v>
      </c>
      <c r="CG82" t="s">
        <v>1686</v>
      </c>
      <c r="CH82" t="s">
        <v>1687</v>
      </c>
      <c r="CI82" t="s">
        <v>132</v>
      </c>
      <c r="CJ82">
        <v>2026</v>
      </c>
      <c r="CL82" t="s">
        <v>113</v>
      </c>
      <c r="CM82" t="s">
        <v>1688</v>
      </c>
      <c r="CN82" t="s">
        <v>113</v>
      </c>
      <c r="CO82" t="s">
        <v>1689</v>
      </c>
      <c r="CP82" t="s">
        <v>1690</v>
      </c>
      <c r="CQ82" t="s">
        <v>1691</v>
      </c>
      <c r="CR82" t="s">
        <v>136</v>
      </c>
      <c r="CS82" t="str">
        <f>HYPERLINK("https://nconnect.nicmar.ac.in/pdf/69_resume_1771488309.pdf/Y2FyZWVy","View Resume")</f>
        <v>0</v>
      </c>
    </row>
    <row r="83" spans="1:97">
      <c r="A83" t="s">
        <v>372</v>
      </c>
      <c r="B83" t="s">
        <v>98</v>
      </c>
      <c r="C83" t="s">
        <v>165</v>
      </c>
      <c r="D83" t="s">
        <v>224</v>
      </c>
      <c r="E83" t="s">
        <v>1692</v>
      </c>
      <c r="F83" t="s">
        <v>1693</v>
      </c>
      <c r="G83">
        <v>7045927988</v>
      </c>
      <c r="H83" t="s">
        <v>103</v>
      </c>
      <c r="I83" t="s">
        <v>1694</v>
      </c>
      <c r="J83" t="s">
        <v>105</v>
      </c>
      <c r="K83" t="s">
        <v>1695</v>
      </c>
      <c r="L83" t="s">
        <v>1696</v>
      </c>
      <c r="M83" t="s">
        <v>1697</v>
      </c>
      <c r="N83" t="s">
        <v>109</v>
      </c>
      <c r="AI83" t="s">
        <v>1698</v>
      </c>
      <c r="AJ83" t="s">
        <v>1699</v>
      </c>
      <c r="AK83" t="s">
        <v>1700</v>
      </c>
      <c r="AL83">
        <v>63</v>
      </c>
      <c r="AM83">
        <v>8</v>
      </c>
      <c r="AN83">
        <v>1981</v>
      </c>
      <c r="AO83" t="s">
        <v>113</v>
      </c>
      <c r="AP83" t="s">
        <v>1701</v>
      </c>
      <c r="AQ83" t="s">
        <v>1699</v>
      </c>
      <c r="AR83" t="s">
        <v>1702</v>
      </c>
      <c r="AS83">
        <v>67</v>
      </c>
      <c r="AT83">
        <v>8</v>
      </c>
      <c r="AU83">
        <v>1983</v>
      </c>
      <c r="AV83" t="s">
        <v>109</v>
      </c>
      <c r="BC83" t="s">
        <v>113</v>
      </c>
      <c r="BD83" t="s">
        <v>1703</v>
      </c>
      <c r="BE83" t="s">
        <v>1704</v>
      </c>
      <c r="BF83" t="s">
        <v>1705</v>
      </c>
      <c r="BG83">
        <v>47.5</v>
      </c>
      <c r="BH83">
        <v>5</v>
      </c>
      <c r="BI83">
        <v>1985</v>
      </c>
      <c r="BJ83">
        <v>19</v>
      </c>
      <c r="BK83" t="s">
        <v>335</v>
      </c>
      <c r="BL83">
        <v>53</v>
      </c>
      <c r="BM83" t="s">
        <v>1706</v>
      </c>
      <c r="BN83" t="s">
        <v>113</v>
      </c>
      <c r="BO83" t="s">
        <v>1707</v>
      </c>
      <c r="BP83" t="s">
        <v>1708</v>
      </c>
      <c r="BQ83" t="s">
        <v>1709</v>
      </c>
      <c r="BR83">
        <v>63</v>
      </c>
      <c r="BS83">
        <v>8</v>
      </c>
      <c r="BT83">
        <v>1988</v>
      </c>
      <c r="BU83">
        <v>31</v>
      </c>
      <c r="BV83" t="s">
        <v>1710</v>
      </c>
      <c r="BW83">
        <v>53</v>
      </c>
      <c r="BX83" t="s">
        <v>1711</v>
      </c>
      <c r="BY83" t="s">
        <v>113</v>
      </c>
      <c r="BZ83" t="s">
        <v>1712</v>
      </c>
      <c r="CA83" t="s">
        <v>1713</v>
      </c>
      <c r="CB83" t="s">
        <v>1714</v>
      </c>
      <c r="CC83">
        <v>61</v>
      </c>
      <c r="CD83">
        <v>7</v>
      </c>
      <c r="CE83">
        <v>1997</v>
      </c>
      <c r="CF83" t="s">
        <v>113</v>
      </c>
      <c r="CG83" t="s">
        <v>841</v>
      </c>
      <c r="CH83" t="s">
        <v>1715</v>
      </c>
      <c r="CI83" t="s">
        <v>132</v>
      </c>
      <c r="CJ83">
        <v>2022</v>
      </c>
      <c r="CL83" t="s">
        <v>113</v>
      </c>
      <c r="CN83" t="s">
        <v>113</v>
      </c>
      <c r="CO83" t="s">
        <v>1716</v>
      </c>
      <c r="CP83" t="s">
        <v>1717</v>
      </c>
      <c r="CQ83" t="s">
        <v>1718</v>
      </c>
      <c r="CR83" t="s">
        <v>136</v>
      </c>
      <c r="CS83" t="str">
        <f>HYPERLINK("https://nconnect.nicmar.ac.in/pdf/151_resume_1771488494.pdf/Y2FyZWVy","View Resume")</f>
        <v>0</v>
      </c>
    </row>
    <row r="84" spans="1:97">
      <c r="A84" t="s">
        <v>501</v>
      </c>
      <c r="B84" t="s">
        <v>138</v>
      </c>
      <c r="C84" t="s">
        <v>165</v>
      </c>
      <c r="D84" t="s">
        <v>319</v>
      </c>
      <c r="E84" t="s">
        <v>1719</v>
      </c>
      <c r="F84" t="s">
        <v>1720</v>
      </c>
      <c r="G84">
        <v>6398487264</v>
      </c>
      <c r="H84" t="s">
        <v>169</v>
      </c>
      <c r="I84" t="s">
        <v>1721</v>
      </c>
      <c r="J84" t="s">
        <v>105</v>
      </c>
      <c r="K84" t="s">
        <v>526</v>
      </c>
      <c r="L84" t="s">
        <v>1722</v>
      </c>
      <c r="M84" t="s">
        <v>1723</v>
      </c>
      <c r="N84" t="s">
        <v>109</v>
      </c>
      <c r="AI84" t="s">
        <v>1724</v>
      </c>
      <c r="AJ84" t="s">
        <v>1501</v>
      </c>
      <c r="AK84" t="s">
        <v>782</v>
      </c>
      <c r="AL84">
        <v>76</v>
      </c>
      <c r="AN84">
        <v>2011</v>
      </c>
      <c r="AO84" t="s">
        <v>113</v>
      </c>
      <c r="AP84" t="s">
        <v>1725</v>
      </c>
      <c r="AQ84" t="s">
        <v>1501</v>
      </c>
      <c r="AR84" t="s">
        <v>839</v>
      </c>
      <c r="AS84">
        <v>80</v>
      </c>
      <c r="AU84">
        <v>2013</v>
      </c>
      <c r="AV84" t="s">
        <v>109</v>
      </c>
      <c r="BC84" t="s">
        <v>113</v>
      </c>
      <c r="BD84" t="s">
        <v>815</v>
      </c>
      <c r="BE84" t="s">
        <v>1726</v>
      </c>
      <c r="BF84" t="s">
        <v>839</v>
      </c>
      <c r="BG84">
        <v>76.5</v>
      </c>
      <c r="BI84">
        <v>2016</v>
      </c>
      <c r="BJ84">
        <v>19</v>
      </c>
      <c r="BK84" t="s">
        <v>1727</v>
      </c>
      <c r="BL84">
        <v>23</v>
      </c>
      <c r="BN84" t="s">
        <v>113</v>
      </c>
      <c r="BO84" t="s">
        <v>815</v>
      </c>
      <c r="BP84" t="s">
        <v>1728</v>
      </c>
      <c r="BQ84" t="s">
        <v>338</v>
      </c>
      <c r="BR84">
        <v>81.7</v>
      </c>
      <c r="BT84">
        <v>2018</v>
      </c>
      <c r="BU84">
        <v>4</v>
      </c>
      <c r="BW84">
        <v>23</v>
      </c>
      <c r="BY84" t="s">
        <v>109</v>
      </c>
      <c r="BZ84" t="s">
        <v>815</v>
      </c>
      <c r="CF84" t="s">
        <v>113</v>
      </c>
      <c r="CG84" t="s">
        <v>338</v>
      </c>
      <c r="CH84" t="s">
        <v>1729</v>
      </c>
      <c r="CI84" t="s">
        <v>132</v>
      </c>
      <c r="CJ84">
        <v>2024</v>
      </c>
      <c r="CL84" t="s">
        <v>113</v>
      </c>
      <c r="CM84" t="s">
        <v>1730</v>
      </c>
      <c r="CN84" t="s">
        <v>113</v>
      </c>
      <c r="CO84" t="s">
        <v>1731</v>
      </c>
      <c r="CP84" t="s">
        <v>1732</v>
      </c>
      <c r="CQ84" t="s">
        <v>1733</v>
      </c>
      <c r="CR84" t="s">
        <v>136</v>
      </c>
      <c r="CS84" t="str">
        <f>HYPERLINK("https://nconnect.nicmar.ac.in/pdf/154_resume_1771488681.pdf/Y2FyZWVy","View Resume")</f>
        <v>0</v>
      </c>
    </row>
    <row r="85" spans="1:97">
      <c r="A85" t="s">
        <v>137</v>
      </c>
      <c r="B85" t="s">
        <v>138</v>
      </c>
      <c r="C85" t="s">
        <v>139</v>
      </c>
      <c r="D85" t="s">
        <v>140</v>
      </c>
      <c r="E85" t="s">
        <v>1734</v>
      </c>
      <c r="F85" t="s">
        <v>1735</v>
      </c>
      <c r="G85">
        <v>9890244093</v>
      </c>
      <c r="H85" t="s">
        <v>103</v>
      </c>
      <c r="I85" t="s">
        <v>1736</v>
      </c>
      <c r="J85" t="s">
        <v>105</v>
      </c>
      <c r="K85" t="s">
        <v>1737</v>
      </c>
      <c r="L85" t="s">
        <v>1738</v>
      </c>
      <c r="M85" t="s">
        <v>1739</v>
      </c>
      <c r="N85" t="s">
        <v>109</v>
      </c>
      <c r="AI85" t="s">
        <v>1740</v>
      </c>
      <c r="AJ85" t="s">
        <v>1741</v>
      </c>
      <c r="AK85" t="s">
        <v>777</v>
      </c>
      <c r="AL85">
        <v>55.73</v>
      </c>
      <c r="AN85">
        <v>1999</v>
      </c>
      <c r="AO85" t="s">
        <v>113</v>
      </c>
      <c r="AP85" t="s">
        <v>1742</v>
      </c>
      <c r="AQ85" t="s">
        <v>1741</v>
      </c>
      <c r="AR85" t="s">
        <v>1743</v>
      </c>
      <c r="AS85">
        <v>73.33</v>
      </c>
      <c r="AU85">
        <v>2001</v>
      </c>
      <c r="AV85" t="s">
        <v>113</v>
      </c>
      <c r="AW85" t="s">
        <v>1744</v>
      </c>
      <c r="AX85" t="s">
        <v>1745</v>
      </c>
      <c r="AY85" t="s">
        <v>1746</v>
      </c>
      <c r="AZ85">
        <v>66.21</v>
      </c>
      <c r="BB85">
        <v>2004</v>
      </c>
      <c r="BC85" t="s">
        <v>113</v>
      </c>
      <c r="BD85" t="s">
        <v>1747</v>
      </c>
      <c r="BE85" t="s">
        <v>1748</v>
      </c>
      <c r="BF85" t="s">
        <v>1749</v>
      </c>
      <c r="BG85">
        <v>63.64</v>
      </c>
      <c r="BI85">
        <v>2007</v>
      </c>
      <c r="BJ85">
        <v>2</v>
      </c>
      <c r="BL85">
        <v>9</v>
      </c>
      <c r="BN85" t="s">
        <v>113</v>
      </c>
      <c r="BO85" t="s">
        <v>1750</v>
      </c>
      <c r="BP85" t="s">
        <v>1751</v>
      </c>
      <c r="BQ85" t="s">
        <v>1752</v>
      </c>
      <c r="BR85">
        <v>70.5</v>
      </c>
      <c r="BS85">
        <v>7.55</v>
      </c>
      <c r="BT85">
        <v>2009</v>
      </c>
      <c r="BU85">
        <v>14</v>
      </c>
      <c r="BW85">
        <v>7</v>
      </c>
      <c r="BY85" t="s">
        <v>109</v>
      </c>
      <c r="CF85" t="s">
        <v>113</v>
      </c>
      <c r="CG85" t="s">
        <v>354</v>
      </c>
      <c r="CH85" t="s">
        <v>1753</v>
      </c>
      <c r="CI85" t="s">
        <v>132</v>
      </c>
      <c r="CJ85">
        <v>2024</v>
      </c>
      <c r="CL85" t="s">
        <v>109</v>
      </c>
      <c r="CN85" t="s">
        <v>113</v>
      </c>
      <c r="CO85" t="s">
        <v>1754</v>
      </c>
      <c r="CP85" t="s">
        <v>1755</v>
      </c>
      <c r="CQ85" t="s">
        <v>1756</v>
      </c>
      <c r="CR85" t="str">
        <f>HYPERLINK("https://nconnect.nicmar.ac.in/public/storage/profile/6996ca8326ddf.png","Download")</f>
        <v>0</v>
      </c>
      <c r="CS85" t="str">
        <f>HYPERLINK("https://nconnect.nicmar.ac.in/pdf/140_resume_1771489085.pdf/Y2FyZWVy","View Resume")</f>
        <v>0</v>
      </c>
    </row>
    <row r="86" spans="1:97">
      <c r="A86" t="s">
        <v>317</v>
      </c>
      <c r="B86" t="s">
        <v>318</v>
      </c>
      <c r="C86" t="s">
        <v>165</v>
      </c>
      <c r="D86" t="s">
        <v>319</v>
      </c>
      <c r="E86" t="s">
        <v>1757</v>
      </c>
      <c r="F86" t="s">
        <v>1758</v>
      </c>
      <c r="G86">
        <v>9830726317</v>
      </c>
      <c r="H86" t="s">
        <v>103</v>
      </c>
      <c r="I86" t="s">
        <v>1759</v>
      </c>
      <c r="J86" t="s">
        <v>144</v>
      </c>
      <c r="K86" t="s">
        <v>1760</v>
      </c>
      <c r="L86" t="s">
        <v>1761</v>
      </c>
      <c r="M86" t="s">
        <v>1762</v>
      </c>
      <c r="N86" t="s">
        <v>109</v>
      </c>
      <c r="AI86" t="s">
        <v>1763</v>
      </c>
      <c r="AJ86" t="s">
        <v>1764</v>
      </c>
      <c r="AK86" t="s">
        <v>1765</v>
      </c>
      <c r="AL86">
        <v>65</v>
      </c>
      <c r="AN86">
        <v>1995</v>
      </c>
      <c r="AO86" t="s">
        <v>113</v>
      </c>
      <c r="AP86" t="s">
        <v>1763</v>
      </c>
      <c r="AQ86" t="s">
        <v>1766</v>
      </c>
      <c r="AR86" t="s">
        <v>384</v>
      </c>
      <c r="AS86">
        <v>76</v>
      </c>
      <c r="AU86">
        <v>1997</v>
      </c>
      <c r="AV86" t="s">
        <v>109</v>
      </c>
      <c r="BA86">
        <v>0</v>
      </c>
      <c r="BC86" t="s">
        <v>113</v>
      </c>
      <c r="BD86" t="s">
        <v>1767</v>
      </c>
      <c r="BE86" t="s">
        <v>1768</v>
      </c>
      <c r="BF86" t="s">
        <v>1769</v>
      </c>
      <c r="BG86">
        <v>57</v>
      </c>
      <c r="BI86">
        <v>2000</v>
      </c>
      <c r="BJ86">
        <v>19</v>
      </c>
      <c r="BK86" t="s">
        <v>1770</v>
      </c>
      <c r="BL86">
        <v>23</v>
      </c>
      <c r="BN86" t="s">
        <v>113</v>
      </c>
      <c r="BO86" t="s">
        <v>1767</v>
      </c>
      <c r="BP86" t="s">
        <v>1767</v>
      </c>
      <c r="BQ86" t="s">
        <v>1771</v>
      </c>
      <c r="BR86">
        <v>63</v>
      </c>
      <c r="BT86">
        <v>2002</v>
      </c>
      <c r="BU86">
        <v>31</v>
      </c>
      <c r="BV86" t="s">
        <v>1772</v>
      </c>
      <c r="BW86">
        <v>23</v>
      </c>
      <c r="BY86" t="s">
        <v>113</v>
      </c>
      <c r="BZ86" t="s">
        <v>1773</v>
      </c>
      <c r="CA86" t="s">
        <v>1774</v>
      </c>
      <c r="CB86" t="s">
        <v>1775</v>
      </c>
      <c r="CC86">
        <v>85</v>
      </c>
      <c r="CE86">
        <v>2011</v>
      </c>
      <c r="CF86" t="s">
        <v>113</v>
      </c>
      <c r="CG86" t="s">
        <v>1775</v>
      </c>
      <c r="CH86" t="s">
        <v>1776</v>
      </c>
      <c r="CI86" t="s">
        <v>132</v>
      </c>
      <c r="CJ86">
        <v>2017</v>
      </c>
      <c r="CL86" t="s">
        <v>113</v>
      </c>
      <c r="CM86" t="s">
        <v>1777</v>
      </c>
      <c r="CN86" t="s">
        <v>113</v>
      </c>
      <c r="CO86" t="s">
        <v>1778</v>
      </c>
      <c r="CP86" t="s">
        <v>1779</v>
      </c>
      <c r="CQ86" t="s">
        <v>1780</v>
      </c>
      <c r="CR86" t="s">
        <v>136</v>
      </c>
      <c r="CS86" t="str">
        <f>HYPERLINK("https://nconnect.nicmar.ac.in/pdf/28_resume_1771482099.pdf/Y2FyZWVy","View Resume")</f>
        <v>0</v>
      </c>
    </row>
    <row r="87" spans="1:97">
      <c r="A87" t="s">
        <v>192</v>
      </c>
      <c r="B87" t="s">
        <v>138</v>
      </c>
      <c r="C87" t="s">
        <v>165</v>
      </c>
      <c r="D87" t="s">
        <v>193</v>
      </c>
      <c r="E87" t="s">
        <v>1781</v>
      </c>
      <c r="F87" t="s">
        <v>1782</v>
      </c>
      <c r="G87">
        <v>9198152335</v>
      </c>
      <c r="H87" t="s">
        <v>169</v>
      </c>
      <c r="I87" t="s">
        <v>1783</v>
      </c>
      <c r="J87" t="s">
        <v>144</v>
      </c>
      <c r="K87" t="s">
        <v>484</v>
      </c>
      <c r="L87" t="s">
        <v>1784</v>
      </c>
      <c r="M87" t="s">
        <v>1785</v>
      </c>
      <c r="N87" t="s">
        <v>109</v>
      </c>
      <c r="AI87" t="s">
        <v>1786</v>
      </c>
      <c r="AJ87" t="s">
        <v>1787</v>
      </c>
      <c r="AK87" t="s">
        <v>1788</v>
      </c>
      <c r="AL87">
        <v>89</v>
      </c>
      <c r="AM87">
        <v>9.4</v>
      </c>
      <c r="AN87">
        <v>2014</v>
      </c>
      <c r="AO87" t="s">
        <v>113</v>
      </c>
      <c r="AP87" t="s">
        <v>1789</v>
      </c>
      <c r="AQ87" t="s">
        <v>1790</v>
      </c>
      <c r="AR87" t="s">
        <v>839</v>
      </c>
      <c r="AS87">
        <v>70</v>
      </c>
      <c r="AU87">
        <v>2016</v>
      </c>
      <c r="AV87" t="s">
        <v>109</v>
      </c>
      <c r="BC87" t="s">
        <v>113</v>
      </c>
      <c r="BD87" t="s">
        <v>1791</v>
      </c>
      <c r="BE87" t="s">
        <v>1792</v>
      </c>
      <c r="BF87" t="s">
        <v>1793</v>
      </c>
      <c r="BG87">
        <v>64</v>
      </c>
      <c r="BI87">
        <v>2019</v>
      </c>
      <c r="BJ87">
        <v>9</v>
      </c>
      <c r="BL87">
        <v>23</v>
      </c>
      <c r="BN87" t="s">
        <v>113</v>
      </c>
      <c r="BO87" t="s">
        <v>1794</v>
      </c>
      <c r="BP87" t="s">
        <v>1795</v>
      </c>
      <c r="BQ87" t="s">
        <v>1793</v>
      </c>
      <c r="BR87">
        <v>74</v>
      </c>
      <c r="BT87">
        <v>2021</v>
      </c>
      <c r="BU87">
        <v>28</v>
      </c>
      <c r="BW87">
        <v>23</v>
      </c>
      <c r="BY87" t="s">
        <v>109</v>
      </c>
      <c r="CF87" t="s">
        <v>113</v>
      </c>
      <c r="CG87" t="s">
        <v>1796</v>
      </c>
      <c r="CH87" t="s">
        <v>1797</v>
      </c>
      <c r="CI87" t="s">
        <v>240</v>
      </c>
      <c r="CK87" t="s">
        <v>109</v>
      </c>
      <c r="CL87" t="s">
        <v>113</v>
      </c>
      <c r="CM87" t="s">
        <v>1798</v>
      </c>
      <c r="CN87" t="s">
        <v>113</v>
      </c>
      <c r="CO87" t="s">
        <v>1799</v>
      </c>
      <c r="CP87" t="s">
        <v>267</v>
      </c>
      <c r="CQ87" t="s">
        <v>1800</v>
      </c>
      <c r="CR87" t="s">
        <v>136</v>
      </c>
      <c r="CS87" t="str">
        <f>HYPERLINK("https://nconnect.nicmar.ac.in/pdf/146_resume_1771489616.pdf/Y2FyZWVy","View Resume")</f>
        <v>0</v>
      </c>
    </row>
    <row r="88" spans="1:97">
      <c r="A88" t="s">
        <v>294</v>
      </c>
      <c r="B88" t="s">
        <v>138</v>
      </c>
      <c r="C88" t="s">
        <v>295</v>
      </c>
      <c r="D88" t="s">
        <v>296</v>
      </c>
      <c r="E88" t="s">
        <v>1801</v>
      </c>
      <c r="F88" t="s">
        <v>1802</v>
      </c>
      <c r="G88">
        <v>9701259476</v>
      </c>
      <c r="H88" t="s">
        <v>103</v>
      </c>
      <c r="I88" t="s">
        <v>1803</v>
      </c>
      <c r="J88" t="s">
        <v>144</v>
      </c>
      <c r="K88" t="s">
        <v>1804</v>
      </c>
      <c r="L88" t="s">
        <v>1805</v>
      </c>
      <c r="M88" t="s">
        <v>1806</v>
      </c>
      <c r="N88" t="s">
        <v>109</v>
      </c>
      <c r="AI88" t="s">
        <v>1807</v>
      </c>
      <c r="AJ88" t="s">
        <v>1808</v>
      </c>
      <c r="AK88" t="s">
        <v>1809</v>
      </c>
      <c r="AL88">
        <v>68.7</v>
      </c>
      <c r="AN88">
        <v>2011</v>
      </c>
      <c r="AO88" t="s">
        <v>113</v>
      </c>
      <c r="AP88" t="s">
        <v>1810</v>
      </c>
      <c r="AQ88" t="s">
        <v>1811</v>
      </c>
      <c r="AR88" t="s">
        <v>1812</v>
      </c>
      <c r="AS88">
        <v>68.9</v>
      </c>
      <c r="AU88">
        <v>2013</v>
      </c>
      <c r="AV88" t="s">
        <v>109</v>
      </c>
      <c r="BC88" t="s">
        <v>113</v>
      </c>
      <c r="BD88" t="s">
        <v>1813</v>
      </c>
      <c r="BE88" t="s">
        <v>1814</v>
      </c>
      <c r="BF88" t="s">
        <v>309</v>
      </c>
      <c r="BG88">
        <v>72.34</v>
      </c>
      <c r="BI88">
        <v>2017</v>
      </c>
      <c r="BJ88">
        <v>1</v>
      </c>
      <c r="BL88">
        <v>9</v>
      </c>
      <c r="BN88" t="s">
        <v>113</v>
      </c>
      <c r="BO88" t="s">
        <v>1815</v>
      </c>
      <c r="BP88" t="s">
        <v>1816</v>
      </c>
      <c r="BQ88" t="s">
        <v>1817</v>
      </c>
      <c r="BR88">
        <v>96.5</v>
      </c>
      <c r="BS88">
        <v>9.65</v>
      </c>
      <c r="BT88">
        <v>2022</v>
      </c>
      <c r="BU88">
        <v>12</v>
      </c>
      <c r="BW88">
        <v>15</v>
      </c>
      <c r="BY88" t="s">
        <v>109</v>
      </c>
      <c r="CF88" t="s">
        <v>113</v>
      </c>
      <c r="CG88" t="s">
        <v>1818</v>
      </c>
      <c r="CH88" t="s">
        <v>1348</v>
      </c>
      <c r="CI88" t="s">
        <v>240</v>
      </c>
      <c r="CK88" t="s">
        <v>109</v>
      </c>
      <c r="CL88" t="s">
        <v>113</v>
      </c>
      <c r="CM88" t="s">
        <v>1819</v>
      </c>
      <c r="CN88" t="s">
        <v>113</v>
      </c>
      <c r="CO88" t="s">
        <v>1820</v>
      </c>
      <c r="CP88" t="s">
        <v>1821</v>
      </c>
      <c r="CQ88" t="s">
        <v>1822</v>
      </c>
      <c r="CR88" t="str">
        <f>HYPERLINK("https://nconnect.nicmar.ac.in/public/storage/profile/6996ce07e712f.png","Download")</f>
        <v>0</v>
      </c>
      <c r="CS88" t="str">
        <f>HYPERLINK("https://nconnect.nicmar.ac.in/pdf/158_resume_1771490765.pdf/Y2FyZWVy","View Resume")</f>
        <v>0</v>
      </c>
    </row>
    <row r="89" spans="1:97">
      <c r="A89" t="s">
        <v>370</v>
      </c>
      <c r="B89" t="s">
        <v>138</v>
      </c>
      <c r="C89" t="s">
        <v>295</v>
      </c>
      <c r="D89" t="s">
        <v>371</v>
      </c>
      <c r="E89" t="s">
        <v>1801</v>
      </c>
      <c r="F89" t="s">
        <v>1802</v>
      </c>
      <c r="G89">
        <v>9701259476</v>
      </c>
      <c r="H89" t="s">
        <v>103</v>
      </c>
      <c r="I89" t="s">
        <v>1803</v>
      </c>
      <c r="J89" t="s">
        <v>144</v>
      </c>
      <c r="K89" t="s">
        <v>1804</v>
      </c>
      <c r="L89" t="s">
        <v>1805</v>
      </c>
      <c r="M89" t="s">
        <v>1806</v>
      </c>
      <c r="N89" t="s">
        <v>109</v>
      </c>
      <c r="AI89" t="s">
        <v>1807</v>
      </c>
      <c r="AJ89" t="s">
        <v>1808</v>
      </c>
      <c r="AK89" t="s">
        <v>1809</v>
      </c>
      <c r="AL89">
        <v>68.7</v>
      </c>
      <c r="AN89">
        <v>2011</v>
      </c>
      <c r="AO89" t="s">
        <v>113</v>
      </c>
      <c r="AP89" t="s">
        <v>1810</v>
      </c>
      <c r="AQ89" t="s">
        <v>1811</v>
      </c>
      <c r="AR89" t="s">
        <v>1812</v>
      </c>
      <c r="AS89">
        <v>68.9</v>
      </c>
      <c r="AU89">
        <v>2013</v>
      </c>
      <c r="AV89" t="s">
        <v>109</v>
      </c>
      <c r="BC89" t="s">
        <v>113</v>
      </c>
      <c r="BD89" t="s">
        <v>1813</v>
      </c>
      <c r="BE89" t="s">
        <v>1814</v>
      </c>
      <c r="BF89" t="s">
        <v>309</v>
      </c>
      <c r="BG89">
        <v>72.34</v>
      </c>
      <c r="BI89">
        <v>2017</v>
      </c>
      <c r="BJ89">
        <v>1</v>
      </c>
      <c r="BL89">
        <v>9</v>
      </c>
      <c r="BN89" t="s">
        <v>113</v>
      </c>
      <c r="BO89" t="s">
        <v>1815</v>
      </c>
      <c r="BP89" t="s">
        <v>1816</v>
      </c>
      <c r="BQ89" t="s">
        <v>1817</v>
      </c>
      <c r="BR89">
        <v>96.5</v>
      </c>
      <c r="BS89">
        <v>9.65</v>
      </c>
      <c r="BT89">
        <v>2022</v>
      </c>
      <c r="BU89">
        <v>12</v>
      </c>
      <c r="BW89">
        <v>15</v>
      </c>
      <c r="BY89" t="s">
        <v>109</v>
      </c>
      <c r="CF89" t="s">
        <v>113</v>
      </c>
      <c r="CG89" t="s">
        <v>1818</v>
      </c>
      <c r="CH89" t="s">
        <v>1348</v>
      </c>
      <c r="CI89" t="s">
        <v>240</v>
      </c>
      <c r="CK89" t="s">
        <v>109</v>
      </c>
      <c r="CL89" t="s">
        <v>113</v>
      </c>
      <c r="CM89" t="s">
        <v>1819</v>
      </c>
      <c r="CN89" t="s">
        <v>113</v>
      </c>
      <c r="CO89" t="s">
        <v>1820</v>
      </c>
      <c r="CP89" t="s">
        <v>1821</v>
      </c>
      <c r="CQ89" t="s">
        <v>1823</v>
      </c>
      <c r="CR89" t="str">
        <f>HYPERLINK("https://nconnect.nicmar.ac.in/public/storage/profile/6996ce07e712f.png","Download")</f>
        <v>0</v>
      </c>
      <c r="CS89" t="str">
        <f>HYPERLINK("https://nconnect.nicmar.ac.in/pdf/158_resume_1771490765.pdf/Y2FyZWVy","View Resume")</f>
        <v>0</v>
      </c>
    </row>
    <row r="90" spans="1:97">
      <c r="A90" t="s">
        <v>192</v>
      </c>
      <c r="B90" t="s">
        <v>138</v>
      </c>
      <c r="C90" t="s">
        <v>165</v>
      </c>
      <c r="D90" t="s">
        <v>193</v>
      </c>
      <c r="E90" t="s">
        <v>1824</v>
      </c>
      <c r="F90" t="s">
        <v>1825</v>
      </c>
      <c r="G90">
        <v>8748956358</v>
      </c>
      <c r="H90" t="s">
        <v>103</v>
      </c>
      <c r="I90" t="s">
        <v>1826</v>
      </c>
      <c r="J90" t="s">
        <v>105</v>
      </c>
      <c r="K90" t="s">
        <v>423</v>
      </c>
      <c r="L90" t="s">
        <v>1827</v>
      </c>
      <c r="M90" t="s">
        <v>1828</v>
      </c>
      <c r="N90" t="s">
        <v>109</v>
      </c>
      <c r="AI90" t="s">
        <v>1829</v>
      </c>
      <c r="AJ90" t="s">
        <v>1830</v>
      </c>
      <c r="AK90" t="s">
        <v>1831</v>
      </c>
      <c r="AL90">
        <v>76.96</v>
      </c>
      <c r="AN90">
        <v>2012</v>
      </c>
      <c r="AO90" t="s">
        <v>113</v>
      </c>
      <c r="AP90" t="s">
        <v>1832</v>
      </c>
      <c r="AQ90" t="s">
        <v>1833</v>
      </c>
      <c r="AR90" t="s">
        <v>1834</v>
      </c>
      <c r="AS90">
        <v>61.2</v>
      </c>
      <c r="AU90">
        <v>2014</v>
      </c>
      <c r="AV90" t="s">
        <v>109</v>
      </c>
      <c r="BC90" t="s">
        <v>113</v>
      </c>
      <c r="BD90" t="s">
        <v>1835</v>
      </c>
      <c r="BE90" t="s">
        <v>1836</v>
      </c>
      <c r="BF90" t="s">
        <v>1837</v>
      </c>
      <c r="BG90">
        <v>62.78</v>
      </c>
      <c r="BI90">
        <v>2018</v>
      </c>
      <c r="BJ90">
        <v>19</v>
      </c>
      <c r="BK90" t="s">
        <v>1480</v>
      </c>
      <c r="BL90">
        <v>24</v>
      </c>
      <c r="BN90" t="s">
        <v>113</v>
      </c>
      <c r="BO90" t="s">
        <v>1838</v>
      </c>
      <c r="BP90" t="s">
        <v>1839</v>
      </c>
      <c r="BQ90" t="s">
        <v>746</v>
      </c>
      <c r="BR90">
        <v>69</v>
      </c>
      <c r="BS90">
        <v>7.36</v>
      </c>
      <c r="BT90">
        <v>2020</v>
      </c>
      <c r="BU90">
        <v>31</v>
      </c>
      <c r="BV90" t="s">
        <v>339</v>
      </c>
      <c r="BW90">
        <v>33</v>
      </c>
      <c r="BY90" t="s">
        <v>109</v>
      </c>
      <c r="CF90" t="s">
        <v>113</v>
      </c>
      <c r="CG90" t="s">
        <v>793</v>
      </c>
      <c r="CH90" t="s">
        <v>1840</v>
      </c>
      <c r="CI90" t="s">
        <v>132</v>
      </c>
      <c r="CJ90">
        <v>2025</v>
      </c>
      <c r="CL90" t="s">
        <v>113</v>
      </c>
      <c r="CM90" t="s">
        <v>1841</v>
      </c>
      <c r="CN90" t="s">
        <v>113</v>
      </c>
      <c r="CO90" t="s">
        <v>1842</v>
      </c>
      <c r="CP90" t="s">
        <v>1843</v>
      </c>
      <c r="CQ90" t="s">
        <v>1844</v>
      </c>
      <c r="CR90" t="s">
        <v>136</v>
      </c>
      <c r="CS90" t="str">
        <f>HYPERLINK("https://nconnect.nicmar.ac.in/pdf/167_resume_1771490951.pdf/Y2FyZWVy","View Resume")</f>
        <v>0</v>
      </c>
    </row>
    <row r="91" spans="1:97">
      <c r="A91" t="s">
        <v>521</v>
      </c>
      <c r="B91" t="s">
        <v>138</v>
      </c>
      <c r="C91" t="s">
        <v>165</v>
      </c>
      <c r="D91" t="s">
        <v>522</v>
      </c>
      <c r="E91" t="s">
        <v>1845</v>
      </c>
      <c r="F91" t="s">
        <v>1846</v>
      </c>
      <c r="G91">
        <v>9823583222</v>
      </c>
      <c r="H91" t="s">
        <v>103</v>
      </c>
      <c r="I91" t="s">
        <v>1847</v>
      </c>
      <c r="J91" t="s">
        <v>105</v>
      </c>
      <c r="K91" t="s">
        <v>1848</v>
      </c>
      <c r="L91" t="s">
        <v>1849</v>
      </c>
      <c r="M91" t="s">
        <v>1850</v>
      </c>
      <c r="N91" t="s">
        <v>109</v>
      </c>
      <c r="AI91" t="s">
        <v>1851</v>
      </c>
      <c r="AJ91" t="s">
        <v>352</v>
      </c>
      <c r="AK91" t="s">
        <v>1852</v>
      </c>
      <c r="AL91">
        <v>82.93</v>
      </c>
      <c r="AN91">
        <v>1996</v>
      </c>
      <c r="AO91" t="s">
        <v>113</v>
      </c>
      <c r="AP91" t="s">
        <v>1853</v>
      </c>
      <c r="AQ91" t="s">
        <v>352</v>
      </c>
      <c r="AR91" t="s">
        <v>406</v>
      </c>
      <c r="AS91">
        <v>67</v>
      </c>
      <c r="AU91">
        <v>1998</v>
      </c>
      <c r="AV91" t="s">
        <v>109</v>
      </c>
      <c r="BC91" t="s">
        <v>113</v>
      </c>
      <c r="BD91" t="s">
        <v>1854</v>
      </c>
      <c r="BE91" t="s">
        <v>1855</v>
      </c>
      <c r="BF91" t="s">
        <v>1856</v>
      </c>
      <c r="BG91">
        <v>66.02</v>
      </c>
      <c r="BI91">
        <v>2003</v>
      </c>
      <c r="BJ91">
        <v>19</v>
      </c>
      <c r="BK91" t="s">
        <v>282</v>
      </c>
      <c r="BL91">
        <v>53</v>
      </c>
      <c r="BM91" t="s">
        <v>1857</v>
      </c>
      <c r="BN91" t="s">
        <v>113</v>
      </c>
      <c r="BO91" t="s">
        <v>1858</v>
      </c>
      <c r="BP91" t="s">
        <v>1859</v>
      </c>
      <c r="BQ91" t="s">
        <v>1860</v>
      </c>
      <c r="BR91">
        <v>64.7</v>
      </c>
      <c r="BT91">
        <v>2007</v>
      </c>
      <c r="BU91">
        <v>31</v>
      </c>
      <c r="BV91" t="s">
        <v>1861</v>
      </c>
      <c r="BW91">
        <v>53</v>
      </c>
      <c r="BX91" t="s">
        <v>1862</v>
      </c>
      <c r="BY91" t="s">
        <v>113</v>
      </c>
      <c r="BZ91" t="s">
        <v>1863</v>
      </c>
      <c r="CA91" t="s">
        <v>1864</v>
      </c>
      <c r="CB91" t="s">
        <v>1865</v>
      </c>
      <c r="CC91">
        <v>92.3</v>
      </c>
      <c r="CD91">
        <v>9.23</v>
      </c>
      <c r="CE91">
        <v>2022</v>
      </c>
      <c r="CF91" t="s">
        <v>113</v>
      </c>
      <c r="CG91" t="s">
        <v>1866</v>
      </c>
      <c r="CH91" t="s">
        <v>1867</v>
      </c>
      <c r="CI91" t="s">
        <v>132</v>
      </c>
      <c r="CJ91">
        <v>2017</v>
      </c>
      <c r="CL91" t="s">
        <v>109</v>
      </c>
      <c r="CN91" t="s">
        <v>109</v>
      </c>
      <c r="CP91" t="s">
        <v>1868</v>
      </c>
      <c r="CQ91" t="s">
        <v>1869</v>
      </c>
      <c r="CR91" t="str">
        <f>HYPERLINK("https://nconnect.nicmar.ac.in/public/storage/profile/6996cee936833.png","Download")</f>
        <v>0</v>
      </c>
      <c r="CS91" t="str">
        <f>HYPERLINK("https://nconnect.nicmar.ac.in/pdf/128_resume_1771490869.pdf/Y2FyZWVy","View Resume")</f>
        <v>0</v>
      </c>
    </row>
    <row r="92" spans="1:97">
      <c r="A92" t="s">
        <v>137</v>
      </c>
      <c r="B92" t="s">
        <v>138</v>
      </c>
      <c r="C92" t="s">
        <v>139</v>
      </c>
      <c r="D92" t="s">
        <v>140</v>
      </c>
      <c r="E92" t="s">
        <v>1870</v>
      </c>
      <c r="F92" t="s">
        <v>1871</v>
      </c>
      <c r="G92">
        <v>6303963384</v>
      </c>
      <c r="H92" t="s">
        <v>103</v>
      </c>
      <c r="I92" t="s">
        <v>1872</v>
      </c>
      <c r="J92" t="s">
        <v>105</v>
      </c>
      <c r="K92" t="s">
        <v>1873</v>
      </c>
      <c r="L92" t="s">
        <v>1874</v>
      </c>
      <c r="M92" t="s">
        <v>1875</v>
      </c>
      <c r="N92" t="s">
        <v>109</v>
      </c>
      <c r="AI92" t="s">
        <v>1876</v>
      </c>
      <c r="AJ92" t="s">
        <v>1877</v>
      </c>
      <c r="AK92" t="s">
        <v>1878</v>
      </c>
      <c r="AL92">
        <v>85.3</v>
      </c>
      <c r="AN92">
        <v>2010</v>
      </c>
      <c r="AO92" t="s">
        <v>113</v>
      </c>
      <c r="AP92" t="s">
        <v>1879</v>
      </c>
      <c r="AQ92" t="s">
        <v>1880</v>
      </c>
      <c r="AR92" t="s">
        <v>1881</v>
      </c>
      <c r="AS92">
        <v>70.6</v>
      </c>
      <c r="AT92">
        <v>7.06</v>
      </c>
      <c r="AU92">
        <v>2012</v>
      </c>
      <c r="AV92" t="s">
        <v>109</v>
      </c>
      <c r="BC92" t="s">
        <v>113</v>
      </c>
      <c r="BD92" t="s">
        <v>1879</v>
      </c>
      <c r="BE92" t="s">
        <v>1879</v>
      </c>
      <c r="BF92" t="s">
        <v>309</v>
      </c>
      <c r="BG92">
        <v>81.4</v>
      </c>
      <c r="BH92">
        <v>8.14</v>
      </c>
      <c r="BI92">
        <v>2016</v>
      </c>
      <c r="BJ92">
        <v>1</v>
      </c>
      <c r="BL92">
        <v>9</v>
      </c>
      <c r="BN92" t="s">
        <v>113</v>
      </c>
      <c r="BO92" t="s">
        <v>1882</v>
      </c>
      <c r="BP92" t="s">
        <v>1882</v>
      </c>
      <c r="BQ92" t="s">
        <v>140</v>
      </c>
      <c r="BR92">
        <v>91.8</v>
      </c>
      <c r="BS92">
        <v>9.18</v>
      </c>
      <c r="BT92">
        <v>2018</v>
      </c>
      <c r="BU92">
        <v>14</v>
      </c>
      <c r="BW92">
        <v>47</v>
      </c>
      <c r="BY92" t="s">
        <v>109</v>
      </c>
      <c r="CF92" t="s">
        <v>113</v>
      </c>
      <c r="CG92" t="s">
        <v>1883</v>
      </c>
      <c r="CH92" t="s">
        <v>1884</v>
      </c>
      <c r="CI92" t="s">
        <v>132</v>
      </c>
      <c r="CJ92">
        <v>2025</v>
      </c>
      <c r="CL92" t="s">
        <v>113</v>
      </c>
      <c r="CM92" t="s">
        <v>1885</v>
      </c>
      <c r="CN92" t="s">
        <v>113</v>
      </c>
      <c r="CO92" t="s">
        <v>1886</v>
      </c>
      <c r="CP92" t="s">
        <v>1887</v>
      </c>
      <c r="CQ92" t="s">
        <v>1888</v>
      </c>
      <c r="CR92" t="str">
        <f>HYPERLINK("https://nconnect.nicmar.ac.in/public/storage/profile/6996d028dad36.png","Download")</f>
        <v>0</v>
      </c>
      <c r="CS92" t="str">
        <f>HYPERLINK("https://nconnect.nicmar.ac.in/pdf/160_resume_1771491150.pdf/Y2FyZWVy","View Resume")</f>
        <v>0</v>
      </c>
    </row>
    <row r="93" spans="1:97">
      <c r="A93" t="s">
        <v>372</v>
      </c>
      <c r="B93" t="s">
        <v>98</v>
      </c>
      <c r="C93" t="s">
        <v>165</v>
      </c>
      <c r="D93" t="s">
        <v>224</v>
      </c>
      <c r="E93" t="s">
        <v>1889</v>
      </c>
      <c r="F93" t="s">
        <v>1890</v>
      </c>
      <c r="G93">
        <v>9819785475</v>
      </c>
      <c r="H93" t="s">
        <v>103</v>
      </c>
      <c r="I93" t="s">
        <v>1891</v>
      </c>
      <c r="J93" t="s">
        <v>105</v>
      </c>
      <c r="K93" t="s">
        <v>1892</v>
      </c>
      <c r="L93" t="s">
        <v>1893</v>
      </c>
      <c r="M93" t="s">
        <v>1894</v>
      </c>
      <c r="N93" t="s">
        <v>109</v>
      </c>
      <c r="AI93" t="s">
        <v>1895</v>
      </c>
      <c r="AJ93" t="s">
        <v>1896</v>
      </c>
      <c r="AK93" t="s">
        <v>1897</v>
      </c>
      <c r="AL93">
        <v>73.14</v>
      </c>
      <c r="AN93">
        <v>1991</v>
      </c>
      <c r="AO93" t="s">
        <v>113</v>
      </c>
      <c r="AP93" t="s">
        <v>1898</v>
      </c>
      <c r="AQ93" t="s">
        <v>1896</v>
      </c>
      <c r="AR93" t="s">
        <v>1788</v>
      </c>
      <c r="AS93">
        <v>61.5</v>
      </c>
      <c r="AU93">
        <v>1993</v>
      </c>
      <c r="AV93" t="s">
        <v>113</v>
      </c>
      <c r="AW93" t="s">
        <v>1899</v>
      </c>
      <c r="AX93" t="s">
        <v>1900</v>
      </c>
      <c r="AY93" t="s">
        <v>1901</v>
      </c>
      <c r="AZ93">
        <v>76.09</v>
      </c>
      <c r="BB93">
        <v>1996</v>
      </c>
      <c r="BC93" t="s">
        <v>113</v>
      </c>
      <c r="BD93" t="s">
        <v>1902</v>
      </c>
      <c r="BE93" t="s">
        <v>1903</v>
      </c>
      <c r="BF93" t="s">
        <v>1904</v>
      </c>
      <c r="BG93">
        <v>54.5</v>
      </c>
      <c r="BI93">
        <v>2001</v>
      </c>
      <c r="BJ93">
        <v>19</v>
      </c>
      <c r="BK93" t="s">
        <v>1905</v>
      </c>
      <c r="BL93">
        <v>11</v>
      </c>
      <c r="BN93" t="s">
        <v>113</v>
      </c>
      <c r="BO93" t="s">
        <v>1906</v>
      </c>
      <c r="BP93" t="s">
        <v>1896</v>
      </c>
      <c r="BQ93" t="s">
        <v>1907</v>
      </c>
      <c r="BR93">
        <v>70.71</v>
      </c>
      <c r="BT93">
        <v>2009</v>
      </c>
      <c r="BU93">
        <v>31</v>
      </c>
      <c r="BV93" t="s">
        <v>1908</v>
      </c>
      <c r="BW93">
        <v>54</v>
      </c>
      <c r="BY93" t="s">
        <v>113</v>
      </c>
      <c r="BZ93" t="s">
        <v>1909</v>
      </c>
      <c r="CA93" t="s">
        <v>1910</v>
      </c>
      <c r="CB93" t="s">
        <v>258</v>
      </c>
      <c r="CC93">
        <v>66.22</v>
      </c>
      <c r="CE93">
        <v>2013</v>
      </c>
      <c r="CF93" t="s">
        <v>109</v>
      </c>
      <c r="CJ93">
        <v>2017</v>
      </c>
      <c r="CL93" t="s">
        <v>113</v>
      </c>
      <c r="CN93" t="s">
        <v>113</v>
      </c>
      <c r="CO93" t="s">
        <v>1911</v>
      </c>
      <c r="CP93" t="s">
        <v>1912</v>
      </c>
      <c r="CQ93" t="s">
        <v>1913</v>
      </c>
      <c r="CR93" t="s">
        <v>136</v>
      </c>
      <c r="CS93" t="str">
        <f>HYPERLINK("https://nconnect.nicmar.ac.in/pdf/153_resume_1771491372.pdf/Y2FyZWVy","View Resume")</f>
        <v>0</v>
      </c>
    </row>
    <row r="94" spans="1:97">
      <c r="A94" t="s">
        <v>97</v>
      </c>
      <c r="B94" t="s">
        <v>98</v>
      </c>
      <c r="C94" t="s">
        <v>99</v>
      </c>
      <c r="D94" t="s">
        <v>100</v>
      </c>
      <c r="E94" t="s">
        <v>1889</v>
      </c>
      <c r="F94" t="s">
        <v>1890</v>
      </c>
      <c r="G94">
        <v>9819785475</v>
      </c>
      <c r="H94" t="s">
        <v>103</v>
      </c>
      <c r="I94" t="s">
        <v>1891</v>
      </c>
      <c r="J94" t="s">
        <v>105</v>
      </c>
      <c r="K94" t="s">
        <v>1892</v>
      </c>
      <c r="L94" t="s">
        <v>1893</v>
      </c>
      <c r="M94" t="s">
        <v>1894</v>
      </c>
      <c r="N94" t="s">
        <v>109</v>
      </c>
      <c r="AI94" t="s">
        <v>1895</v>
      </c>
      <c r="AJ94" t="s">
        <v>1896</v>
      </c>
      <c r="AK94" t="s">
        <v>1897</v>
      </c>
      <c r="AL94">
        <v>73.14</v>
      </c>
      <c r="AN94">
        <v>1991</v>
      </c>
      <c r="AO94" t="s">
        <v>113</v>
      </c>
      <c r="AP94" t="s">
        <v>1898</v>
      </c>
      <c r="AQ94" t="s">
        <v>1896</v>
      </c>
      <c r="AR94" t="s">
        <v>1788</v>
      </c>
      <c r="AS94">
        <v>61.5</v>
      </c>
      <c r="AU94">
        <v>1993</v>
      </c>
      <c r="AV94" t="s">
        <v>113</v>
      </c>
      <c r="AW94" t="s">
        <v>1899</v>
      </c>
      <c r="AX94" t="s">
        <v>1900</v>
      </c>
      <c r="AY94" t="s">
        <v>1901</v>
      </c>
      <c r="AZ94">
        <v>76.09</v>
      </c>
      <c r="BB94">
        <v>1996</v>
      </c>
      <c r="BC94" t="s">
        <v>113</v>
      </c>
      <c r="BD94" t="s">
        <v>1902</v>
      </c>
      <c r="BE94" t="s">
        <v>1903</v>
      </c>
      <c r="BF94" t="s">
        <v>1904</v>
      </c>
      <c r="BG94">
        <v>54.5</v>
      </c>
      <c r="BI94">
        <v>2001</v>
      </c>
      <c r="BJ94">
        <v>19</v>
      </c>
      <c r="BK94" t="s">
        <v>1905</v>
      </c>
      <c r="BL94">
        <v>11</v>
      </c>
      <c r="BN94" t="s">
        <v>113</v>
      </c>
      <c r="BO94" t="s">
        <v>1906</v>
      </c>
      <c r="BP94" t="s">
        <v>1896</v>
      </c>
      <c r="BQ94" t="s">
        <v>1907</v>
      </c>
      <c r="BR94">
        <v>70.71</v>
      </c>
      <c r="BT94">
        <v>2009</v>
      </c>
      <c r="BU94">
        <v>31</v>
      </c>
      <c r="BV94" t="s">
        <v>1908</v>
      </c>
      <c r="BW94">
        <v>54</v>
      </c>
      <c r="BY94" t="s">
        <v>113</v>
      </c>
      <c r="BZ94" t="s">
        <v>1909</v>
      </c>
      <c r="CA94" t="s">
        <v>1910</v>
      </c>
      <c r="CB94" t="s">
        <v>258</v>
      </c>
      <c r="CC94">
        <v>66.22</v>
      </c>
      <c r="CE94">
        <v>2013</v>
      </c>
      <c r="CF94" t="s">
        <v>109</v>
      </c>
      <c r="CJ94">
        <v>2017</v>
      </c>
      <c r="CL94" t="s">
        <v>113</v>
      </c>
      <c r="CN94" t="s">
        <v>113</v>
      </c>
      <c r="CO94" t="s">
        <v>1911</v>
      </c>
      <c r="CP94" t="s">
        <v>1912</v>
      </c>
      <c r="CQ94" t="s">
        <v>1914</v>
      </c>
      <c r="CR94" t="s">
        <v>136</v>
      </c>
      <c r="CS94" t="str">
        <f>HYPERLINK("https://nconnect.nicmar.ac.in/pdf/153_resume_1771491372.pdf/Y2FyZWVy","View Resume")</f>
        <v>0</v>
      </c>
    </row>
    <row r="95" spans="1:97">
      <c r="A95" t="s">
        <v>192</v>
      </c>
      <c r="B95" t="s">
        <v>138</v>
      </c>
      <c r="C95" t="s">
        <v>165</v>
      </c>
      <c r="D95" t="s">
        <v>193</v>
      </c>
      <c r="E95" t="s">
        <v>1915</v>
      </c>
      <c r="F95" t="s">
        <v>1916</v>
      </c>
      <c r="G95">
        <v>8209048275</v>
      </c>
      <c r="H95" t="s">
        <v>169</v>
      </c>
      <c r="I95" t="s">
        <v>1917</v>
      </c>
      <c r="J95" t="s">
        <v>105</v>
      </c>
      <c r="K95" t="s">
        <v>505</v>
      </c>
      <c r="L95" t="s">
        <v>1918</v>
      </c>
      <c r="M95" t="s">
        <v>1919</v>
      </c>
      <c r="N95" t="s">
        <v>109</v>
      </c>
      <c r="AI95" t="s">
        <v>1920</v>
      </c>
      <c r="AJ95" t="s">
        <v>1921</v>
      </c>
      <c r="AK95" t="s">
        <v>277</v>
      </c>
      <c r="AL95">
        <v>68</v>
      </c>
      <c r="AN95">
        <v>2003</v>
      </c>
      <c r="AO95" t="s">
        <v>113</v>
      </c>
      <c r="AP95" t="s">
        <v>1920</v>
      </c>
      <c r="AQ95" t="s">
        <v>1921</v>
      </c>
      <c r="AR95" t="s">
        <v>640</v>
      </c>
      <c r="AS95">
        <v>59.6</v>
      </c>
      <c r="AU95">
        <v>2005</v>
      </c>
      <c r="AV95" t="s">
        <v>109</v>
      </c>
      <c r="BC95" t="s">
        <v>113</v>
      </c>
      <c r="BD95" t="s">
        <v>1922</v>
      </c>
      <c r="BE95" t="s">
        <v>1923</v>
      </c>
      <c r="BF95" t="s">
        <v>277</v>
      </c>
      <c r="BG95">
        <v>68</v>
      </c>
      <c r="BI95">
        <v>2006</v>
      </c>
      <c r="BJ95">
        <v>19</v>
      </c>
      <c r="BK95" t="s">
        <v>1281</v>
      </c>
      <c r="BL95">
        <v>53</v>
      </c>
      <c r="BN95" t="s">
        <v>113</v>
      </c>
      <c r="BO95" t="s">
        <v>1924</v>
      </c>
      <c r="BP95" t="s">
        <v>1925</v>
      </c>
      <c r="BQ95" t="s">
        <v>1926</v>
      </c>
      <c r="BR95">
        <v>72</v>
      </c>
      <c r="BT95">
        <v>2009</v>
      </c>
      <c r="BU95">
        <v>31</v>
      </c>
      <c r="BV95" t="s">
        <v>339</v>
      </c>
      <c r="BW95">
        <v>53</v>
      </c>
      <c r="BX95" t="s">
        <v>746</v>
      </c>
      <c r="BY95" t="s">
        <v>109</v>
      </c>
      <c r="CF95" t="s">
        <v>113</v>
      </c>
      <c r="CG95" t="s">
        <v>841</v>
      </c>
      <c r="CH95" t="s">
        <v>1927</v>
      </c>
      <c r="CI95" t="s">
        <v>132</v>
      </c>
      <c r="CJ95">
        <v>2016</v>
      </c>
      <c r="CL95" t="s">
        <v>109</v>
      </c>
      <c r="CN95" t="s">
        <v>113</v>
      </c>
      <c r="CO95" t="s">
        <v>1928</v>
      </c>
      <c r="CP95" t="s">
        <v>267</v>
      </c>
      <c r="CQ95" t="s">
        <v>1914</v>
      </c>
      <c r="CR95" t="s">
        <v>136</v>
      </c>
      <c r="CS95" t="str">
        <f>HYPERLINK("https://nconnect.nicmar.ac.in/pdf/166_resume_1771491448.pdf/Y2FyZWVy","View Resume")</f>
        <v>0</v>
      </c>
    </row>
    <row r="96" spans="1:97">
      <c r="A96" t="s">
        <v>480</v>
      </c>
      <c r="B96" t="s">
        <v>98</v>
      </c>
      <c r="C96" t="s">
        <v>139</v>
      </c>
      <c r="D96" t="s">
        <v>140</v>
      </c>
      <c r="E96" t="s">
        <v>1889</v>
      </c>
      <c r="F96" t="s">
        <v>1890</v>
      </c>
      <c r="G96">
        <v>9819785475</v>
      </c>
      <c r="H96" t="s">
        <v>103</v>
      </c>
      <c r="I96" t="s">
        <v>1891</v>
      </c>
      <c r="J96" t="s">
        <v>105</v>
      </c>
      <c r="K96" t="s">
        <v>1892</v>
      </c>
      <c r="L96" t="s">
        <v>1893</v>
      </c>
      <c r="M96" t="s">
        <v>1894</v>
      </c>
      <c r="N96" t="s">
        <v>109</v>
      </c>
      <c r="AI96" t="s">
        <v>1895</v>
      </c>
      <c r="AJ96" t="s">
        <v>1896</v>
      </c>
      <c r="AK96" t="s">
        <v>1897</v>
      </c>
      <c r="AL96">
        <v>73.14</v>
      </c>
      <c r="AN96">
        <v>1991</v>
      </c>
      <c r="AO96" t="s">
        <v>113</v>
      </c>
      <c r="AP96" t="s">
        <v>1898</v>
      </c>
      <c r="AQ96" t="s">
        <v>1896</v>
      </c>
      <c r="AR96" t="s">
        <v>1788</v>
      </c>
      <c r="AS96">
        <v>61.5</v>
      </c>
      <c r="AU96">
        <v>1993</v>
      </c>
      <c r="AV96" t="s">
        <v>113</v>
      </c>
      <c r="AW96" t="s">
        <v>1899</v>
      </c>
      <c r="AX96" t="s">
        <v>1900</v>
      </c>
      <c r="AY96" t="s">
        <v>1901</v>
      </c>
      <c r="AZ96">
        <v>76.09</v>
      </c>
      <c r="BB96">
        <v>1996</v>
      </c>
      <c r="BC96" t="s">
        <v>113</v>
      </c>
      <c r="BD96" t="s">
        <v>1902</v>
      </c>
      <c r="BE96" t="s">
        <v>1903</v>
      </c>
      <c r="BF96" t="s">
        <v>1904</v>
      </c>
      <c r="BG96">
        <v>54.5</v>
      </c>
      <c r="BI96">
        <v>2001</v>
      </c>
      <c r="BJ96">
        <v>19</v>
      </c>
      <c r="BK96" t="s">
        <v>1905</v>
      </c>
      <c r="BL96">
        <v>11</v>
      </c>
      <c r="BN96" t="s">
        <v>113</v>
      </c>
      <c r="BO96" t="s">
        <v>1906</v>
      </c>
      <c r="BP96" t="s">
        <v>1896</v>
      </c>
      <c r="BQ96" t="s">
        <v>1907</v>
      </c>
      <c r="BR96">
        <v>70.71</v>
      </c>
      <c r="BT96">
        <v>2009</v>
      </c>
      <c r="BU96">
        <v>31</v>
      </c>
      <c r="BV96" t="s">
        <v>1908</v>
      </c>
      <c r="BW96">
        <v>54</v>
      </c>
      <c r="BY96" t="s">
        <v>113</v>
      </c>
      <c r="BZ96" t="s">
        <v>1909</v>
      </c>
      <c r="CA96" t="s">
        <v>1910</v>
      </c>
      <c r="CB96" t="s">
        <v>258</v>
      </c>
      <c r="CC96">
        <v>66.22</v>
      </c>
      <c r="CE96">
        <v>2013</v>
      </c>
      <c r="CF96" t="s">
        <v>109</v>
      </c>
      <c r="CJ96">
        <v>2017</v>
      </c>
      <c r="CL96" t="s">
        <v>113</v>
      </c>
      <c r="CN96" t="s">
        <v>113</v>
      </c>
      <c r="CO96" t="s">
        <v>1911</v>
      </c>
      <c r="CP96" t="s">
        <v>1912</v>
      </c>
      <c r="CQ96" t="s">
        <v>1914</v>
      </c>
      <c r="CR96" t="s">
        <v>136</v>
      </c>
      <c r="CS96" t="str">
        <f>HYPERLINK("https://nconnect.nicmar.ac.in/pdf/153_resume_1771491372.pdf/Y2FyZWVy","View Resume")</f>
        <v>0</v>
      </c>
    </row>
    <row r="97" spans="1:97">
      <c r="A97" t="s">
        <v>137</v>
      </c>
      <c r="B97" t="s">
        <v>138</v>
      </c>
      <c r="C97" t="s">
        <v>139</v>
      </c>
      <c r="D97" t="s">
        <v>140</v>
      </c>
      <c r="E97" t="s">
        <v>1929</v>
      </c>
      <c r="F97" t="s">
        <v>1930</v>
      </c>
      <c r="G97">
        <v>7455063212</v>
      </c>
      <c r="H97" t="s">
        <v>103</v>
      </c>
      <c r="I97" t="s">
        <v>1931</v>
      </c>
      <c r="J97" t="s">
        <v>144</v>
      </c>
      <c r="K97" t="s">
        <v>145</v>
      </c>
      <c r="L97" t="s">
        <v>1932</v>
      </c>
      <c r="M97" t="s">
        <v>1933</v>
      </c>
      <c r="N97" t="s">
        <v>109</v>
      </c>
      <c r="AI97" t="s">
        <v>1934</v>
      </c>
      <c r="AJ97" t="s">
        <v>1935</v>
      </c>
      <c r="AK97" t="s">
        <v>1936</v>
      </c>
      <c r="AL97">
        <v>85.33</v>
      </c>
      <c r="AN97">
        <v>2008</v>
      </c>
      <c r="AO97" t="s">
        <v>113</v>
      </c>
      <c r="AP97" t="s">
        <v>1937</v>
      </c>
      <c r="AQ97" t="s">
        <v>1935</v>
      </c>
      <c r="AR97" t="s">
        <v>1477</v>
      </c>
      <c r="AS97">
        <v>82.16</v>
      </c>
      <c r="AU97">
        <v>2010</v>
      </c>
      <c r="AV97" t="s">
        <v>109</v>
      </c>
      <c r="BC97" t="s">
        <v>113</v>
      </c>
      <c r="BD97" t="s">
        <v>1938</v>
      </c>
      <c r="BE97" t="s">
        <v>1939</v>
      </c>
      <c r="BF97" t="s">
        <v>1940</v>
      </c>
      <c r="BG97">
        <v>80.8</v>
      </c>
      <c r="BI97">
        <v>2014</v>
      </c>
      <c r="BJ97">
        <v>1</v>
      </c>
      <c r="BL97">
        <v>9</v>
      </c>
      <c r="BN97" t="s">
        <v>113</v>
      </c>
      <c r="BO97" t="s">
        <v>1941</v>
      </c>
      <c r="BP97" t="s">
        <v>1942</v>
      </c>
      <c r="BQ97" t="s">
        <v>1943</v>
      </c>
      <c r="BR97">
        <v>83.0</v>
      </c>
      <c r="BT97">
        <v>2017</v>
      </c>
      <c r="BU97">
        <v>14</v>
      </c>
      <c r="BW97">
        <v>47</v>
      </c>
      <c r="BY97" t="s">
        <v>109</v>
      </c>
      <c r="CF97" t="s">
        <v>113</v>
      </c>
      <c r="CG97" t="s">
        <v>1944</v>
      </c>
      <c r="CH97" t="s">
        <v>1945</v>
      </c>
      <c r="CI97" t="s">
        <v>132</v>
      </c>
      <c r="CJ97">
        <v>2025</v>
      </c>
      <c r="CL97" t="s">
        <v>109</v>
      </c>
      <c r="CN97" t="s">
        <v>113</v>
      </c>
      <c r="CO97" t="s">
        <v>1946</v>
      </c>
      <c r="CP97" t="s">
        <v>1947</v>
      </c>
      <c r="CQ97" t="s">
        <v>1948</v>
      </c>
      <c r="CR97" t="str">
        <f>HYPERLINK("https://nconnect.nicmar.ac.in/public/storage/profile/6996d1ab6c667.png","Download")</f>
        <v>0</v>
      </c>
      <c r="CS97" t="str">
        <f>HYPERLINK("https://nconnect.nicmar.ac.in/pdf/142_resume_1771566356.pdf/Y2FyZWVy","View Resume")</f>
        <v>0</v>
      </c>
    </row>
    <row r="98" spans="1:97">
      <c r="A98" t="s">
        <v>190</v>
      </c>
      <c r="B98" t="s">
        <v>138</v>
      </c>
      <c r="C98" t="s">
        <v>139</v>
      </c>
      <c r="D98" t="s">
        <v>191</v>
      </c>
      <c r="E98" t="s">
        <v>1949</v>
      </c>
      <c r="F98" t="s">
        <v>1950</v>
      </c>
      <c r="G98">
        <v>8317267963</v>
      </c>
      <c r="H98" t="s">
        <v>169</v>
      </c>
      <c r="I98" t="s">
        <v>1951</v>
      </c>
      <c r="J98" t="s">
        <v>144</v>
      </c>
      <c r="K98" t="s">
        <v>1952</v>
      </c>
      <c r="L98" t="s">
        <v>1953</v>
      </c>
      <c r="M98" t="s">
        <v>1954</v>
      </c>
      <c r="N98" t="s">
        <v>109</v>
      </c>
      <c r="AI98" t="s">
        <v>1955</v>
      </c>
      <c r="AJ98" t="s">
        <v>1956</v>
      </c>
      <c r="AK98" t="s">
        <v>1957</v>
      </c>
      <c r="AL98">
        <v>80.8</v>
      </c>
      <c r="AN98">
        <v>2014</v>
      </c>
      <c r="AO98" t="s">
        <v>113</v>
      </c>
      <c r="AP98" t="s">
        <v>1955</v>
      </c>
      <c r="AQ98" t="s">
        <v>1958</v>
      </c>
      <c r="AR98" t="s">
        <v>1959</v>
      </c>
      <c r="AS98">
        <v>65.38</v>
      </c>
      <c r="AU98">
        <v>2016</v>
      </c>
      <c r="AV98" t="s">
        <v>109</v>
      </c>
      <c r="BC98" t="s">
        <v>113</v>
      </c>
      <c r="BD98" t="s">
        <v>1960</v>
      </c>
      <c r="BE98" t="s">
        <v>1961</v>
      </c>
      <c r="BF98" t="s">
        <v>1962</v>
      </c>
      <c r="BG98">
        <v>75.96</v>
      </c>
      <c r="BI98">
        <v>2019</v>
      </c>
      <c r="BJ98">
        <v>19</v>
      </c>
      <c r="BK98" t="s">
        <v>1070</v>
      </c>
      <c r="BL98">
        <v>11</v>
      </c>
      <c r="BN98" t="s">
        <v>113</v>
      </c>
      <c r="BO98" t="s">
        <v>1960</v>
      </c>
      <c r="BP98" t="s">
        <v>1963</v>
      </c>
      <c r="BQ98" t="s">
        <v>1964</v>
      </c>
      <c r="BR98">
        <v>77.6</v>
      </c>
      <c r="BT98">
        <v>2021</v>
      </c>
      <c r="BU98">
        <v>31</v>
      </c>
      <c r="BV98" t="s">
        <v>1965</v>
      </c>
      <c r="BW98">
        <v>53</v>
      </c>
      <c r="BX98" t="s">
        <v>1966</v>
      </c>
      <c r="BY98" t="s">
        <v>109</v>
      </c>
      <c r="CF98" t="s">
        <v>109</v>
      </c>
      <c r="CL98" t="s">
        <v>113</v>
      </c>
      <c r="CM98" t="s">
        <v>1967</v>
      </c>
      <c r="CN98" t="s">
        <v>109</v>
      </c>
      <c r="CP98" t="s">
        <v>1968</v>
      </c>
      <c r="CQ98" t="s">
        <v>1969</v>
      </c>
      <c r="CR98" t="s">
        <v>136</v>
      </c>
      <c r="CS98" t="str">
        <f>HYPERLINK("https://nconnect.nicmar.ac.in/pdf/178_resume_1771492044.pdf/Y2FyZWVy","View Resume")</f>
        <v>0</v>
      </c>
    </row>
    <row r="99" spans="1:97">
      <c r="A99" t="s">
        <v>846</v>
      </c>
      <c r="B99" t="s">
        <v>138</v>
      </c>
      <c r="C99" t="s">
        <v>165</v>
      </c>
      <c r="D99" t="s">
        <v>847</v>
      </c>
      <c r="E99" t="s">
        <v>1970</v>
      </c>
      <c r="F99" t="s">
        <v>1971</v>
      </c>
      <c r="G99">
        <v>9555683336</v>
      </c>
      <c r="H99" t="s">
        <v>103</v>
      </c>
      <c r="I99" t="s">
        <v>1972</v>
      </c>
      <c r="J99" t="s">
        <v>144</v>
      </c>
      <c r="K99" t="s">
        <v>505</v>
      </c>
      <c r="L99" t="s">
        <v>1973</v>
      </c>
      <c r="M99" t="s">
        <v>1974</v>
      </c>
      <c r="N99" t="s">
        <v>109</v>
      </c>
      <c r="AI99" t="s">
        <v>1975</v>
      </c>
      <c r="AJ99" t="s">
        <v>1231</v>
      </c>
      <c r="AK99" t="s">
        <v>1976</v>
      </c>
      <c r="AL99">
        <v>83.6</v>
      </c>
      <c r="AM99">
        <v>8.8</v>
      </c>
      <c r="AN99">
        <v>2012</v>
      </c>
      <c r="AO99" t="s">
        <v>113</v>
      </c>
      <c r="AP99" t="s">
        <v>1977</v>
      </c>
      <c r="AQ99" t="s">
        <v>1231</v>
      </c>
      <c r="AR99" t="s">
        <v>1978</v>
      </c>
      <c r="AS99">
        <v>95.2</v>
      </c>
      <c r="AU99">
        <v>2014</v>
      </c>
      <c r="AV99" t="s">
        <v>113</v>
      </c>
      <c r="AW99" t="s">
        <v>1979</v>
      </c>
      <c r="AX99" t="s">
        <v>1980</v>
      </c>
      <c r="AY99" t="s">
        <v>1981</v>
      </c>
      <c r="AZ99">
        <v>65</v>
      </c>
      <c r="BB99">
        <v>2021</v>
      </c>
      <c r="BC99" t="s">
        <v>113</v>
      </c>
      <c r="BD99" t="s">
        <v>1299</v>
      </c>
      <c r="BE99" t="s">
        <v>1982</v>
      </c>
      <c r="BF99" t="s">
        <v>1983</v>
      </c>
      <c r="BG99">
        <v>65</v>
      </c>
      <c r="BI99">
        <v>2017</v>
      </c>
      <c r="BJ99">
        <v>19</v>
      </c>
      <c r="BK99" t="s">
        <v>1984</v>
      </c>
      <c r="BL99">
        <v>17</v>
      </c>
      <c r="BN99" t="s">
        <v>113</v>
      </c>
      <c r="BO99" t="s">
        <v>1303</v>
      </c>
      <c r="BP99" t="s">
        <v>1303</v>
      </c>
      <c r="BQ99" t="s">
        <v>1985</v>
      </c>
      <c r="BR99">
        <v>60</v>
      </c>
      <c r="BT99">
        <v>2020</v>
      </c>
      <c r="BU99">
        <v>31</v>
      </c>
      <c r="BV99" t="s">
        <v>1986</v>
      </c>
      <c r="BW99">
        <v>53</v>
      </c>
      <c r="BX99" t="s">
        <v>1985</v>
      </c>
      <c r="BY99" t="s">
        <v>109</v>
      </c>
      <c r="CF99" t="s">
        <v>113</v>
      </c>
      <c r="CG99" t="s">
        <v>1987</v>
      </c>
      <c r="CH99" t="s">
        <v>1988</v>
      </c>
      <c r="CI99" t="s">
        <v>240</v>
      </c>
      <c r="CK99" t="s">
        <v>113</v>
      </c>
      <c r="CL99" t="s">
        <v>113</v>
      </c>
      <c r="CM99" t="s">
        <v>1389</v>
      </c>
      <c r="CN99" t="s">
        <v>113</v>
      </c>
      <c r="CO99" t="s">
        <v>1989</v>
      </c>
      <c r="CP99" t="s">
        <v>460</v>
      </c>
      <c r="CQ99" t="s">
        <v>1990</v>
      </c>
      <c r="CR99" t="str">
        <f>HYPERLINK("https://nconnect.nicmar.ac.in/public/storage/profile/6996cadfabc62.png","Download")</f>
        <v>0</v>
      </c>
      <c r="CS99" t="str">
        <f>HYPERLINK("https://nconnect.nicmar.ac.in/pdf/169_resume_1771491855.pdf/Y2FyZWVy","View Resume")</f>
        <v>0</v>
      </c>
    </row>
    <row r="100" spans="1:97">
      <c r="A100" t="s">
        <v>501</v>
      </c>
      <c r="B100" t="s">
        <v>138</v>
      </c>
      <c r="C100" t="s">
        <v>165</v>
      </c>
      <c r="D100" t="s">
        <v>319</v>
      </c>
      <c r="E100" t="s">
        <v>1991</v>
      </c>
      <c r="F100" t="s">
        <v>1992</v>
      </c>
      <c r="G100">
        <v>7501129120</v>
      </c>
      <c r="H100" t="s">
        <v>103</v>
      </c>
      <c r="I100" t="s">
        <v>1993</v>
      </c>
      <c r="J100" t="s">
        <v>144</v>
      </c>
      <c r="K100" t="s">
        <v>526</v>
      </c>
      <c r="L100" t="s">
        <v>1994</v>
      </c>
      <c r="M100" t="s">
        <v>1995</v>
      </c>
      <c r="N100" t="s">
        <v>109</v>
      </c>
      <c r="AI100" t="s">
        <v>1996</v>
      </c>
      <c r="AJ100" t="s">
        <v>1997</v>
      </c>
      <c r="AK100" t="s">
        <v>1998</v>
      </c>
      <c r="AL100">
        <v>95</v>
      </c>
      <c r="AM100">
        <v>10</v>
      </c>
      <c r="AN100">
        <v>2013</v>
      </c>
      <c r="AO100" t="s">
        <v>113</v>
      </c>
      <c r="AP100" t="s">
        <v>1996</v>
      </c>
      <c r="AQ100" t="s">
        <v>1997</v>
      </c>
      <c r="AR100" t="s">
        <v>1999</v>
      </c>
      <c r="AS100">
        <v>93.88</v>
      </c>
      <c r="AU100">
        <v>2015</v>
      </c>
      <c r="AV100" t="s">
        <v>109</v>
      </c>
      <c r="BC100" t="s">
        <v>113</v>
      </c>
      <c r="BD100" t="s">
        <v>2000</v>
      </c>
      <c r="BE100" t="s">
        <v>2001</v>
      </c>
      <c r="BF100" t="s">
        <v>2002</v>
      </c>
      <c r="BG100">
        <v>57.33</v>
      </c>
      <c r="BH100">
        <v>6.4</v>
      </c>
      <c r="BI100">
        <v>2018</v>
      </c>
      <c r="BJ100">
        <v>19</v>
      </c>
      <c r="BK100" t="s">
        <v>1480</v>
      </c>
      <c r="BL100">
        <v>27</v>
      </c>
      <c r="BN100" t="s">
        <v>113</v>
      </c>
      <c r="BO100" t="s">
        <v>2003</v>
      </c>
      <c r="BP100" t="s">
        <v>2003</v>
      </c>
      <c r="BQ100" t="s">
        <v>2004</v>
      </c>
      <c r="BR100">
        <v>87.33</v>
      </c>
      <c r="BS100">
        <v>3.33</v>
      </c>
      <c r="BT100">
        <v>2021</v>
      </c>
      <c r="BU100">
        <v>31</v>
      </c>
      <c r="BV100" t="s">
        <v>2005</v>
      </c>
      <c r="BW100">
        <v>23</v>
      </c>
      <c r="BY100" t="s">
        <v>109</v>
      </c>
      <c r="CF100" t="s">
        <v>113</v>
      </c>
      <c r="CG100" t="s">
        <v>2006</v>
      </c>
      <c r="CH100" t="s">
        <v>2007</v>
      </c>
      <c r="CI100" t="s">
        <v>240</v>
      </c>
      <c r="CK100" t="s">
        <v>113</v>
      </c>
      <c r="CL100" t="s">
        <v>113</v>
      </c>
      <c r="CM100" t="s">
        <v>2008</v>
      </c>
      <c r="CN100" t="s">
        <v>113</v>
      </c>
      <c r="CO100" t="s">
        <v>2009</v>
      </c>
      <c r="CP100" t="s">
        <v>2010</v>
      </c>
      <c r="CQ100" t="s">
        <v>2011</v>
      </c>
      <c r="CR100" t="str">
        <f>HYPERLINK("https://nconnect.nicmar.ac.in/public/storage/profile/6996cfc751b0a.png","Download")</f>
        <v>0</v>
      </c>
      <c r="CS100" t="str">
        <f>HYPERLINK("https://nconnect.nicmar.ac.in/pdf/181_resume_1771492304.pdf/Y2FyZWVy","View Resume")</f>
        <v>0</v>
      </c>
    </row>
    <row r="101" spans="1:97">
      <c r="A101" t="s">
        <v>190</v>
      </c>
      <c r="B101" t="s">
        <v>138</v>
      </c>
      <c r="C101" t="s">
        <v>139</v>
      </c>
      <c r="D101" t="s">
        <v>191</v>
      </c>
      <c r="E101" t="s">
        <v>2012</v>
      </c>
      <c r="F101" t="s">
        <v>2013</v>
      </c>
      <c r="G101">
        <v>7688897332</v>
      </c>
      <c r="H101" t="s">
        <v>169</v>
      </c>
      <c r="I101" t="s">
        <v>2014</v>
      </c>
      <c r="J101" t="s">
        <v>144</v>
      </c>
      <c r="K101" t="s">
        <v>505</v>
      </c>
      <c r="L101" t="s">
        <v>2015</v>
      </c>
      <c r="M101" t="s">
        <v>2016</v>
      </c>
      <c r="N101" t="s">
        <v>109</v>
      </c>
      <c r="AI101" t="s">
        <v>2017</v>
      </c>
      <c r="AJ101" t="s">
        <v>2018</v>
      </c>
      <c r="AK101" t="s">
        <v>2019</v>
      </c>
      <c r="AL101">
        <v>84.5</v>
      </c>
      <c r="AN101">
        <v>2012</v>
      </c>
      <c r="AO101" t="s">
        <v>113</v>
      </c>
      <c r="AP101" t="s">
        <v>2020</v>
      </c>
      <c r="AQ101" t="s">
        <v>2018</v>
      </c>
      <c r="AR101" t="s">
        <v>668</v>
      </c>
      <c r="AS101">
        <v>86.0</v>
      </c>
      <c r="AU101">
        <v>2014</v>
      </c>
      <c r="AV101" t="s">
        <v>109</v>
      </c>
      <c r="BC101" t="s">
        <v>113</v>
      </c>
      <c r="BD101" t="s">
        <v>2021</v>
      </c>
      <c r="BE101" t="s">
        <v>2022</v>
      </c>
      <c r="BF101" t="s">
        <v>668</v>
      </c>
      <c r="BG101">
        <v>77.18</v>
      </c>
      <c r="BI101">
        <v>2017</v>
      </c>
      <c r="BJ101">
        <v>19</v>
      </c>
      <c r="BK101" t="s">
        <v>282</v>
      </c>
      <c r="BL101">
        <v>52</v>
      </c>
      <c r="BN101" t="s">
        <v>113</v>
      </c>
      <c r="BO101" t="s">
        <v>2023</v>
      </c>
      <c r="BP101" t="s">
        <v>2024</v>
      </c>
      <c r="BQ101" t="s">
        <v>281</v>
      </c>
      <c r="BR101">
        <v>76.68</v>
      </c>
      <c r="BT101">
        <v>2019</v>
      </c>
      <c r="BU101">
        <v>31</v>
      </c>
      <c r="BV101" t="s">
        <v>285</v>
      </c>
      <c r="BW101">
        <v>52</v>
      </c>
      <c r="BY101" t="s">
        <v>109</v>
      </c>
      <c r="CF101" t="s">
        <v>113</v>
      </c>
      <c r="CG101" t="s">
        <v>2025</v>
      </c>
      <c r="CH101" t="s">
        <v>2026</v>
      </c>
      <c r="CI101" t="s">
        <v>132</v>
      </c>
      <c r="CJ101">
        <v>2025</v>
      </c>
      <c r="CL101" t="s">
        <v>113</v>
      </c>
      <c r="CM101" t="s">
        <v>2027</v>
      </c>
      <c r="CN101" t="s">
        <v>113</v>
      </c>
      <c r="CO101" t="s">
        <v>2028</v>
      </c>
      <c r="CP101" t="s">
        <v>2029</v>
      </c>
      <c r="CQ101" t="s">
        <v>2030</v>
      </c>
      <c r="CR101" t="s">
        <v>136</v>
      </c>
      <c r="CS101" t="str">
        <f>HYPERLINK("https://nconnect.nicmar.ac.in/pdf/177_resume_1771492275.pdf/Y2FyZWVy","View Resume")</f>
        <v>0</v>
      </c>
    </row>
    <row r="102" spans="1:97">
      <c r="A102" t="s">
        <v>656</v>
      </c>
      <c r="B102" t="s">
        <v>318</v>
      </c>
      <c r="C102" t="s">
        <v>139</v>
      </c>
      <c r="D102" t="s">
        <v>140</v>
      </c>
      <c r="E102" t="s">
        <v>2031</v>
      </c>
      <c r="F102" t="s">
        <v>2032</v>
      </c>
      <c r="G102">
        <v>9149459436</v>
      </c>
      <c r="H102" t="s">
        <v>103</v>
      </c>
      <c r="I102" t="s">
        <v>2033</v>
      </c>
      <c r="J102" t="s">
        <v>105</v>
      </c>
      <c r="K102" t="s">
        <v>2034</v>
      </c>
      <c r="L102" t="s">
        <v>2035</v>
      </c>
      <c r="M102" t="s">
        <v>2036</v>
      </c>
      <c r="N102" t="s">
        <v>109</v>
      </c>
      <c r="AI102" t="s">
        <v>2037</v>
      </c>
      <c r="AJ102" t="s">
        <v>2038</v>
      </c>
      <c r="AK102" t="s">
        <v>2039</v>
      </c>
      <c r="AL102">
        <v>63.4</v>
      </c>
      <c r="AN102">
        <v>2004</v>
      </c>
      <c r="AO102" t="s">
        <v>113</v>
      </c>
      <c r="AP102" t="s">
        <v>2040</v>
      </c>
      <c r="AQ102" t="s">
        <v>2038</v>
      </c>
      <c r="AR102" t="s">
        <v>2041</v>
      </c>
      <c r="AS102">
        <v>57</v>
      </c>
      <c r="AU102">
        <v>2006</v>
      </c>
      <c r="AV102" t="s">
        <v>109</v>
      </c>
      <c r="BC102" t="s">
        <v>113</v>
      </c>
      <c r="BD102" t="s">
        <v>2042</v>
      </c>
      <c r="BE102" t="s">
        <v>2042</v>
      </c>
      <c r="BF102" t="s">
        <v>309</v>
      </c>
      <c r="BG102">
        <v>72.8</v>
      </c>
      <c r="BH102">
        <v>7.28</v>
      </c>
      <c r="BI102">
        <v>2011</v>
      </c>
      <c r="BJ102">
        <v>2</v>
      </c>
      <c r="BL102">
        <v>9</v>
      </c>
      <c r="BN102" t="s">
        <v>113</v>
      </c>
      <c r="BO102" t="s">
        <v>2042</v>
      </c>
      <c r="BP102" t="s">
        <v>2042</v>
      </c>
      <c r="BQ102" t="s">
        <v>2043</v>
      </c>
      <c r="BR102">
        <v>78.0</v>
      </c>
      <c r="BS102">
        <v>7.8</v>
      </c>
      <c r="BT102">
        <v>2013</v>
      </c>
      <c r="BU102">
        <v>14</v>
      </c>
      <c r="BW102">
        <v>7</v>
      </c>
      <c r="BY102" t="s">
        <v>109</v>
      </c>
      <c r="BZ102" t="s">
        <v>2044</v>
      </c>
      <c r="CA102" t="s">
        <v>2045</v>
      </c>
      <c r="CB102" t="s">
        <v>2046</v>
      </c>
      <c r="CF102" t="s">
        <v>113</v>
      </c>
      <c r="CG102" t="s">
        <v>2047</v>
      </c>
      <c r="CH102" t="s">
        <v>2042</v>
      </c>
      <c r="CI102" t="s">
        <v>132</v>
      </c>
      <c r="CJ102">
        <v>2021</v>
      </c>
      <c r="CL102" t="s">
        <v>113</v>
      </c>
      <c r="CN102" t="s">
        <v>109</v>
      </c>
      <c r="CP102" t="s">
        <v>2048</v>
      </c>
      <c r="CQ102" t="s">
        <v>2049</v>
      </c>
      <c r="CR102" t="s">
        <v>136</v>
      </c>
      <c r="CS102" t="str">
        <f>HYPERLINK("https://nconnect.nicmar.ac.in/pdf/180_resume_1771492644.pdf/Y2FyZWVy","View Resume")</f>
        <v>0</v>
      </c>
    </row>
    <row r="103" spans="1:97">
      <c r="A103" t="s">
        <v>190</v>
      </c>
      <c r="B103" t="s">
        <v>138</v>
      </c>
      <c r="C103" t="s">
        <v>139</v>
      </c>
      <c r="D103" t="s">
        <v>191</v>
      </c>
      <c r="E103" t="s">
        <v>2050</v>
      </c>
      <c r="F103" t="s">
        <v>2051</v>
      </c>
      <c r="G103">
        <v>8057002062</v>
      </c>
      <c r="H103" t="s">
        <v>103</v>
      </c>
      <c r="I103" t="s">
        <v>2052</v>
      </c>
      <c r="J103" t="s">
        <v>144</v>
      </c>
      <c r="K103" t="s">
        <v>2053</v>
      </c>
      <c r="L103" t="s">
        <v>2054</v>
      </c>
      <c r="M103" t="s">
        <v>2055</v>
      </c>
      <c r="N103" t="s">
        <v>109</v>
      </c>
      <c r="AI103" t="s">
        <v>2056</v>
      </c>
      <c r="AJ103" t="s">
        <v>2057</v>
      </c>
      <c r="AK103" t="s">
        <v>2058</v>
      </c>
      <c r="AL103">
        <v>54</v>
      </c>
      <c r="AN103">
        <v>2008</v>
      </c>
      <c r="AO103" t="s">
        <v>113</v>
      </c>
      <c r="AP103" t="s">
        <v>2059</v>
      </c>
      <c r="AQ103" t="s">
        <v>2057</v>
      </c>
      <c r="AR103" t="s">
        <v>668</v>
      </c>
      <c r="AS103">
        <v>77.2</v>
      </c>
      <c r="AU103">
        <v>2010</v>
      </c>
      <c r="AV103" t="s">
        <v>109</v>
      </c>
      <c r="BC103" t="s">
        <v>113</v>
      </c>
      <c r="BD103" t="s">
        <v>1503</v>
      </c>
      <c r="BE103" t="s">
        <v>2060</v>
      </c>
      <c r="BF103" t="s">
        <v>1543</v>
      </c>
      <c r="BG103">
        <v>68</v>
      </c>
      <c r="BI103">
        <v>2014</v>
      </c>
      <c r="BJ103">
        <v>19</v>
      </c>
      <c r="BK103" t="s">
        <v>282</v>
      </c>
      <c r="BL103">
        <v>53</v>
      </c>
      <c r="BM103" t="s">
        <v>281</v>
      </c>
      <c r="BN103" t="s">
        <v>113</v>
      </c>
      <c r="BO103" t="s">
        <v>1503</v>
      </c>
      <c r="BP103" t="s">
        <v>2060</v>
      </c>
      <c r="BQ103" t="s">
        <v>281</v>
      </c>
      <c r="BR103">
        <v>73</v>
      </c>
      <c r="BT103">
        <v>2016</v>
      </c>
      <c r="BU103">
        <v>31</v>
      </c>
      <c r="BV103" t="s">
        <v>285</v>
      </c>
      <c r="BW103">
        <v>53</v>
      </c>
      <c r="BX103" t="s">
        <v>281</v>
      </c>
      <c r="BY103" t="s">
        <v>109</v>
      </c>
      <c r="CF103" t="s">
        <v>113</v>
      </c>
      <c r="CG103" t="s">
        <v>2061</v>
      </c>
      <c r="CH103" t="s">
        <v>1503</v>
      </c>
      <c r="CI103" t="s">
        <v>132</v>
      </c>
      <c r="CJ103">
        <v>2024</v>
      </c>
      <c r="CL103" t="s">
        <v>113</v>
      </c>
      <c r="CM103" t="s">
        <v>2062</v>
      </c>
      <c r="CN103" t="s">
        <v>109</v>
      </c>
      <c r="CP103" t="s">
        <v>2063</v>
      </c>
      <c r="CQ103" t="s">
        <v>2049</v>
      </c>
      <c r="CR103" t="str">
        <f>HYPERLINK("https://nconnect.nicmar.ac.in/public/storage/profile/6996cb75ec6c3.png","Download")</f>
        <v>0</v>
      </c>
      <c r="CS103" t="str">
        <f>HYPERLINK("https://nconnect.nicmar.ac.in/pdf/170_resume_1771492537.pdf/Y2FyZWVy","View Resume")</f>
        <v>0</v>
      </c>
    </row>
    <row r="104" spans="1:97">
      <c r="A104" t="s">
        <v>137</v>
      </c>
      <c r="B104" t="s">
        <v>138</v>
      </c>
      <c r="C104" t="s">
        <v>139</v>
      </c>
      <c r="D104" t="s">
        <v>140</v>
      </c>
      <c r="E104" t="s">
        <v>2031</v>
      </c>
      <c r="F104" t="s">
        <v>2032</v>
      </c>
      <c r="G104">
        <v>9149459436</v>
      </c>
      <c r="H104" t="s">
        <v>103</v>
      </c>
      <c r="I104" t="s">
        <v>2033</v>
      </c>
      <c r="J104" t="s">
        <v>105</v>
      </c>
      <c r="K104" t="s">
        <v>2034</v>
      </c>
      <c r="L104" t="s">
        <v>2035</v>
      </c>
      <c r="M104" t="s">
        <v>2036</v>
      </c>
      <c r="N104" t="s">
        <v>109</v>
      </c>
      <c r="AI104" t="s">
        <v>2037</v>
      </c>
      <c r="AJ104" t="s">
        <v>2038</v>
      </c>
      <c r="AK104" t="s">
        <v>2039</v>
      </c>
      <c r="AL104">
        <v>63.4</v>
      </c>
      <c r="AN104">
        <v>2004</v>
      </c>
      <c r="AO104" t="s">
        <v>113</v>
      </c>
      <c r="AP104" t="s">
        <v>2040</v>
      </c>
      <c r="AQ104" t="s">
        <v>2038</v>
      </c>
      <c r="AR104" t="s">
        <v>2041</v>
      </c>
      <c r="AS104">
        <v>57</v>
      </c>
      <c r="AU104">
        <v>2006</v>
      </c>
      <c r="AV104" t="s">
        <v>109</v>
      </c>
      <c r="BC104" t="s">
        <v>113</v>
      </c>
      <c r="BD104" t="s">
        <v>2042</v>
      </c>
      <c r="BE104" t="s">
        <v>2042</v>
      </c>
      <c r="BF104" t="s">
        <v>309</v>
      </c>
      <c r="BG104">
        <v>72.8</v>
      </c>
      <c r="BH104">
        <v>7.28</v>
      </c>
      <c r="BI104">
        <v>2011</v>
      </c>
      <c r="BJ104">
        <v>2</v>
      </c>
      <c r="BL104">
        <v>9</v>
      </c>
      <c r="BN104" t="s">
        <v>113</v>
      </c>
      <c r="BO104" t="s">
        <v>2042</v>
      </c>
      <c r="BP104" t="s">
        <v>2042</v>
      </c>
      <c r="BQ104" t="s">
        <v>2043</v>
      </c>
      <c r="BR104">
        <v>78.0</v>
      </c>
      <c r="BS104">
        <v>7.8</v>
      </c>
      <c r="BT104">
        <v>2013</v>
      </c>
      <c r="BU104">
        <v>14</v>
      </c>
      <c r="BW104">
        <v>7</v>
      </c>
      <c r="BY104" t="s">
        <v>109</v>
      </c>
      <c r="BZ104" t="s">
        <v>2044</v>
      </c>
      <c r="CA104" t="s">
        <v>2045</v>
      </c>
      <c r="CB104" t="s">
        <v>2046</v>
      </c>
      <c r="CF104" t="s">
        <v>113</v>
      </c>
      <c r="CG104" t="s">
        <v>2047</v>
      </c>
      <c r="CH104" t="s">
        <v>2042</v>
      </c>
      <c r="CI104" t="s">
        <v>132</v>
      </c>
      <c r="CJ104">
        <v>2021</v>
      </c>
      <c r="CL104" t="s">
        <v>113</v>
      </c>
      <c r="CN104" t="s">
        <v>109</v>
      </c>
      <c r="CP104" t="s">
        <v>2048</v>
      </c>
      <c r="CQ104" t="s">
        <v>2064</v>
      </c>
      <c r="CR104" t="s">
        <v>136</v>
      </c>
      <c r="CS104" t="str">
        <f>HYPERLINK("https://nconnect.nicmar.ac.in/pdf/180_resume_1771492644.pdf/Y2FyZWVy","View Resume")</f>
        <v>0</v>
      </c>
    </row>
    <row r="105" spans="1:97">
      <c r="A105" t="s">
        <v>1442</v>
      </c>
      <c r="B105" t="s">
        <v>98</v>
      </c>
      <c r="C105" t="s">
        <v>139</v>
      </c>
      <c r="D105" t="s">
        <v>1443</v>
      </c>
      <c r="E105" t="s">
        <v>2031</v>
      </c>
      <c r="F105" t="s">
        <v>2032</v>
      </c>
      <c r="G105">
        <v>9149459436</v>
      </c>
      <c r="H105" t="s">
        <v>103</v>
      </c>
      <c r="I105" t="s">
        <v>2033</v>
      </c>
      <c r="J105" t="s">
        <v>105</v>
      </c>
      <c r="K105" t="s">
        <v>2034</v>
      </c>
      <c r="L105" t="s">
        <v>2035</v>
      </c>
      <c r="M105" t="s">
        <v>2036</v>
      </c>
      <c r="N105" t="s">
        <v>109</v>
      </c>
      <c r="AI105" t="s">
        <v>2037</v>
      </c>
      <c r="AJ105" t="s">
        <v>2038</v>
      </c>
      <c r="AK105" t="s">
        <v>2039</v>
      </c>
      <c r="AL105">
        <v>63.4</v>
      </c>
      <c r="AN105">
        <v>2004</v>
      </c>
      <c r="AO105" t="s">
        <v>113</v>
      </c>
      <c r="AP105" t="s">
        <v>2040</v>
      </c>
      <c r="AQ105" t="s">
        <v>2038</v>
      </c>
      <c r="AR105" t="s">
        <v>2041</v>
      </c>
      <c r="AS105">
        <v>57</v>
      </c>
      <c r="AU105">
        <v>2006</v>
      </c>
      <c r="AV105" t="s">
        <v>109</v>
      </c>
      <c r="BC105" t="s">
        <v>113</v>
      </c>
      <c r="BD105" t="s">
        <v>2042</v>
      </c>
      <c r="BE105" t="s">
        <v>2042</v>
      </c>
      <c r="BF105" t="s">
        <v>309</v>
      </c>
      <c r="BG105">
        <v>72.8</v>
      </c>
      <c r="BH105">
        <v>7.28</v>
      </c>
      <c r="BI105">
        <v>2011</v>
      </c>
      <c r="BJ105">
        <v>2</v>
      </c>
      <c r="BL105">
        <v>9</v>
      </c>
      <c r="BN105" t="s">
        <v>113</v>
      </c>
      <c r="BO105" t="s">
        <v>2042</v>
      </c>
      <c r="BP105" t="s">
        <v>2042</v>
      </c>
      <c r="BQ105" t="s">
        <v>2043</v>
      </c>
      <c r="BR105">
        <v>78.0</v>
      </c>
      <c r="BS105">
        <v>7.8</v>
      </c>
      <c r="BT105">
        <v>2013</v>
      </c>
      <c r="BU105">
        <v>14</v>
      </c>
      <c r="BW105">
        <v>7</v>
      </c>
      <c r="BY105" t="s">
        <v>109</v>
      </c>
      <c r="BZ105" t="s">
        <v>2044</v>
      </c>
      <c r="CA105" t="s">
        <v>2045</v>
      </c>
      <c r="CB105" t="s">
        <v>2046</v>
      </c>
      <c r="CF105" t="s">
        <v>113</v>
      </c>
      <c r="CG105" t="s">
        <v>2047</v>
      </c>
      <c r="CH105" t="s">
        <v>2042</v>
      </c>
      <c r="CI105" t="s">
        <v>132</v>
      </c>
      <c r="CJ105">
        <v>2021</v>
      </c>
      <c r="CL105" t="s">
        <v>113</v>
      </c>
      <c r="CN105" t="s">
        <v>109</v>
      </c>
      <c r="CP105" t="s">
        <v>2048</v>
      </c>
      <c r="CQ105" t="s">
        <v>2064</v>
      </c>
      <c r="CR105" t="s">
        <v>136</v>
      </c>
      <c r="CS105" t="str">
        <f>HYPERLINK("https://nconnect.nicmar.ac.in/pdf/180_resume_1771492644.pdf/Y2FyZWVy","View Resume")</f>
        <v>0</v>
      </c>
    </row>
    <row r="106" spans="1:97">
      <c r="A106" t="s">
        <v>1624</v>
      </c>
      <c r="B106" t="s">
        <v>318</v>
      </c>
      <c r="C106" t="s">
        <v>99</v>
      </c>
      <c r="D106" t="s">
        <v>1625</v>
      </c>
      <c r="E106" t="s">
        <v>2031</v>
      </c>
      <c r="F106" t="s">
        <v>2032</v>
      </c>
      <c r="G106">
        <v>9149459436</v>
      </c>
      <c r="H106" t="s">
        <v>103</v>
      </c>
      <c r="I106" t="s">
        <v>2033</v>
      </c>
      <c r="J106" t="s">
        <v>105</v>
      </c>
      <c r="K106" t="s">
        <v>2034</v>
      </c>
      <c r="L106" t="s">
        <v>2035</v>
      </c>
      <c r="M106" t="s">
        <v>2036</v>
      </c>
      <c r="N106" t="s">
        <v>109</v>
      </c>
      <c r="AI106" t="s">
        <v>2037</v>
      </c>
      <c r="AJ106" t="s">
        <v>2038</v>
      </c>
      <c r="AK106" t="s">
        <v>2039</v>
      </c>
      <c r="AL106">
        <v>63.4</v>
      </c>
      <c r="AN106">
        <v>2004</v>
      </c>
      <c r="AO106" t="s">
        <v>113</v>
      </c>
      <c r="AP106" t="s">
        <v>2040</v>
      </c>
      <c r="AQ106" t="s">
        <v>2038</v>
      </c>
      <c r="AR106" t="s">
        <v>2041</v>
      </c>
      <c r="AS106">
        <v>57</v>
      </c>
      <c r="AU106">
        <v>2006</v>
      </c>
      <c r="AV106" t="s">
        <v>109</v>
      </c>
      <c r="BC106" t="s">
        <v>113</v>
      </c>
      <c r="BD106" t="s">
        <v>2042</v>
      </c>
      <c r="BE106" t="s">
        <v>2042</v>
      </c>
      <c r="BF106" t="s">
        <v>309</v>
      </c>
      <c r="BG106">
        <v>72.8</v>
      </c>
      <c r="BH106">
        <v>7.28</v>
      </c>
      <c r="BI106">
        <v>2011</v>
      </c>
      <c r="BJ106">
        <v>2</v>
      </c>
      <c r="BL106">
        <v>9</v>
      </c>
      <c r="BN106" t="s">
        <v>113</v>
      </c>
      <c r="BO106" t="s">
        <v>2042</v>
      </c>
      <c r="BP106" t="s">
        <v>2042</v>
      </c>
      <c r="BQ106" t="s">
        <v>2043</v>
      </c>
      <c r="BR106">
        <v>78.0</v>
      </c>
      <c r="BS106">
        <v>7.8</v>
      </c>
      <c r="BT106">
        <v>2013</v>
      </c>
      <c r="BU106">
        <v>14</v>
      </c>
      <c r="BW106">
        <v>7</v>
      </c>
      <c r="BY106" t="s">
        <v>109</v>
      </c>
      <c r="BZ106" t="s">
        <v>2044</v>
      </c>
      <c r="CA106" t="s">
        <v>2045</v>
      </c>
      <c r="CB106" t="s">
        <v>2046</v>
      </c>
      <c r="CF106" t="s">
        <v>113</v>
      </c>
      <c r="CG106" t="s">
        <v>2047</v>
      </c>
      <c r="CH106" t="s">
        <v>2042</v>
      </c>
      <c r="CI106" t="s">
        <v>132</v>
      </c>
      <c r="CJ106">
        <v>2021</v>
      </c>
      <c r="CL106" t="s">
        <v>113</v>
      </c>
      <c r="CN106" t="s">
        <v>109</v>
      </c>
      <c r="CP106" t="s">
        <v>2048</v>
      </c>
      <c r="CQ106" t="s">
        <v>2064</v>
      </c>
      <c r="CR106" t="s">
        <v>136</v>
      </c>
      <c r="CS106" t="str">
        <f>HYPERLINK("https://nconnect.nicmar.ac.in/pdf/180_resume_1771492644.pdf/Y2FyZWVy","View Resume")</f>
        <v>0</v>
      </c>
    </row>
    <row r="107" spans="1:97">
      <c r="A107" t="s">
        <v>190</v>
      </c>
      <c r="B107" t="s">
        <v>138</v>
      </c>
      <c r="C107" t="s">
        <v>139</v>
      </c>
      <c r="D107" t="s">
        <v>191</v>
      </c>
      <c r="E107" t="s">
        <v>2065</v>
      </c>
      <c r="F107" t="s">
        <v>2066</v>
      </c>
      <c r="G107">
        <v>9149886744</v>
      </c>
      <c r="H107" t="s">
        <v>103</v>
      </c>
      <c r="I107" t="s">
        <v>2067</v>
      </c>
      <c r="J107" t="s">
        <v>105</v>
      </c>
      <c r="K107" t="s">
        <v>2068</v>
      </c>
      <c r="L107" t="s">
        <v>2069</v>
      </c>
      <c r="M107" t="s">
        <v>2070</v>
      </c>
      <c r="N107" t="s">
        <v>109</v>
      </c>
      <c r="AI107" t="s">
        <v>2071</v>
      </c>
      <c r="AJ107" t="s">
        <v>2072</v>
      </c>
      <c r="AK107" t="s">
        <v>2073</v>
      </c>
      <c r="AL107">
        <v>67</v>
      </c>
      <c r="AN107">
        <v>2005</v>
      </c>
      <c r="AO107" t="s">
        <v>113</v>
      </c>
      <c r="AP107" t="s">
        <v>2074</v>
      </c>
      <c r="AQ107" t="s">
        <v>2072</v>
      </c>
      <c r="AR107" t="s">
        <v>1005</v>
      </c>
      <c r="AS107">
        <v>59</v>
      </c>
      <c r="AU107">
        <v>2007</v>
      </c>
      <c r="AV107" t="s">
        <v>109</v>
      </c>
      <c r="BC107" t="s">
        <v>113</v>
      </c>
      <c r="BD107" t="s">
        <v>2075</v>
      </c>
      <c r="BE107" t="s">
        <v>2076</v>
      </c>
      <c r="BF107" t="s">
        <v>1005</v>
      </c>
      <c r="BG107">
        <v>70.33</v>
      </c>
      <c r="BI107">
        <v>2011</v>
      </c>
      <c r="BJ107">
        <v>19</v>
      </c>
      <c r="BK107" t="s">
        <v>2077</v>
      </c>
      <c r="BL107">
        <v>24</v>
      </c>
      <c r="BN107" t="s">
        <v>113</v>
      </c>
      <c r="BO107" t="s">
        <v>2078</v>
      </c>
      <c r="BP107" t="s">
        <v>2076</v>
      </c>
      <c r="BQ107" t="s">
        <v>2079</v>
      </c>
      <c r="BR107">
        <v>63</v>
      </c>
      <c r="BT107">
        <v>2013</v>
      </c>
      <c r="BU107">
        <v>31</v>
      </c>
      <c r="BV107" t="s">
        <v>2079</v>
      </c>
      <c r="BW107">
        <v>53</v>
      </c>
      <c r="BX107" t="s">
        <v>2079</v>
      </c>
      <c r="BY107" t="s">
        <v>113</v>
      </c>
      <c r="BZ107" t="s">
        <v>2076</v>
      </c>
      <c r="CA107" t="s">
        <v>2076</v>
      </c>
      <c r="CB107" t="s">
        <v>2080</v>
      </c>
      <c r="CC107">
        <v>74</v>
      </c>
      <c r="CE107">
        <v>2015</v>
      </c>
      <c r="CF107" t="s">
        <v>113</v>
      </c>
      <c r="CG107" t="s">
        <v>2079</v>
      </c>
      <c r="CH107" t="s">
        <v>2081</v>
      </c>
      <c r="CI107" t="s">
        <v>132</v>
      </c>
      <c r="CJ107">
        <v>2019</v>
      </c>
      <c r="CL107" t="s">
        <v>113</v>
      </c>
      <c r="CM107" t="s">
        <v>2082</v>
      </c>
      <c r="CN107" t="s">
        <v>113</v>
      </c>
      <c r="CO107" t="s">
        <v>2083</v>
      </c>
      <c r="CP107" t="s">
        <v>2084</v>
      </c>
      <c r="CQ107" t="s">
        <v>2085</v>
      </c>
      <c r="CR107" t="s">
        <v>136</v>
      </c>
      <c r="CS107" t="str">
        <f>HYPERLINK("https://nconnect.nicmar.ac.in/pdf/132_resume_1771492653.pdf/Y2FyZWVy","View Resume")</f>
        <v>0</v>
      </c>
    </row>
    <row r="108" spans="1:97">
      <c r="A108" t="s">
        <v>317</v>
      </c>
      <c r="B108" t="s">
        <v>318</v>
      </c>
      <c r="C108" t="s">
        <v>165</v>
      </c>
      <c r="D108" t="s">
        <v>319</v>
      </c>
      <c r="E108" t="s">
        <v>2086</v>
      </c>
      <c r="F108" t="s">
        <v>2087</v>
      </c>
      <c r="G108">
        <v>9959150970</v>
      </c>
      <c r="H108" t="s">
        <v>103</v>
      </c>
      <c r="I108" t="s">
        <v>2088</v>
      </c>
      <c r="J108" t="s">
        <v>144</v>
      </c>
      <c r="K108" t="s">
        <v>2089</v>
      </c>
      <c r="L108" t="s">
        <v>2090</v>
      </c>
      <c r="M108" t="s">
        <v>2091</v>
      </c>
      <c r="N108" t="s">
        <v>109</v>
      </c>
      <c r="AI108" t="s">
        <v>2092</v>
      </c>
      <c r="AJ108" t="s">
        <v>2093</v>
      </c>
      <c r="AK108" t="s">
        <v>2094</v>
      </c>
      <c r="AL108">
        <v>76.33</v>
      </c>
      <c r="AN108">
        <v>2006</v>
      </c>
      <c r="AO108" t="s">
        <v>113</v>
      </c>
      <c r="AP108" t="s">
        <v>2095</v>
      </c>
      <c r="AQ108" t="s">
        <v>2096</v>
      </c>
      <c r="AR108" t="s">
        <v>2097</v>
      </c>
      <c r="AS108">
        <v>89.8</v>
      </c>
      <c r="AU108">
        <v>2008</v>
      </c>
      <c r="AV108" t="s">
        <v>109</v>
      </c>
      <c r="BC108" t="s">
        <v>113</v>
      </c>
      <c r="BD108" t="s">
        <v>1006</v>
      </c>
      <c r="BE108" t="s">
        <v>2098</v>
      </c>
      <c r="BF108" t="s">
        <v>2099</v>
      </c>
      <c r="BG108">
        <v>85.13</v>
      </c>
      <c r="BI108">
        <v>2011</v>
      </c>
      <c r="BJ108">
        <v>19</v>
      </c>
      <c r="BK108" t="s">
        <v>2100</v>
      </c>
      <c r="BL108">
        <v>23</v>
      </c>
      <c r="BN108" t="s">
        <v>113</v>
      </c>
      <c r="BO108" t="s">
        <v>2101</v>
      </c>
      <c r="BP108" t="s">
        <v>2102</v>
      </c>
      <c r="BQ108" t="s">
        <v>2103</v>
      </c>
      <c r="BR108">
        <v>71.2</v>
      </c>
      <c r="BT108">
        <v>2013</v>
      </c>
      <c r="BU108">
        <v>31</v>
      </c>
      <c r="BV108" t="s">
        <v>1772</v>
      </c>
      <c r="BW108">
        <v>23</v>
      </c>
      <c r="BY108" t="s">
        <v>109</v>
      </c>
      <c r="CF108" t="s">
        <v>113</v>
      </c>
      <c r="CG108" t="s">
        <v>1775</v>
      </c>
      <c r="CH108" t="s">
        <v>2104</v>
      </c>
      <c r="CI108" t="s">
        <v>132</v>
      </c>
      <c r="CJ108">
        <v>2023</v>
      </c>
      <c r="CL108" t="s">
        <v>113</v>
      </c>
      <c r="CM108" t="s">
        <v>2105</v>
      </c>
      <c r="CN108" t="s">
        <v>113</v>
      </c>
      <c r="CO108" t="s">
        <v>2106</v>
      </c>
      <c r="CP108" t="s">
        <v>397</v>
      </c>
      <c r="CQ108" t="s">
        <v>2107</v>
      </c>
      <c r="CR108" t="str">
        <f>HYPERLINK("https://nconnect.nicmar.ac.in/public/storage/profile/6996c9d0e7d48.png","Download")</f>
        <v>0</v>
      </c>
      <c r="CS108" t="str">
        <f>HYPERLINK("https://nconnect.nicmar.ac.in/pdf/168_resume_1771492880.pdf/Y2FyZWVy","View Resume")</f>
        <v>0</v>
      </c>
    </row>
    <row r="109" spans="1:97">
      <c r="A109" t="s">
        <v>2108</v>
      </c>
      <c r="B109" t="s">
        <v>138</v>
      </c>
      <c r="C109" t="s">
        <v>99</v>
      </c>
      <c r="D109" t="s">
        <v>2109</v>
      </c>
      <c r="E109" t="s">
        <v>2031</v>
      </c>
      <c r="F109" t="s">
        <v>2032</v>
      </c>
      <c r="G109">
        <v>9149459436</v>
      </c>
      <c r="H109" t="s">
        <v>103</v>
      </c>
      <c r="I109" t="s">
        <v>2033</v>
      </c>
      <c r="J109" t="s">
        <v>105</v>
      </c>
      <c r="K109" t="s">
        <v>2034</v>
      </c>
      <c r="L109" t="s">
        <v>2035</v>
      </c>
      <c r="M109" t="s">
        <v>2036</v>
      </c>
      <c r="N109" t="s">
        <v>109</v>
      </c>
      <c r="AI109" t="s">
        <v>2037</v>
      </c>
      <c r="AJ109" t="s">
        <v>2038</v>
      </c>
      <c r="AK109" t="s">
        <v>2039</v>
      </c>
      <c r="AL109">
        <v>63.4</v>
      </c>
      <c r="AN109">
        <v>2004</v>
      </c>
      <c r="AO109" t="s">
        <v>113</v>
      </c>
      <c r="AP109" t="s">
        <v>2040</v>
      </c>
      <c r="AQ109" t="s">
        <v>2038</v>
      </c>
      <c r="AR109" t="s">
        <v>2041</v>
      </c>
      <c r="AS109">
        <v>57</v>
      </c>
      <c r="AU109">
        <v>2006</v>
      </c>
      <c r="AV109" t="s">
        <v>109</v>
      </c>
      <c r="BC109" t="s">
        <v>113</v>
      </c>
      <c r="BD109" t="s">
        <v>2042</v>
      </c>
      <c r="BE109" t="s">
        <v>2042</v>
      </c>
      <c r="BF109" t="s">
        <v>309</v>
      </c>
      <c r="BG109">
        <v>72.8</v>
      </c>
      <c r="BH109">
        <v>7.28</v>
      </c>
      <c r="BI109">
        <v>2011</v>
      </c>
      <c r="BJ109">
        <v>2</v>
      </c>
      <c r="BL109">
        <v>9</v>
      </c>
      <c r="BN109" t="s">
        <v>113</v>
      </c>
      <c r="BO109" t="s">
        <v>2042</v>
      </c>
      <c r="BP109" t="s">
        <v>2042</v>
      </c>
      <c r="BQ109" t="s">
        <v>2043</v>
      </c>
      <c r="BR109">
        <v>78.0</v>
      </c>
      <c r="BS109">
        <v>7.8</v>
      </c>
      <c r="BT109">
        <v>2013</v>
      </c>
      <c r="BU109">
        <v>14</v>
      </c>
      <c r="BW109">
        <v>7</v>
      </c>
      <c r="BY109" t="s">
        <v>109</v>
      </c>
      <c r="BZ109" t="s">
        <v>2044</v>
      </c>
      <c r="CA109" t="s">
        <v>2045</v>
      </c>
      <c r="CB109" t="s">
        <v>2046</v>
      </c>
      <c r="CF109" t="s">
        <v>113</v>
      </c>
      <c r="CG109" t="s">
        <v>2047</v>
      </c>
      <c r="CH109" t="s">
        <v>2042</v>
      </c>
      <c r="CI109" t="s">
        <v>132</v>
      </c>
      <c r="CJ109">
        <v>2021</v>
      </c>
      <c r="CL109" t="s">
        <v>113</v>
      </c>
      <c r="CN109" t="s">
        <v>109</v>
      </c>
      <c r="CP109" t="s">
        <v>2048</v>
      </c>
      <c r="CQ109" t="s">
        <v>2110</v>
      </c>
      <c r="CR109" t="s">
        <v>136</v>
      </c>
      <c r="CS109" t="str">
        <f>HYPERLINK("https://nconnect.nicmar.ac.in/pdf/180_resume_1771492644.pdf/Y2FyZWVy","View Resume")</f>
        <v>0</v>
      </c>
    </row>
    <row r="110" spans="1:97">
      <c r="A110" t="s">
        <v>367</v>
      </c>
      <c r="B110" t="s">
        <v>138</v>
      </c>
      <c r="C110" t="s">
        <v>295</v>
      </c>
      <c r="D110" t="s">
        <v>368</v>
      </c>
      <c r="E110" t="s">
        <v>2031</v>
      </c>
      <c r="F110" t="s">
        <v>2032</v>
      </c>
      <c r="G110">
        <v>9149459436</v>
      </c>
      <c r="H110" t="s">
        <v>103</v>
      </c>
      <c r="I110" t="s">
        <v>2033</v>
      </c>
      <c r="J110" t="s">
        <v>105</v>
      </c>
      <c r="K110" t="s">
        <v>2034</v>
      </c>
      <c r="L110" t="s">
        <v>2035</v>
      </c>
      <c r="M110" t="s">
        <v>2036</v>
      </c>
      <c r="N110" t="s">
        <v>109</v>
      </c>
      <c r="AI110" t="s">
        <v>2037</v>
      </c>
      <c r="AJ110" t="s">
        <v>2038</v>
      </c>
      <c r="AK110" t="s">
        <v>2039</v>
      </c>
      <c r="AL110">
        <v>63.4</v>
      </c>
      <c r="AN110">
        <v>2004</v>
      </c>
      <c r="AO110" t="s">
        <v>113</v>
      </c>
      <c r="AP110" t="s">
        <v>2040</v>
      </c>
      <c r="AQ110" t="s">
        <v>2038</v>
      </c>
      <c r="AR110" t="s">
        <v>2041</v>
      </c>
      <c r="AS110">
        <v>57</v>
      </c>
      <c r="AU110">
        <v>2006</v>
      </c>
      <c r="AV110" t="s">
        <v>109</v>
      </c>
      <c r="BC110" t="s">
        <v>113</v>
      </c>
      <c r="BD110" t="s">
        <v>2042</v>
      </c>
      <c r="BE110" t="s">
        <v>2042</v>
      </c>
      <c r="BF110" t="s">
        <v>309</v>
      </c>
      <c r="BG110">
        <v>72.8</v>
      </c>
      <c r="BH110">
        <v>7.28</v>
      </c>
      <c r="BI110">
        <v>2011</v>
      </c>
      <c r="BJ110">
        <v>2</v>
      </c>
      <c r="BL110">
        <v>9</v>
      </c>
      <c r="BN110" t="s">
        <v>113</v>
      </c>
      <c r="BO110" t="s">
        <v>2042</v>
      </c>
      <c r="BP110" t="s">
        <v>2042</v>
      </c>
      <c r="BQ110" t="s">
        <v>2043</v>
      </c>
      <c r="BR110">
        <v>78.0</v>
      </c>
      <c r="BS110">
        <v>7.8</v>
      </c>
      <c r="BT110">
        <v>2013</v>
      </c>
      <c r="BU110">
        <v>14</v>
      </c>
      <c r="BW110">
        <v>7</v>
      </c>
      <c r="BY110" t="s">
        <v>109</v>
      </c>
      <c r="BZ110" t="s">
        <v>2044</v>
      </c>
      <c r="CA110" t="s">
        <v>2045</v>
      </c>
      <c r="CB110" t="s">
        <v>2046</v>
      </c>
      <c r="CF110" t="s">
        <v>113</v>
      </c>
      <c r="CG110" t="s">
        <v>2047</v>
      </c>
      <c r="CH110" t="s">
        <v>2042</v>
      </c>
      <c r="CI110" t="s">
        <v>132</v>
      </c>
      <c r="CJ110">
        <v>2021</v>
      </c>
      <c r="CL110" t="s">
        <v>113</v>
      </c>
      <c r="CN110" t="s">
        <v>109</v>
      </c>
      <c r="CP110" t="s">
        <v>2048</v>
      </c>
      <c r="CQ110" t="s">
        <v>2111</v>
      </c>
      <c r="CR110" t="s">
        <v>136</v>
      </c>
      <c r="CS110" t="str">
        <f>HYPERLINK("https://nconnect.nicmar.ac.in/pdf/180_resume_1771492644.pdf/Y2FyZWVy","View Resume")</f>
        <v>0</v>
      </c>
    </row>
    <row r="111" spans="1:97">
      <c r="A111" t="s">
        <v>294</v>
      </c>
      <c r="B111" t="s">
        <v>138</v>
      </c>
      <c r="C111" t="s">
        <v>295</v>
      </c>
      <c r="D111" t="s">
        <v>296</v>
      </c>
      <c r="E111" t="s">
        <v>2031</v>
      </c>
      <c r="F111" t="s">
        <v>2032</v>
      </c>
      <c r="G111">
        <v>9149459436</v>
      </c>
      <c r="H111" t="s">
        <v>103</v>
      </c>
      <c r="I111" t="s">
        <v>2033</v>
      </c>
      <c r="J111" t="s">
        <v>105</v>
      </c>
      <c r="K111" t="s">
        <v>2034</v>
      </c>
      <c r="L111" t="s">
        <v>2035</v>
      </c>
      <c r="M111" t="s">
        <v>2036</v>
      </c>
      <c r="N111" t="s">
        <v>109</v>
      </c>
      <c r="AI111" t="s">
        <v>2037</v>
      </c>
      <c r="AJ111" t="s">
        <v>2038</v>
      </c>
      <c r="AK111" t="s">
        <v>2039</v>
      </c>
      <c r="AL111">
        <v>63.4</v>
      </c>
      <c r="AN111">
        <v>2004</v>
      </c>
      <c r="AO111" t="s">
        <v>113</v>
      </c>
      <c r="AP111" t="s">
        <v>2040</v>
      </c>
      <c r="AQ111" t="s">
        <v>2038</v>
      </c>
      <c r="AR111" t="s">
        <v>2041</v>
      </c>
      <c r="AS111">
        <v>57</v>
      </c>
      <c r="AU111">
        <v>2006</v>
      </c>
      <c r="AV111" t="s">
        <v>109</v>
      </c>
      <c r="BC111" t="s">
        <v>113</v>
      </c>
      <c r="BD111" t="s">
        <v>2042</v>
      </c>
      <c r="BE111" t="s">
        <v>2042</v>
      </c>
      <c r="BF111" t="s">
        <v>309</v>
      </c>
      <c r="BG111">
        <v>72.8</v>
      </c>
      <c r="BH111">
        <v>7.28</v>
      </c>
      <c r="BI111">
        <v>2011</v>
      </c>
      <c r="BJ111">
        <v>2</v>
      </c>
      <c r="BL111">
        <v>9</v>
      </c>
      <c r="BN111" t="s">
        <v>113</v>
      </c>
      <c r="BO111" t="s">
        <v>2042</v>
      </c>
      <c r="BP111" t="s">
        <v>2042</v>
      </c>
      <c r="BQ111" t="s">
        <v>2043</v>
      </c>
      <c r="BR111">
        <v>78.0</v>
      </c>
      <c r="BS111">
        <v>7.8</v>
      </c>
      <c r="BT111">
        <v>2013</v>
      </c>
      <c r="BU111">
        <v>14</v>
      </c>
      <c r="BW111">
        <v>7</v>
      </c>
      <c r="BY111" t="s">
        <v>109</v>
      </c>
      <c r="BZ111" t="s">
        <v>2044</v>
      </c>
      <c r="CA111" t="s">
        <v>2045</v>
      </c>
      <c r="CB111" t="s">
        <v>2046</v>
      </c>
      <c r="CF111" t="s">
        <v>113</v>
      </c>
      <c r="CG111" t="s">
        <v>2047</v>
      </c>
      <c r="CH111" t="s">
        <v>2042</v>
      </c>
      <c r="CI111" t="s">
        <v>132</v>
      </c>
      <c r="CJ111">
        <v>2021</v>
      </c>
      <c r="CL111" t="s">
        <v>113</v>
      </c>
      <c r="CN111" t="s">
        <v>109</v>
      </c>
      <c r="CP111" t="s">
        <v>2048</v>
      </c>
      <c r="CQ111" t="s">
        <v>2111</v>
      </c>
      <c r="CR111" t="s">
        <v>136</v>
      </c>
      <c r="CS111" t="str">
        <f>HYPERLINK("https://nconnect.nicmar.ac.in/pdf/180_resume_1771492644.pdf/Y2FyZWVy","View Resume")</f>
        <v>0</v>
      </c>
    </row>
    <row r="112" spans="1:97">
      <c r="A112" t="s">
        <v>137</v>
      </c>
      <c r="B112" t="s">
        <v>138</v>
      </c>
      <c r="C112" t="s">
        <v>139</v>
      </c>
      <c r="D112" t="s">
        <v>140</v>
      </c>
      <c r="E112" t="s">
        <v>2112</v>
      </c>
      <c r="F112" t="s">
        <v>2113</v>
      </c>
      <c r="G112">
        <v>9745606753</v>
      </c>
      <c r="H112" t="s">
        <v>169</v>
      </c>
      <c r="I112" t="s">
        <v>2114</v>
      </c>
      <c r="J112" t="s">
        <v>105</v>
      </c>
      <c r="K112" t="s">
        <v>2115</v>
      </c>
      <c r="L112" t="s">
        <v>2116</v>
      </c>
      <c r="M112" t="s">
        <v>2117</v>
      </c>
      <c r="N112" t="s">
        <v>109</v>
      </c>
      <c r="AI112" t="s">
        <v>2112</v>
      </c>
      <c r="AJ112" t="s">
        <v>2118</v>
      </c>
      <c r="AK112" t="s">
        <v>957</v>
      </c>
      <c r="AL112">
        <v>91.3</v>
      </c>
      <c r="AN112">
        <v>2003</v>
      </c>
      <c r="AO112" t="s">
        <v>113</v>
      </c>
      <c r="AP112" t="s">
        <v>2112</v>
      </c>
      <c r="AQ112" t="s">
        <v>2118</v>
      </c>
      <c r="AR112" t="s">
        <v>277</v>
      </c>
      <c r="AS112">
        <v>82.6</v>
      </c>
      <c r="AU112">
        <v>2005</v>
      </c>
      <c r="AV112" t="s">
        <v>109</v>
      </c>
      <c r="BC112" t="s">
        <v>113</v>
      </c>
      <c r="BD112" t="s">
        <v>2119</v>
      </c>
      <c r="BE112" t="s">
        <v>2120</v>
      </c>
      <c r="BF112" t="s">
        <v>309</v>
      </c>
      <c r="BG112">
        <v>80.8</v>
      </c>
      <c r="BI112">
        <v>2009</v>
      </c>
      <c r="BJ112">
        <v>2</v>
      </c>
      <c r="BL112">
        <v>9</v>
      </c>
      <c r="BN112" t="s">
        <v>113</v>
      </c>
      <c r="BO112" t="s">
        <v>961</v>
      </c>
      <c r="BP112" t="s">
        <v>2121</v>
      </c>
      <c r="BQ112" t="s">
        <v>140</v>
      </c>
      <c r="BR112">
        <v>87.1</v>
      </c>
      <c r="BT112">
        <v>2011</v>
      </c>
      <c r="BU112">
        <v>14</v>
      </c>
      <c r="BW112">
        <v>7</v>
      </c>
      <c r="BY112" t="s">
        <v>109</v>
      </c>
      <c r="CF112" t="s">
        <v>113</v>
      </c>
      <c r="CG112" t="s">
        <v>140</v>
      </c>
      <c r="CH112" t="s">
        <v>2122</v>
      </c>
      <c r="CI112" t="s">
        <v>132</v>
      </c>
      <c r="CJ112">
        <v>2026</v>
      </c>
      <c r="CL112" t="s">
        <v>109</v>
      </c>
      <c r="CN112" t="s">
        <v>109</v>
      </c>
      <c r="CP112" t="s">
        <v>957</v>
      </c>
      <c r="CQ112" t="s">
        <v>2123</v>
      </c>
      <c r="CR112" t="s">
        <v>136</v>
      </c>
      <c r="CS112" t="str">
        <f>HYPERLINK("https://nconnect.nicmar.ac.in/pdf/175_resume_1771493035.pdf/Y2FyZWVy","View Resume")</f>
        <v>0</v>
      </c>
    </row>
    <row r="113" spans="1:97">
      <c r="A113" t="s">
        <v>223</v>
      </c>
      <c r="B113" t="s">
        <v>138</v>
      </c>
      <c r="C113" t="s">
        <v>165</v>
      </c>
      <c r="D113" t="s">
        <v>224</v>
      </c>
      <c r="E113" t="s">
        <v>2124</v>
      </c>
      <c r="F113" t="s">
        <v>2125</v>
      </c>
      <c r="G113">
        <v>9923308583</v>
      </c>
      <c r="H113" t="s">
        <v>169</v>
      </c>
      <c r="I113" t="s">
        <v>2126</v>
      </c>
      <c r="J113" t="s">
        <v>105</v>
      </c>
      <c r="K113" t="s">
        <v>526</v>
      </c>
      <c r="L113" t="s">
        <v>2127</v>
      </c>
      <c r="M113" t="s">
        <v>2128</v>
      </c>
      <c r="N113" t="s">
        <v>109</v>
      </c>
      <c r="AI113" t="s">
        <v>2129</v>
      </c>
      <c r="AJ113" t="s">
        <v>352</v>
      </c>
      <c r="AK113" t="s">
        <v>2130</v>
      </c>
      <c r="AL113">
        <v>87.57</v>
      </c>
      <c r="AN113">
        <v>1995</v>
      </c>
      <c r="AO113" t="s">
        <v>109</v>
      </c>
      <c r="AV113" t="s">
        <v>113</v>
      </c>
      <c r="AW113" t="s">
        <v>2131</v>
      </c>
      <c r="AX113" t="s">
        <v>2132</v>
      </c>
      <c r="AY113" t="s">
        <v>2133</v>
      </c>
      <c r="AZ113">
        <v>57.05</v>
      </c>
      <c r="BB113">
        <v>1998</v>
      </c>
      <c r="BC113" t="s">
        <v>109</v>
      </c>
      <c r="BD113" t="s">
        <v>2134</v>
      </c>
      <c r="BE113" t="s">
        <v>2135</v>
      </c>
      <c r="BF113" t="s">
        <v>2136</v>
      </c>
      <c r="BG113">
        <v>63.1</v>
      </c>
      <c r="BI113">
        <v>2016</v>
      </c>
      <c r="BJ113">
        <v>19</v>
      </c>
      <c r="BL113">
        <v>52</v>
      </c>
      <c r="BN113" t="s">
        <v>113</v>
      </c>
      <c r="BO113" t="s">
        <v>279</v>
      </c>
      <c r="BP113" t="s">
        <v>2137</v>
      </c>
      <c r="BQ113" t="s">
        <v>2138</v>
      </c>
      <c r="BR113">
        <v>66.6</v>
      </c>
      <c r="BT113">
        <v>2017</v>
      </c>
      <c r="BU113">
        <v>31</v>
      </c>
      <c r="BV113" t="s">
        <v>2139</v>
      </c>
      <c r="BW113">
        <v>54</v>
      </c>
      <c r="BY113" t="s">
        <v>113</v>
      </c>
      <c r="BZ113" t="s">
        <v>279</v>
      </c>
      <c r="CA113" t="s">
        <v>2140</v>
      </c>
      <c r="CB113" t="s">
        <v>2141</v>
      </c>
      <c r="CC113">
        <v>63.1</v>
      </c>
      <c r="CE113">
        <v>2016</v>
      </c>
      <c r="CF113" t="s">
        <v>113</v>
      </c>
      <c r="CG113" t="s">
        <v>2142</v>
      </c>
      <c r="CH113" t="s">
        <v>2143</v>
      </c>
      <c r="CI113" t="s">
        <v>132</v>
      </c>
      <c r="CJ113">
        <v>2025</v>
      </c>
      <c r="CL113" t="s">
        <v>113</v>
      </c>
      <c r="CM113" t="s">
        <v>2144</v>
      </c>
      <c r="CN113" t="s">
        <v>113</v>
      </c>
      <c r="CO113" t="s">
        <v>2145</v>
      </c>
      <c r="CP113" t="s">
        <v>2130</v>
      </c>
      <c r="CQ113" t="s">
        <v>2146</v>
      </c>
      <c r="CR113" t="s">
        <v>136</v>
      </c>
      <c r="CS113" t="str">
        <f>HYPERLINK("https://nconnect.nicmar.ac.in/pdf/155_resume_1771492777.pdf/Y2FyZWVy","View Resume")</f>
        <v>0</v>
      </c>
    </row>
    <row r="114" spans="1:97">
      <c r="A114" t="s">
        <v>137</v>
      </c>
      <c r="B114" t="s">
        <v>138</v>
      </c>
      <c r="C114" t="s">
        <v>139</v>
      </c>
      <c r="D114" t="s">
        <v>140</v>
      </c>
      <c r="E114" t="s">
        <v>2147</v>
      </c>
      <c r="F114" t="s">
        <v>2148</v>
      </c>
      <c r="G114">
        <v>9530053240</v>
      </c>
      <c r="H114" t="s">
        <v>169</v>
      </c>
      <c r="I114" t="s">
        <v>2149</v>
      </c>
      <c r="J114" t="s">
        <v>144</v>
      </c>
      <c r="K114" t="s">
        <v>484</v>
      </c>
      <c r="L114" t="s">
        <v>2150</v>
      </c>
      <c r="M114" t="s">
        <v>2151</v>
      </c>
      <c r="N114" t="s">
        <v>109</v>
      </c>
      <c r="AI114" t="s">
        <v>2152</v>
      </c>
      <c r="AJ114" t="s">
        <v>1231</v>
      </c>
      <c r="AK114" t="s">
        <v>2153</v>
      </c>
      <c r="AL114">
        <v>84</v>
      </c>
      <c r="AM114">
        <v>8.4</v>
      </c>
      <c r="AN114">
        <v>2011</v>
      </c>
      <c r="AO114" t="s">
        <v>113</v>
      </c>
      <c r="AP114" t="s">
        <v>2154</v>
      </c>
      <c r="AQ114" t="s">
        <v>1231</v>
      </c>
      <c r="AR114" t="s">
        <v>668</v>
      </c>
      <c r="AS114">
        <v>63</v>
      </c>
      <c r="AU114">
        <v>2013</v>
      </c>
      <c r="AV114" t="s">
        <v>109</v>
      </c>
      <c r="BC114" t="s">
        <v>113</v>
      </c>
      <c r="BD114" t="s">
        <v>2155</v>
      </c>
      <c r="BE114" t="s">
        <v>2156</v>
      </c>
      <c r="BF114" t="s">
        <v>309</v>
      </c>
      <c r="BG114">
        <v>73</v>
      </c>
      <c r="BI114">
        <v>2017</v>
      </c>
      <c r="BJ114">
        <v>1</v>
      </c>
      <c r="BL114">
        <v>9</v>
      </c>
      <c r="BN114" t="s">
        <v>113</v>
      </c>
      <c r="BO114" t="s">
        <v>2155</v>
      </c>
      <c r="BP114" t="s">
        <v>1045</v>
      </c>
      <c r="BQ114" t="s">
        <v>140</v>
      </c>
      <c r="BR114">
        <v>69</v>
      </c>
      <c r="BT114">
        <v>2021</v>
      </c>
      <c r="BU114">
        <v>14</v>
      </c>
      <c r="BW114">
        <v>7</v>
      </c>
      <c r="BY114" t="s">
        <v>113</v>
      </c>
      <c r="BZ114" t="s">
        <v>283</v>
      </c>
      <c r="CA114" t="s">
        <v>2157</v>
      </c>
      <c r="CB114" t="s">
        <v>140</v>
      </c>
      <c r="CC114">
        <v>81</v>
      </c>
      <c r="CD114">
        <v>8.1</v>
      </c>
      <c r="CE114">
        <v>2025</v>
      </c>
      <c r="CF114" t="s">
        <v>113</v>
      </c>
      <c r="CG114" t="s">
        <v>2158</v>
      </c>
      <c r="CH114" t="s">
        <v>2157</v>
      </c>
      <c r="CI114" t="s">
        <v>132</v>
      </c>
      <c r="CJ114">
        <v>2025</v>
      </c>
      <c r="CL114" t="s">
        <v>113</v>
      </c>
      <c r="CM114" t="s">
        <v>2159</v>
      </c>
      <c r="CN114" t="s">
        <v>109</v>
      </c>
      <c r="CP114" t="s">
        <v>2160</v>
      </c>
      <c r="CQ114" t="s">
        <v>2161</v>
      </c>
      <c r="CR114" t="s">
        <v>136</v>
      </c>
      <c r="CS114" t="str">
        <f>HYPERLINK("https://nconnect.nicmar.ac.in/pdf/183_resume_1771493375.pdf/Y2FyZWVy","View Resume")</f>
        <v>0</v>
      </c>
    </row>
    <row r="115" spans="1:97">
      <c r="A115" t="s">
        <v>192</v>
      </c>
      <c r="B115" t="s">
        <v>138</v>
      </c>
      <c r="C115" t="s">
        <v>165</v>
      </c>
      <c r="D115" t="s">
        <v>193</v>
      </c>
      <c r="E115" t="s">
        <v>2162</v>
      </c>
      <c r="F115" t="s">
        <v>2163</v>
      </c>
      <c r="G115">
        <v>9354037599</v>
      </c>
      <c r="H115" t="s">
        <v>169</v>
      </c>
      <c r="I115" t="s">
        <v>2164</v>
      </c>
      <c r="J115" t="s">
        <v>144</v>
      </c>
      <c r="K115" t="s">
        <v>2165</v>
      </c>
      <c r="L115" t="s">
        <v>2166</v>
      </c>
      <c r="M115" t="s">
        <v>2167</v>
      </c>
      <c r="N115" t="s">
        <v>109</v>
      </c>
      <c r="AI115" t="s">
        <v>2168</v>
      </c>
      <c r="AJ115" t="s">
        <v>2169</v>
      </c>
      <c r="AK115" t="s">
        <v>2170</v>
      </c>
      <c r="AL115">
        <v>93.1</v>
      </c>
      <c r="AM115">
        <v>9.8</v>
      </c>
      <c r="AN115">
        <v>2016</v>
      </c>
      <c r="AO115" t="s">
        <v>113</v>
      </c>
      <c r="AP115" t="s">
        <v>2168</v>
      </c>
      <c r="AQ115" t="s">
        <v>2171</v>
      </c>
      <c r="AR115" t="s">
        <v>2172</v>
      </c>
      <c r="AS115">
        <v>91.8</v>
      </c>
      <c r="AU115">
        <v>2018</v>
      </c>
      <c r="AV115" t="s">
        <v>109</v>
      </c>
      <c r="BC115" t="s">
        <v>113</v>
      </c>
      <c r="BD115" t="s">
        <v>2173</v>
      </c>
      <c r="BE115" t="s">
        <v>2174</v>
      </c>
      <c r="BF115" t="s">
        <v>2175</v>
      </c>
      <c r="BG115">
        <v>81.15</v>
      </c>
      <c r="BI115">
        <v>2021</v>
      </c>
      <c r="BJ115">
        <v>19</v>
      </c>
      <c r="BK115" t="s">
        <v>2176</v>
      </c>
      <c r="BL115">
        <v>27</v>
      </c>
      <c r="BN115" t="s">
        <v>113</v>
      </c>
      <c r="BO115" t="s">
        <v>2173</v>
      </c>
      <c r="BP115" t="s">
        <v>2177</v>
      </c>
      <c r="BQ115" t="s">
        <v>2178</v>
      </c>
      <c r="BR115">
        <v>88.15</v>
      </c>
      <c r="BT115">
        <v>2023</v>
      </c>
      <c r="BU115">
        <v>31</v>
      </c>
      <c r="BV115" t="s">
        <v>518</v>
      </c>
      <c r="BW115">
        <v>33</v>
      </c>
      <c r="BY115" t="s">
        <v>109</v>
      </c>
      <c r="CF115" t="s">
        <v>113</v>
      </c>
      <c r="CG115" t="s">
        <v>793</v>
      </c>
      <c r="CH115" t="s">
        <v>2179</v>
      </c>
      <c r="CI115" t="s">
        <v>240</v>
      </c>
      <c r="CK115" t="s">
        <v>109</v>
      </c>
      <c r="CL115" t="s">
        <v>109</v>
      </c>
      <c r="CN115" t="s">
        <v>109</v>
      </c>
      <c r="CO115" t="s">
        <v>2180</v>
      </c>
      <c r="CP115" t="s">
        <v>109</v>
      </c>
      <c r="CQ115" t="s">
        <v>2181</v>
      </c>
      <c r="CR115" t="s">
        <v>136</v>
      </c>
      <c r="CS115" t="str">
        <f>HYPERLINK("https://nconnect.nicmar.ac.in/pdf/185_resume_1771493247.pdf/Y2FyZWVy","View Resume")</f>
        <v>0</v>
      </c>
    </row>
    <row r="116" spans="1:97">
      <c r="A116" t="s">
        <v>190</v>
      </c>
      <c r="B116" t="s">
        <v>138</v>
      </c>
      <c r="C116" t="s">
        <v>139</v>
      </c>
      <c r="D116" t="s">
        <v>191</v>
      </c>
      <c r="E116" t="s">
        <v>2182</v>
      </c>
      <c r="F116" t="s">
        <v>2183</v>
      </c>
      <c r="G116">
        <v>7503106181</v>
      </c>
      <c r="H116" t="s">
        <v>103</v>
      </c>
      <c r="I116" t="s">
        <v>2184</v>
      </c>
      <c r="J116" t="s">
        <v>105</v>
      </c>
      <c r="K116" t="s">
        <v>2185</v>
      </c>
      <c r="L116" t="s">
        <v>2186</v>
      </c>
      <c r="M116" t="s">
        <v>2187</v>
      </c>
      <c r="N116" t="s">
        <v>109</v>
      </c>
      <c r="AI116" t="s">
        <v>2188</v>
      </c>
      <c r="AJ116" t="s">
        <v>2189</v>
      </c>
      <c r="AK116" t="s">
        <v>785</v>
      </c>
      <c r="AL116">
        <v>54</v>
      </c>
      <c r="AN116">
        <v>2001</v>
      </c>
      <c r="AO116" t="s">
        <v>113</v>
      </c>
      <c r="AP116" t="s">
        <v>2190</v>
      </c>
      <c r="AQ116" t="s">
        <v>2189</v>
      </c>
      <c r="AR116" t="s">
        <v>2191</v>
      </c>
      <c r="AS116">
        <v>67</v>
      </c>
      <c r="AU116">
        <v>2004</v>
      </c>
      <c r="AV116" t="s">
        <v>109</v>
      </c>
      <c r="BC116" t="s">
        <v>109</v>
      </c>
      <c r="BD116" t="s">
        <v>2192</v>
      </c>
      <c r="BE116" t="s">
        <v>2193</v>
      </c>
      <c r="BF116" t="s">
        <v>2194</v>
      </c>
      <c r="BG116">
        <v>50</v>
      </c>
      <c r="BI116">
        <v>2007</v>
      </c>
      <c r="BJ116">
        <v>19</v>
      </c>
      <c r="BK116" t="s">
        <v>2195</v>
      </c>
      <c r="BL116">
        <v>53</v>
      </c>
      <c r="BM116" t="s">
        <v>281</v>
      </c>
      <c r="BN116" t="s">
        <v>113</v>
      </c>
      <c r="BO116" t="s">
        <v>2196</v>
      </c>
      <c r="BP116" t="s">
        <v>2197</v>
      </c>
      <c r="BQ116" t="s">
        <v>2198</v>
      </c>
      <c r="BR116">
        <v>67</v>
      </c>
      <c r="BT116">
        <v>2022</v>
      </c>
      <c r="BU116">
        <v>31</v>
      </c>
      <c r="BV116" t="s">
        <v>2199</v>
      </c>
      <c r="BW116">
        <v>24</v>
      </c>
      <c r="BY116" t="s">
        <v>109</v>
      </c>
      <c r="CF116" t="s">
        <v>113</v>
      </c>
      <c r="CG116" t="s">
        <v>2200</v>
      </c>
      <c r="CH116" t="s">
        <v>2201</v>
      </c>
      <c r="CI116" t="s">
        <v>240</v>
      </c>
      <c r="CK116" t="s">
        <v>113</v>
      </c>
      <c r="CL116" t="s">
        <v>109</v>
      </c>
      <c r="CN116" t="s">
        <v>113</v>
      </c>
      <c r="CO116" t="s">
        <v>2202</v>
      </c>
      <c r="CP116" t="s">
        <v>2203</v>
      </c>
      <c r="CQ116" t="s">
        <v>2204</v>
      </c>
      <c r="CR116" t="s">
        <v>136</v>
      </c>
      <c r="CS116" t="str">
        <f>HYPERLINK("https://nconnect.nicmar.ac.in/pdf/198_resume_1771494351.pdf/Y2FyZWVy","View Resume")</f>
        <v>0</v>
      </c>
    </row>
    <row r="117" spans="1:97">
      <c r="A117" t="s">
        <v>846</v>
      </c>
      <c r="B117" t="s">
        <v>138</v>
      </c>
      <c r="C117" t="s">
        <v>165</v>
      </c>
      <c r="D117" t="s">
        <v>847</v>
      </c>
      <c r="E117" t="s">
        <v>2205</v>
      </c>
      <c r="F117" t="s">
        <v>2206</v>
      </c>
      <c r="G117">
        <v>8981173234</v>
      </c>
      <c r="H117" t="s">
        <v>169</v>
      </c>
      <c r="I117" t="s">
        <v>2207</v>
      </c>
      <c r="J117" t="s">
        <v>105</v>
      </c>
      <c r="K117" t="s">
        <v>2208</v>
      </c>
      <c r="L117" t="s">
        <v>2209</v>
      </c>
      <c r="M117" t="s">
        <v>2210</v>
      </c>
      <c r="N117" t="s">
        <v>109</v>
      </c>
      <c r="AI117" t="s">
        <v>2211</v>
      </c>
      <c r="AJ117" t="s">
        <v>2212</v>
      </c>
      <c r="AK117" t="s">
        <v>2213</v>
      </c>
      <c r="AL117">
        <v>54</v>
      </c>
      <c r="AN117">
        <v>2008</v>
      </c>
      <c r="AO117" t="s">
        <v>113</v>
      </c>
      <c r="AP117" t="s">
        <v>2211</v>
      </c>
      <c r="AQ117" t="s">
        <v>2212</v>
      </c>
      <c r="AR117" t="s">
        <v>2214</v>
      </c>
      <c r="AS117">
        <v>72.7</v>
      </c>
      <c r="AU117">
        <v>2010</v>
      </c>
      <c r="AV117" t="s">
        <v>109</v>
      </c>
      <c r="BC117" t="s">
        <v>113</v>
      </c>
      <c r="BD117" t="s">
        <v>2215</v>
      </c>
      <c r="BE117" t="s">
        <v>2216</v>
      </c>
      <c r="BF117" t="s">
        <v>2217</v>
      </c>
      <c r="BG117">
        <v>57.8</v>
      </c>
      <c r="BI117">
        <v>2013</v>
      </c>
      <c r="BJ117">
        <v>19</v>
      </c>
      <c r="BK117" t="s">
        <v>2218</v>
      </c>
      <c r="BL117">
        <v>27</v>
      </c>
      <c r="BN117" t="s">
        <v>113</v>
      </c>
      <c r="BO117" t="s">
        <v>2219</v>
      </c>
      <c r="BP117" t="s">
        <v>2220</v>
      </c>
      <c r="BQ117" t="s">
        <v>2217</v>
      </c>
      <c r="BR117">
        <v>80.8</v>
      </c>
      <c r="BS117">
        <v>10</v>
      </c>
      <c r="BT117">
        <v>2015</v>
      </c>
      <c r="BU117">
        <v>31</v>
      </c>
      <c r="BV117" t="s">
        <v>2221</v>
      </c>
      <c r="BW117">
        <v>53</v>
      </c>
      <c r="BY117" t="s">
        <v>109</v>
      </c>
      <c r="CF117" t="s">
        <v>113</v>
      </c>
      <c r="CG117" t="s">
        <v>2222</v>
      </c>
      <c r="CH117" t="s">
        <v>2219</v>
      </c>
      <c r="CI117" t="s">
        <v>132</v>
      </c>
      <c r="CJ117">
        <v>2021</v>
      </c>
      <c r="CL117" t="s">
        <v>113</v>
      </c>
      <c r="CM117" t="s">
        <v>2223</v>
      </c>
      <c r="CN117" t="s">
        <v>113</v>
      </c>
      <c r="CO117" t="s">
        <v>2224</v>
      </c>
      <c r="CP117" t="s">
        <v>460</v>
      </c>
      <c r="CQ117" t="s">
        <v>2225</v>
      </c>
      <c r="CR117" t="s">
        <v>136</v>
      </c>
      <c r="CS117" t="str">
        <f>HYPERLINK("https://nconnect.nicmar.ac.in/pdf/163_resume_1771494824.pdf/Y2FyZWVy","View Resume")</f>
        <v>0</v>
      </c>
    </row>
    <row r="118" spans="1:97">
      <c r="A118" t="s">
        <v>2108</v>
      </c>
      <c r="B118" t="s">
        <v>138</v>
      </c>
      <c r="C118" t="s">
        <v>99</v>
      </c>
      <c r="D118" t="s">
        <v>2109</v>
      </c>
      <c r="E118" t="s">
        <v>2226</v>
      </c>
      <c r="F118" t="s">
        <v>2227</v>
      </c>
      <c r="G118">
        <v>9305057050</v>
      </c>
      <c r="H118" t="s">
        <v>103</v>
      </c>
      <c r="I118" t="s">
        <v>2228</v>
      </c>
      <c r="J118" t="s">
        <v>144</v>
      </c>
      <c r="K118" t="s">
        <v>2229</v>
      </c>
      <c r="L118" t="s">
        <v>2230</v>
      </c>
      <c r="M118" t="s">
        <v>2231</v>
      </c>
      <c r="N118" t="s">
        <v>109</v>
      </c>
      <c r="AI118" t="s">
        <v>2232</v>
      </c>
      <c r="AJ118" t="s">
        <v>2233</v>
      </c>
      <c r="AK118" t="s">
        <v>2234</v>
      </c>
      <c r="AL118">
        <v>89.3</v>
      </c>
      <c r="AM118">
        <v>9.4</v>
      </c>
      <c r="AN118">
        <v>2011</v>
      </c>
      <c r="AO118" t="s">
        <v>113</v>
      </c>
      <c r="AP118" t="s">
        <v>2235</v>
      </c>
      <c r="AQ118" t="s">
        <v>2236</v>
      </c>
      <c r="AR118" t="s">
        <v>2237</v>
      </c>
      <c r="AS118">
        <v>60</v>
      </c>
      <c r="AU118">
        <v>2013</v>
      </c>
      <c r="AV118" t="s">
        <v>109</v>
      </c>
      <c r="BC118" t="s">
        <v>113</v>
      </c>
      <c r="BD118" t="s">
        <v>2238</v>
      </c>
      <c r="BE118" t="s">
        <v>2238</v>
      </c>
      <c r="BF118" t="s">
        <v>2239</v>
      </c>
      <c r="BG118">
        <v>87.56</v>
      </c>
      <c r="BI118">
        <v>2018</v>
      </c>
      <c r="BJ118">
        <v>1</v>
      </c>
      <c r="BL118">
        <v>9</v>
      </c>
      <c r="BN118" t="s">
        <v>113</v>
      </c>
      <c r="BO118" t="s">
        <v>2240</v>
      </c>
      <c r="BP118" t="s">
        <v>2241</v>
      </c>
      <c r="BQ118" t="s">
        <v>2242</v>
      </c>
      <c r="BR118">
        <v>86</v>
      </c>
      <c r="BS118">
        <v>8.6</v>
      </c>
      <c r="BT118">
        <v>2020</v>
      </c>
      <c r="BU118">
        <v>31</v>
      </c>
      <c r="BV118" t="s">
        <v>2243</v>
      </c>
      <c r="BW118">
        <v>53</v>
      </c>
      <c r="BX118" t="s">
        <v>2242</v>
      </c>
      <c r="BY118" t="s">
        <v>109</v>
      </c>
      <c r="CF118" t="s">
        <v>113</v>
      </c>
      <c r="CG118" t="s">
        <v>2244</v>
      </c>
      <c r="CH118" t="s">
        <v>2240</v>
      </c>
      <c r="CI118" t="s">
        <v>132</v>
      </c>
      <c r="CJ118">
        <v>2024</v>
      </c>
      <c r="CL118" t="s">
        <v>113</v>
      </c>
      <c r="CM118" t="s">
        <v>2245</v>
      </c>
      <c r="CN118" t="s">
        <v>113</v>
      </c>
      <c r="CO118" t="s">
        <v>2246</v>
      </c>
      <c r="CP118" t="s">
        <v>2247</v>
      </c>
      <c r="CQ118" t="s">
        <v>2248</v>
      </c>
      <c r="CR118" t="str">
        <f>HYPERLINK("https://nconnect.nicmar.ac.in/public/storage/profile/6996df2cef55d.png","Download")</f>
        <v>0</v>
      </c>
      <c r="CS118" t="str">
        <f>HYPERLINK("https://nconnect.nicmar.ac.in/pdf/60_resume_1771495059.pdf/Y2FyZWVy","View Resume")</f>
        <v>0</v>
      </c>
    </row>
    <row r="119" spans="1:97">
      <c r="A119" t="s">
        <v>190</v>
      </c>
      <c r="B119" t="s">
        <v>138</v>
      </c>
      <c r="C119" t="s">
        <v>139</v>
      </c>
      <c r="D119" t="s">
        <v>191</v>
      </c>
      <c r="E119" t="s">
        <v>2249</v>
      </c>
      <c r="F119" t="s">
        <v>2250</v>
      </c>
      <c r="G119">
        <v>9977337062</v>
      </c>
      <c r="H119" t="s">
        <v>103</v>
      </c>
      <c r="I119" t="s">
        <v>2251</v>
      </c>
      <c r="J119" t="s">
        <v>144</v>
      </c>
      <c r="K119" t="s">
        <v>484</v>
      </c>
      <c r="L119" t="s">
        <v>2252</v>
      </c>
      <c r="M119" t="s">
        <v>2253</v>
      </c>
      <c r="N119" t="s">
        <v>109</v>
      </c>
      <c r="AI119" t="s">
        <v>2254</v>
      </c>
      <c r="AJ119" t="s">
        <v>2255</v>
      </c>
      <c r="AK119" t="s">
        <v>2256</v>
      </c>
      <c r="AL119">
        <v>85.16</v>
      </c>
      <c r="AN119">
        <v>2013</v>
      </c>
      <c r="AO119" t="s">
        <v>113</v>
      </c>
      <c r="AP119" t="s">
        <v>2257</v>
      </c>
      <c r="AQ119" t="s">
        <v>2255</v>
      </c>
      <c r="AR119" t="s">
        <v>1543</v>
      </c>
      <c r="AS119">
        <v>85.4</v>
      </c>
      <c r="AU119">
        <v>2015</v>
      </c>
      <c r="AV119" t="s">
        <v>109</v>
      </c>
      <c r="BC119" t="s">
        <v>113</v>
      </c>
      <c r="BD119" t="s">
        <v>2258</v>
      </c>
      <c r="BE119" t="s">
        <v>2259</v>
      </c>
      <c r="BF119" t="s">
        <v>2260</v>
      </c>
      <c r="BG119">
        <v>69.24</v>
      </c>
      <c r="BI119">
        <v>2018</v>
      </c>
      <c r="BJ119">
        <v>19</v>
      </c>
      <c r="BK119" t="s">
        <v>2261</v>
      </c>
      <c r="BL119">
        <v>11</v>
      </c>
      <c r="BN119" t="s">
        <v>113</v>
      </c>
      <c r="BO119" t="s">
        <v>2258</v>
      </c>
      <c r="BP119" t="s">
        <v>2259</v>
      </c>
      <c r="BQ119" t="s">
        <v>2262</v>
      </c>
      <c r="BR119">
        <v>76.7</v>
      </c>
      <c r="BS119">
        <v>7.67</v>
      </c>
      <c r="BT119">
        <v>2020</v>
      </c>
      <c r="BU119">
        <v>31</v>
      </c>
      <c r="BV119" t="s">
        <v>285</v>
      </c>
      <c r="BW119">
        <v>53</v>
      </c>
      <c r="BX119" t="s">
        <v>281</v>
      </c>
      <c r="BY119" t="s">
        <v>109</v>
      </c>
      <c r="CF119" t="s">
        <v>113</v>
      </c>
      <c r="CG119" t="s">
        <v>2263</v>
      </c>
      <c r="CH119" t="s">
        <v>2264</v>
      </c>
      <c r="CI119" t="s">
        <v>240</v>
      </c>
      <c r="CK119" t="s">
        <v>113</v>
      </c>
      <c r="CL119" t="s">
        <v>109</v>
      </c>
      <c r="CN119" t="s">
        <v>109</v>
      </c>
      <c r="CP119" t="s">
        <v>2265</v>
      </c>
      <c r="CQ119" t="s">
        <v>2266</v>
      </c>
      <c r="CR119" t="str">
        <f>HYPERLINK("https://nconnect.nicmar.ac.in/public/storage/profile/6996dacd6b524.png","Download")</f>
        <v>0</v>
      </c>
      <c r="CS119" t="str">
        <f>HYPERLINK("https://nconnect.nicmar.ac.in/pdf/203_resume_1771495617.pdf/Y2FyZWVy","View Resume")</f>
        <v>0</v>
      </c>
    </row>
    <row r="120" spans="1:97">
      <c r="A120" t="s">
        <v>223</v>
      </c>
      <c r="B120" t="s">
        <v>138</v>
      </c>
      <c r="C120" t="s">
        <v>165</v>
      </c>
      <c r="D120" t="s">
        <v>224</v>
      </c>
      <c r="E120" t="s">
        <v>2267</v>
      </c>
      <c r="F120" t="s">
        <v>2268</v>
      </c>
      <c r="G120">
        <v>9866081761</v>
      </c>
      <c r="H120" t="s">
        <v>103</v>
      </c>
      <c r="I120" t="s">
        <v>2269</v>
      </c>
      <c r="J120" t="s">
        <v>105</v>
      </c>
      <c r="K120" t="s">
        <v>2270</v>
      </c>
      <c r="L120" t="s">
        <v>2271</v>
      </c>
      <c r="M120" t="s">
        <v>2272</v>
      </c>
      <c r="N120" t="s">
        <v>109</v>
      </c>
      <c r="AI120" t="s">
        <v>2273</v>
      </c>
      <c r="AJ120" t="s">
        <v>2274</v>
      </c>
      <c r="AK120" t="s">
        <v>2275</v>
      </c>
      <c r="AL120">
        <v>67</v>
      </c>
      <c r="AN120">
        <v>1996</v>
      </c>
      <c r="AO120" t="s">
        <v>113</v>
      </c>
      <c r="AP120" t="s">
        <v>2276</v>
      </c>
      <c r="AQ120" t="s">
        <v>2277</v>
      </c>
      <c r="AR120" t="s">
        <v>2278</v>
      </c>
      <c r="AS120">
        <v>55</v>
      </c>
      <c r="AU120">
        <v>1998</v>
      </c>
      <c r="AV120" t="s">
        <v>109</v>
      </c>
      <c r="BC120" t="s">
        <v>113</v>
      </c>
      <c r="BD120" t="s">
        <v>2279</v>
      </c>
      <c r="BE120" t="s">
        <v>2280</v>
      </c>
      <c r="BF120" t="s">
        <v>2281</v>
      </c>
      <c r="BG120">
        <v>64</v>
      </c>
      <c r="BI120">
        <v>2001</v>
      </c>
      <c r="BJ120">
        <v>19</v>
      </c>
      <c r="BK120" t="s">
        <v>2282</v>
      </c>
      <c r="BL120">
        <v>52</v>
      </c>
      <c r="BN120" t="s">
        <v>113</v>
      </c>
      <c r="BO120" t="s">
        <v>2283</v>
      </c>
      <c r="BP120" t="s">
        <v>2284</v>
      </c>
      <c r="BQ120" t="s">
        <v>2285</v>
      </c>
      <c r="BR120">
        <v>66</v>
      </c>
      <c r="BT120">
        <v>2010</v>
      </c>
      <c r="BU120">
        <v>31</v>
      </c>
      <c r="BV120" t="s">
        <v>2286</v>
      </c>
      <c r="BW120">
        <v>53</v>
      </c>
      <c r="BX120" t="s">
        <v>2287</v>
      </c>
      <c r="BY120" t="s">
        <v>113</v>
      </c>
      <c r="BZ120" t="s">
        <v>2288</v>
      </c>
      <c r="CA120" t="s">
        <v>2289</v>
      </c>
      <c r="CB120" t="s">
        <v>2290</v>
      </c>
      <c r="CC120">
        <v>63</v>
      </c>
      <c r="CE120">
        <v>2012</v>
      </c>
      <c r="CF120" t="s">
        <v>113</v>
      </c>
      <c r="CG120" t="s">
        <v>2291</v>
      </c>
      <c r="CH120" t="s">
        <v>2292</v>
      </c>
      <c r="CI120" t="s">
        <v>132</v>
      </c>
      <c r="CJ120">
        <v>2015</v>
      </c>
      <c r="CL120" t="s">
        <v>113</v>
      </c>
      <c r="CM120" t="s">
        <v>2293</v>
      </c>
      <c r="CN120" t="s">
        <v>113</v>
      </c>
      <c r="CO120" t="s">
        <v>2294</v>
      </c>
      <c r="CP120" t="s">
        <v>435</v>
      </c>
      <c r="CQ120" t="s">
        <v>2266</v>
      </c>
      <c r="CR120" t="str">
        <f>HYPERLINK("https://nconnect.nicmar.ac.in/public/storage/profile/6996d1d70d53f.png","Download")</f>
        <v>0</v>
      </c>
      <c r="CS120" t="str">
        <f>HYPERLINK("https://nconnect.nicmar.ac.in/pdf/186_resume_1771495652.pdf/Y2FyZWVy","View Resume")</f>
        <v>0</v>
      </c>
    </row>
    <row r="121" spans="1:97">
      <c r="A121" t="s">
        <v>1203</v>
      </c>
      <c r="B121" t="s">
        <v>138</v>
      </c>
      <c r="C121" t="s">
        <v>165</v>
      </c>
      <c r="D121" t="s">
        <v>1204</v>
      </c>
      <c r="E121" t="s">
        <v>2267</v>
      </c>
      <c r="F121" t="s">
        <v>2268</v>
      </c>
      <c r="G121">
        <v>9866081761</v>
      </c>
      <c r="H121" t="s">
        <v>103</v>
      </c>
      <c r="I121" t="s">
        <v>2269</v>
      </c>
      <c r="J121" t="s">
        <v>105</v>
      </c>
      <c r="K121" t="s">
        <v>2270</v>
      </c>
      <c r="L121" t="s">
        <v>2271</v>
      </c>
      <c r="M121" t="s">
        <v>2272</v>
      </c>
      <c r="N121" t="s">
        <v>109</v>
      </c>
      <c r="AI121" t="s">
        <v>2273</v>
      </c>
      <c r="AJ121" t="s">
        <v>2274</v>
      </c>
      <c r="AK121" t="s">
        <v>2275</v>
      </c>
      <c r="AL121">
        <v>67</v>
      </c>
      <c r="AN121">
        <v>1996</v>
      </c>
      <c r="AO121" t="s">
        <v>113</v>
      </c>
      <c r="AP121" t="s">
        <v>2276</v>
      </c>
      <c r="AQ121" t="s">
        <v>2277</v>
      </c>
      <c r="AR121" t="s">
        <v>2278</v>
      </c>
      <c r="AS121">
        <v>55</v>
      </c>
      <c r="AU121">
        <v>1998</v>
      </c>
      <c r="AV121" t="s">
        <v>109</v>
      </c>
      <c r="BC121" t="s">
        <v>113</v>
      </c>
      <c r="BD121" t="s">
        <v>2279</v>
      </c>
      <c r="BE121" t="s">
        <v>2280</v>
      </c>
      <c r="BF121" t="s">
        <v>2281</v>
      </c>
      <c r="BG121">
        <v>64</v>
      </c>
      <c r="BI121">
        <v>2001</v>
      </c>
      <c r="BJ121">
        <v>19</v>
      </c>
      <c r="BK121" t="s">
        <v>2282</v>
      </c>
      <c r="BL121">
        <v>52</v>
      </c>
      <c r="BN121" t="s">
        <v>113</v>
      </c>
      <c r="BO121" t="s">
        <v>2283</v>
      </c>
      <c r="BP121" t="s">
        <v>2284</v>
      </c>
      <c r="BQ121" t="s">
        <v>2285</v>
      </c>
      <c r="BR121">
        <v>66</v>
      </c>
      <c r="BT121">
        <v>2010</v>
      </c>
      <c r="BU121">
        <v>31</v>
      </c>
      <c r="BV121" t="s">
        <v>2286</v>
      </c>
      <c r="BW121">
        <v>53</v>
      </c>
      <c r="BX121" t="s">
        <v>2287</v>
      </c>
      <c r="BY121" t="s">
        <v>113</v>
      </c>
      <c r="BZ121" t="s">
        <v>2288</v>
      </c>
      <c r="CA121" t="s">
        <v>2289</v>
      </c>
      <c r="CB121" t="s">
        <v>2290</v>
      </c>
      <c r="CC121">
        <v>63</v>
      </c>
      <c r="CE121">
        <v>2012</v>
      </c>
      <c r="CF121" t="s">
        <v>113</v>
      </c>
      <c r="CG121" t="s">
        <v>2291</v>
      </c>
      <c r="CH121" t="s">
        <v>2292</v>
      </c>
      <c r="CI121" t="s">
        <v>132</v>
      </c>
      <c r="CJ121">
        <v>2015</v>
      </c>
      <c r="CL121" t="s">
        <v>113</v>
      </c>
      <c r="CM121" t="s">
        <v>2293</v>
      </c>
      <c r="CN121" t="s">
        <v>113</v>
      </c>
      <c r="CO121" t="s">
        <v>2294</v>
      </c>
      <c r="CP121" t="s">
        <v>435</v>
      </c>
      <c r="CQ121" t="s">
        <v>2295</v>
      </c>
      <c r="CR121" t="str">
        <f>HYPERLINK("https://nconnect.nicmar.ac.in/public/storage/profile/6996d1d70d53f.png","Download")</f>
        <v>0</v>
      </c>
      <c r="CS121" t="str">
        <f>HYPERLINK("https://nconnect.nicmar.ac.in/pdf/186_resume_1771495652.pdf/Y2FyZWVy","View Resume")</f>
        <v>0</v>
      </c>
    </row>
    <row r="122" spans="1:97">
      <c r="A122" t="s">
        <v>372</v>
      </c>
      <c r="B122" t="s">
        <v>98</v>
      </c>
      <c r="C122" t="s">
        <v>165</v>
      </c>
      <c r="D122" t="s">
        <v>224</v>
      </c>
      <c r="E122" t="s">
        <v>2267</v>
      </c>
      <c r="F122" t="s">
        <v>2268</v>
      </c>
      <c r="G122">
        <v>9866081761</v>
      </c>
      <c r="H122" t="s">
        <v>103</v>
      </c>
      <c r="I122" t="s">
        <v>2269</v>
      </c>
      <c r="J122" t="s">
        <v>105</v>
      </c>
      <c r="K122" t="s">
        <v>2270</v>
      </c>
      <c r="L122" t="s">
        <v>2271</v>
      </c>
      <c r="M122" t="s">
        <v>2272</v>
      </c>
      <c r="N122" t="s">
        <v>109</v>
      </c>
      <c r="AI122" t="s">
        <v>2273</v>
      </c>
      <c r="AJ122" t="s">
        <v>2274</v>
      </c>
      <c r="AK122" t="s">
        <v>2275</v>
      </c>
      <c r="AL122">
        <v>67</v>
      </c>
      <c r="AN122">
        <v>1996</v>
      </c>
      <c r="AO122" t="s">
        <v>113</v>
      </c>
      <c r="AP122" t="s">
        <v>2276</v>
      </c>
      <c r="AQ122" t="s">
        <v>2277</v>
      </c>
      <c r="AR122" t="s">
        <v>2278</v>
      </c>
      <c r="AS122">
        <v>55</v>
      </c>
      <c r="AU122">
        <v>1998</v>
      </c>
      <c r="AV122" t="s">
        <v>109</v>
      </c>
      <c r="BC122" t="s">
        <v>113</v>
      </c>
      <c r="BD122" t="s">
        <v>2279</v>
      </c>
      <c r="BE122" t="s">
        <v>2280</v>
      </c>
      <c r="BF122" t="s">
        <v>2281</v>
      </c>
      <c r="BG122">
        <v>64</v>
      </c>
      <c r="BI122">
        <v>2001</v>
      </c>
      <c r="BJ122">
        <v>19</v>
      </c>
      <c r="BK122" t="s">
        <v>2282</v>
      </c>
      <c r="BL122">
        <v>52</v>
      </c>
      <c r="BN122" t="s">
        <v>113</v>
      </c>
      <c r="BO122" t="s">
        <v>2283</v>
      </c>
      <c r="BP122" t="s">
        <v>2284</v>
      </c>
      <c r="BQ122" t="s">
        <v>2285</v>
      </c>
      <c r="BR122">
        <v>66</v>
      </c>
      <c r="BT122">
        <v>2010</v>
      </c>
      <c r="BU122">
        <v>31</v>
      </c>
      <c r="BV122" t="s">
        <v>2286</v>
      </c>
      <c r="BW122">
        <v>53</v>
      </c>
      <c r="BX122" t="s">
        <v>2287</v>
      </c>
      <c r="BY122" t="s">
        <v>113</v>
      </c>
      <c r="BZ122" t="s">
        <v>2288</v>
      </c>
      <c r="CA122" t="s">
        <v>2289</v>
      </c>
      <c r="CB122" t="s">
        <v>2290</v>
      </c>
      <c r="CC122">
        <v>63</v>
      </c>
      <c r="CE122">
        <v>2012</v>
      </c>
      <c r="CF122" t="s">
        <v>113</v>
      </c>
      <c r="CG122" t="s">
        <v>2291</v>
      </c>
      <c r="CH122" t="s">
        <v>2292</v>
      </c>
      <c r="CI122" t="s">
        <v>132</v>
      </c>
      <c r="CJ122">
        <v>2015</v>
      </c>
      <c r="CL122" t="s">
        <v>113</v>
      </c>
      <c r="CM122" t="s">
        <v>2293</v>
      </c>
      <c r="CN122" t="s">
        <v>113</v>
      </c>
      <c r="CO122" t="s">
        <v>2294</v>
      </c>
      <c r="CP122" t="s">
        <v>435</v>
      </c>
      <c r="CQ122" t="s">
        <v>2296</v>
      </c>
      <c r="CR122" t="str">
        <f>HYPERLINK("https://nconnect.nicmar.ac.in/public/storage/profile/6996d1d70d53f.png","Download")</f>
        <v>0</v>
      </c>
      <c r="CS122" t="str">
        <f>HYPERLINK("https://nconnect.nicmar.ac.in/pdf/186_resume_1771495652.pdf/Y2FyZWVy","View Resume")</f>
        <v>0</v>
      </c>
    </row>
    <row r="123" spans="1:97">
      <c r="A123" t="s">
        <v>802</v>
      </c>
      <c r="B123" t="s">
        <v>138</v>
      </c>
      <c r="C123" t="s">
        <v>165</v>
      </c>
      <c r="D123" t="s">
        <v>803</v>
      </c>
      <c r="E123" t="s">
        <v>2267</v>
      </c>
      <c r="F123" t="s">
        <v>2268</v>
      </c>
      <c r="G123">
        <v>9866081761</v>
      </c>
      <c r="H123" t="s">
        <v>103</v>
      </c>
      <c r="I123" t="s">
        <v>2269</v>
      </c>
      <c r="J123" t="s">
        <v>105</v>
      </c>
      <c r="K123" t="s">
        <v>2270</v>
      </c>
      <c r="L123" t="s">
        <v>2271</v>
      </c>
      <c r="M123" t="s">
        <v>2272</v>
      </c>
      <c r="N123" t="s">
        <v>109</v>
      </c>
      <c r="AI123" t="s">
        <v>2273</v>
      </c>
      <c r="AJ123" t="s">
        <v>2274</v>
      </c>
      <c r="AK123" t="s">
        <v>2275</v>
      </c>
      <c r="AL123">
        <v>67</v>
      </c>
      <c r="AN123">
        <v>1996</v>
      </c>
      <c r="AO123" t="s">
        <v>113</v>
      </c>
      <c r="AP123" t="s">
        <v>2276</v>
      </c>
      <c r="AQ123" t="s">
        <v>2277</v>
      </c>
      <c r="AR123" t="s">
        <v>2278</v>
      </c>
      <c r="AS123">
        <v>55</v>
      </c>
      <c r="AU123">
        <v>1998</v>
      </c>
      <c r="AV123" t="s">
        <v>109</v>
      </c>
      <c r="BC123" t="s">
        <v>113</v>
      </c>
      <c r="BD123" t="s">
        <v>2279</v>
      </c>
      <c r="BE123" t="s">
        <v>2280</v>
      </c>
      <c r="BF123" t="s">
        <v>2281</v>
      </c>
      <c r="BG123">
        <v>64</v>
      </c>
      <c r="BI123">
        <v>2001</v>
      </c>
      <c r="BJ123">
        <v>19</v>
      </c>
      <c r="BK123" t="s">
        <v>2282</v>
      </c>
      <c r="BL123">
        <v>52</v>
      </c>
      <c r="BN123" t="s">
        <v>113</v>
      </c>
      <c r="BO123" t="s">
        <v>2283</v>
      </c>
      <c r="BP123" t="s">
        <v>2284</v>
      </c>
      <c r="BQ123" t="s">
        <v>2285</v>
      </c>
      <c r="BR123">
        <v>66</v>
      </c>
      <c r="BT123">
        <v>2010</v>
      </c>
      <c r="BU123">
        <v>31</v>
      </c>
      <c r="BV123" t="s">
        <v>2286</v>
      </c>
      <c r="BW123">
        <v>53</v>
      </c>
      <c r="BX123" t="s">
        <v>2287</v>
      </c>
      <c r="BY123" t="s">
        <v>113</v>
      </c>
      <c r="BZ123" t="s">
        <v>2288</v>
      </c>
      <c r="CA123" t="s">
        <v>2289</v>
      </c>
      <c r="CB123" t="s">
        <v>2290</v>
      </c>
      <c r="CC123">
        <v>63</v>
      </c>
      <c r="CE123">
        <v>2012</v>
      </c>
      <c r="CF123" t="s">
        <v>113</v>
      </c>
      <c r="CG123" t="s">
        <v>2291</v>
      </c>
      <c r="CH123" t="s">
        <v>2292</v>
      </c>
      <c r="CI123" t="s">
        <v>132</v>
      </c>
      <c r="CJ123">
        <v>2015</v>
      </c>
      <c r="CL123" t="s">
        <v>113</v>
      </c>
      <c r="CM123" t="s">
        <v>2293</v>
      </c>
      <c r="CN123" t="s">
        <v>113</v>
      </c>
      <c r="CO123" t="s">
        <v>2294</v>
      </c>
      <c r="CP123" t="s">
        <v>435</v>
      </c>
      <c r="CQ123" t="s">
        <v>2296</v>
      </c>
      <c r="CR123" t="str">
        <f>HYPERLINK("https://nconnect.nicmar.ac.in/public/storage/profile/6996d1d70d53f.png","Download")</f>
        <v>0</v>
      </c>
      <c r="CS123" t="str">
        <f>HYPERLINK("https://nconnect.nicmar.ac.in/pdf/186_resume_1771495652.pdf/Y2FyZWVy","View Resume")</f>
        <v>0</v>
      </c>
    </row>
    <row r="124" spans="1:97">
      <c r="A124" t="s">
        <v>772</v>
      </c>
      <c r="B124" t="s">
        <v>98</v>
      </c>
      <c r="C124" t="s">
        <v>703</v>
      </c>
      <c r="D124" t="s">
        <v>773</v>
      </c>
      <c r="E124" t="s">
        <v>2267</v>
      </c>
      <c r="F124" t="s">
        <v>2268</v>
      </c>
      <c r="G124">
        <v>9866081761</v>
      </c>
      <c r="H124" t="s">
        <v>103</v>
      </c>
      <c r="I124" t="s">
        <v>2269</v>
      </c>
      <c r="J124" t="s">
        <v>105</v>
      </c>
      <c r="K124" t="s">
        <v>2270</v>
      </c>
      <c r="L124" t="s">
        <v>2271</v>
      </c>
      <c r="M124" t="s">
        <v>2272</v>
      </c>
      <c r="N124" t="s">
        <v>109</v>
      </c>
      <c r="AI124" t="s">
        <v>2273</v>
      </c>
      <c r="AJ124" t="s">
        <v>2274</v>
      </c>
      <c r="AK124" t="s">
        <v>2275</v>
      </c>
      <c r="AL124">
        <v>67</v>
      </c>
      <c r="AN124">
        <v>1996</v>
      </c>
      <c r="AO124" t="s">
        <v>113</v>
      </c>
      <c r="AP124" t="s">
        <v>2276</v>
      </c>
      <c r="AQ124" t="s">
        <v>2277</v>
      </c>
      <c r="AR124" t="s">
        <v>2278</v>
      </c>
      <c r="AS124">
        <v>55</v>
      </c>
      <c r="AU124">
        <v>1998</v>
      </c>
      <c r="AV124" t="s">
        <v>109</v>
      </c>
      <c r="BC124" t="s">
        <v>113</v>
      </c>
      <c r="BD124" t="s">
        <v>2279</v>
      </c>
      <c r="BE124" t="s">
        <v>2280</v>
      </c>
      <c r="BF124" t="s">
        <v>2281</v>
      </c>
      <c r="BG124">
        <v>64</v>
      </c>
      <c r="BI124">
        <v>2001</v>
      </c>
      <c r="BJ124">
        <v>19</v>
      </c>
      <c r="BK124" t="s">
        <v>2282</v>
      </c>
      <c r="BL124">
        <v>52</v>
      </c>
      <c r="BN124" t="s">
        <v>113</v>
      </c>
      <c r="BO124" t="s">
        <v>2283</v>
      </c>
      <c r="BP124" t="s">
        <v>2284</v>
      </c>
      <c r="BQ124" t="s">
        <v>2285</v>
      </c>
      <c r="BR124">
        <v>66</v>
      </c>
      <c r="BT124">
        <v>2010</v>
      </c>
      <c r="BU124">
        <v>31</v>
      </c>
      <c r="BV124" t="s">
        <v>2286</v>
      </c>
      <c r="BW124">
        <v>53</v>
      </c>
      <c r="BX124" t="s">
        <v>2287</v>
      </c>
      <c r="BY124" t="s">
        <v>113</v>
      </c>
      <c r="BZ124" t="s">
        <v>2288</v>
      </c>
      <c r="CA124" t="s">
        <v>2289</v>
      </c>
      <c r="CB124" t="s">
        <v>2290</v>
      </c>
      <c r="CC124">
        <v>63</v>
      </c>
      <c r="CE124">
        <v>2012</v>
      </c>
      <c r="CF124" t="s">
        <v>113</v>
      </c>
      <c r="CG124" t="s">
        <v>2291</v>
      </c>
      <c r="CH124" t="s">
        <v>2292</v>
      </c>
      <c r="CI124" t="s">
        <v>132</v>
      </c>
      <c r="CJ124">
        <v>2015</v>
      </c>
      <c r="CL124" t="s">
        <v>113</v>
      </c>
      <c r="CM124" t="s">
        <v>2293</v>
      </c>
      <c r="CN124" t="s">
        <v>113</v>
      </c>
      <c r="CO124" t="s">
        <v>2294</v>
      </c>
      <c r="CP124" t="s">
        <v>435</v>
      </c>
      <c r="CQ124" t="s">
        <v>2297</v>
      </c>
      <c r="CR124" t="str">
        <f>HYPERLINK("https://nconnect.nicmar.ac.in/public/storage/profile/6996d1d70d53f.png","Download")</f>
        <v>0</v>
      </c>
      <c r="CS124" t="str">
        <f>HYPERLINK("https://nconnect.nicmar.ac.in/pdf/186_resume_1771495652.pdf/Y2FyZWVy","View Resume")</f>
        <v>0</v>
      </c>
    </row>
    <row r="125" spans="1:97">
      <c r="A125" t="s">
        <v>192</v>
      </c>
      <c r="B125" t="s">
        <v>138</v>
      </c>
      <c r="C125" t="s">
        <v>165</v>
      </c>
      <c r="D125" t="s">
        <v>193</v>
      </c>
      <c r="E125" t="s">
        <v>2298</v>
      </c>
      <c r="F125" t="s">
        <v>2299</v>
      </c>
      <c r="G125">
        <v>9989865615</v>
      </c>
      <c r="H125" t="s">
        <v>103</v>
      </c>
      <c r="I125" t="s">
        <v>2300</v>
      </c>
      <c r="J125" t="s">
        <v>105</v>
      </c>
      <c r="K125" t="s">
        <v>484</v>
      </c>
      <c r="L125" t="s">
        <v>2301</v>
      </c>
      <c r="M125" t="s">
        <v>2302</v>
      </c>
      <c r="N125" t="s">
        <v>109</v>
      </c>
      <c r="AI125" t="s">
        <v>2303</v>
      </c>
      <c r="AJ125" t="s">
        <v>2304</v>
      </c>
      <c r="AK125" t="s">
        <v>2305</v>
      </c>
      <c r="AL125">
        <v>80</v>
      </c>
      <c r="AN125">
        <v>2001</v>
      </c>
      <c r="AO125" t="s">
        <v>113</v>
      </c>
      <c r="AP125" t="s">
        <v>2306</v>
      </c>
      <c r="AQ125" t="s">
        <v>2307</v>
      </c>
      <c r="AR125" t="s">
        <v>2308</v>
      </c>
      <c r="AS125">
        <v>54</v>
      </c>
      <c r="AU125">
        <v>2003</v>
      </c>
      <c r="AV125" t="s">
        <v>109</v>
      </c>
      <c r="BC125" t="s">
        <v>113</v>
      </c>
      <c r="BD125" t="s">
        <v>2309</v>
      </c>
      <c r="BE125" t="s">
        <v>2310</v>
      </c>
      <c r="BF125" t="s">
        <v>2311</v>
      </c>
      <c r="BG125">
        <v>58</v>
      </c>
      <c r="BI125">
        <v>2007</v>
      </c>
      <c r="BJ125">
        <v>19</v>
      </c>
      <c r="BK125" t="s">
        <v>2312</v>
      </c>
      <c r="BL125">
        <v>33</v>
      </c>
      <c r="BN125" t="s">
        <v>113</v>
      </c>
      <c r="BO125" t="s">
        <v>2309</v>
      </c>
      <c r="BP125" t="s">
        <v>2313</v>
      </c>
      <c r="BQ125" t="s">
        <v>2314</v>
      </c>
      <c r="BR125">
        <v>65</v>
      </c>
      <c r="BT125">
        <v>2009</v>
      </c>
      <c r="BU125">
        <v>31</v>
      </c>
      <c r="BV125" t="s">
        <v>339</v>
      </c>
      <c r="BW125">
        <v>33</v>
      </c>
      <c r="BY125" t="s">
        <v>109</v>
      </c>
      <c r="CF125" t="s">
        <v>113</v>
      </c>
      <c r="CG125" t="s">
        <v>2315</v>
      </c>
      <c r="CH125" t="s">
        <v>2316</v>
      </c>
      <c r="CI125" t="s">
        <v>132</v>
      </c>
      <c r="CJ125">
        <v>2024</v>
      </c>
      <c r="CL125" t="s">
        <v>109</v>
      </c>
      <c r="CN125" t="s">
        <v>113</v>
      </c>
      <c r="CO125" t="s">
        <v>2317</v>
      </c>
      <c r="CP125" t="s">
        <v>2318</v>
      </c>
      <c r="CQ125" t="s">
        <v>2319</v>
      </c>
      <c r="CR125" t="s">
        <v>136</v>
      </c>
      <c r="CS125" t="str">
        <f>HYPERLINK("https://nconnect.nicmar.ac.in/pdf/201_resume_1771496167.pdf/Y2FyZWVy","View Resume")</f>
        <v>0</v>
      </c>
    </row>
    <row r="126" spans="1:97">
      <c r="A126" t="s">
        <v>137</v>
      </c>
      <c r="B126" t="s">
        <v>138</v>
      </c>
      <c r="C126" t="s">
        <v>139</v>
      </c>
      <c r="D126" t="s">
        <v>140</v>
      </c>
      <c r="E126" t="s">
        <v>2320</v>
      </c>
      <c r="F126" t="s">
        <v>2321</v>
      </c>
      <c r="G126">
        <v>7358135699</v>
      </c>
      <c r="H126" t="s">
        <v>103</v>
      </c>
      <c r="I126" t="s">
        <v>2322</v>
      </c>
      <c r="J126" t="s">
        <v>105</v>
      </c>
      <c r="K126" t="s">
        <v>484</v>
      </c>
      <c r="L126" t="s">
        <v>2323</v>
      </c>
      <c r="M126" t="s">
        <v>2324</v>
      </c>
      <c r="N126" t="s">
        <v>109</v>
      </c>
      <c r="AI126" t="s">
        <v>2325</v>
      </c>
      <c r="AJ126" t="s">
        <v>2326</v>
      </c>
      <c r="AK126" t="s">
        <v>957</v>
      </c>
      <c r="AL126">
        <v>83</v>
      </c>
      <c r="AN126">
        <v>2006</v>
      </c>
      <c r="AO126" t="s">
        <v>113</v>
      </c>
      <c r="AP126" t="s">
        <v>2325</v>
      </c>
      <c r="AQ126" t="s">
        <v>2326</v>
      </c>
      <c r="AR126" t="s">
        <v>2327</v>
      </c>
      <c r="AS126">
        <v>84.8</v>
      </c>
      <c r="AU126">
        <v>2008</v>
      </c>
      <c r="AV126" t="s">
        <v>109</v>
      </c>
      <c r="BC126" t="s">
        <v>113</v>
      </c>
      <c r="BD126" t="s">
        <v>2328</v>
      </c>
      <c r="BE126" t="s">
        <v>2329</v>
      </c>
      <c r="BF126" t="s">
        <v>354</v>
      </c>
      <c r="BG126">
        <v>86.6</v>
      </c>
      <c r="BH126">
        <v>8.66</v>
      </c>
      <c r="BI126">
        <v>2012</v>
      </c>
      <c r="BJ126">
        <v>1</v>
      </c>
      <c r="BL126">
        <v>9</v>
      </c>
      <c r="BN126" t="s">
        <v>113</v>
      </c>
      <c r="BO126" t="s">
        <v>2330</v>
      </c>
      <c r="BP126" t="s">
        <v>2330</v>
      </c>
      <c r="BQ126" t="s">
        <v>2043</v>
      </c>
      <c r="BR126">
        <v>80</v>
      </c>
      <c r="BS126">
        <v>8.0</v>
      </c>
      <c r="BT126">
        <v>2015</v>
      </c>
      <c r="BU126">
        <v>14</v>
      </c>
      <c r="BW126">
        <v>47</v>
      </c>
      <c r="BY126" t="s">
        <v>109</v>
      </c>
      <c r="CF126" t="s">
        <v>113</v>
      </c>
      <c r="CG126" t="s">
        <v>2043</v>
      </c>
      <c r="CH126" t="s">
        <v>1636</v>
      </c>
      <c r="CI126" t="s">
        <v>132</v>
      </c>
      <c r="CJ126">
        <v>2023</v>
      </c>
      <c r="CL126" t="s">
        <v>109</v>
      </c>
      <c r="CN126" t="s">
        <v>113</v>
      </c>
      <c r="CO126" t="s">
        <v>2331</v>
      </c>
      <c r="CP126" t="s">
        <v>2332</v>
      </c>
      <c r="CQ126" t="s">
        <v>2333</v>
      </c>
      <c r="CR126" t="s">
        <v>136</v>
      </c>
      <c r="CS126" t="str">
        <f>HYPERLINK("https://nconnect.nicmar.ac.in/pdf/196_resume_1771496637.pdf/Y2FyZWVy","View Resume")</f>
        <v>0</v>
      </c>
    </row>
    <row r="127" spans="1:97">
      <c r="A127" t="s">
        <v>926</v>
      </c>
      <c r="B127" t="s">
        <v>318</v>
      </c>
      <c r="C127" t="s">
        <v>139</v>
      </c>
      <c r="D127" t="s">
        <v>927</v>
      </c>
      <c r="E127" t="s">
        <v>2334</v>
      </c>
      <c r="F127" t="s">
        <v>2335</v>
      </c>
      <c r="G127">
        <v>8105529845</v>
      </c>
      <c r="H127" t="s">
        <v>103</v>
      </c>
      <c r="I127" t="s">
        <v>2336</v>
      </c>
      <c r="J127" t="s">
        <v>105</v>
      </c>
      <c r="K127" t="s">
        <v>2337</v>
      </c>
      <c r="L127" t="s">
        <v>2338</v>
      </c>
      <c r="M127" t="s">
        <v>2339</v>
      </c>
      <c r="N127" t="s">
        <v>109</v>
      </c>
      <c r="AI127" t="s">
        <v>2340</v>
      </c>
      <c r="AJ127" t="s">
        <v>2341</v>
      </c>
      <c r="AK127" t="s">
        <v>782</v>
      </c>
      <c r="AL127">
        <v>81.92</v>
      </c>
      <c r="AN127">
        <v>2005</v>
      </c>
      <c r="AO127" t="s">
        <v>113</v>
      </c>
      <c r="AP127" t="s">
        <v>2342</v>
      </c>
      <c r="AQ127" t="s">
        <v>2343</v>
      </c>
      <c r="AR127" t="s">
        <v>2344</v>
      </c>
      <c r="AS127">
        <v>77.33</v>
      </c>
      <c r="AU127">
        <v>2007</v>
      </c>
      <c r="AV127" t="s">
        <v>109</v>
      </c>
      <c r="BC127" t="s">
        <v>113</v>
      </c>
      <c r="BD127" t="s">
        <v>2345</v>
      </c>
      <c r="BE127" t="s">
        <v>2346</v>
      </c>
      <c r="BF127" t="s">
        <v>309</v>
      </c>
      <c r="BG127">
        <v>82</v>
      </c>
      <c r="BH127">
        <v>8.95</v>
      </c>
      <c r="BI127">
        <v>2011</v>
      </c>
      <c r="BJ127">
        <v>2</v>
      </c>
      <c r="BL127">
        <v>9</v>
      </c>
      <c r="BN127" t="s">
        <v>113</v>
      </c>
      <c r="BO127" t="s">
        <v>2347</v>
      </c>
      <c r="BP127" t="s">
        <v>2348</v>
      </c>
      <c r="BQ127" t="s">
        <v>2349</v>
      </c>
      <c r="BR127">
        <v>81.08</v>
      </c>
      <c r="BT127">
        <v>2013</v>
      </c>
      <c r="BU127">
        <v>12</v>
      </c>
      <c r="BW127">
        <v>14</v>
      </c>
      <c r="BY127" t="s">
        <v>109</v>
      </c>
      <c r="CF127" t="s">
        <v>113</v>
      </c>
      <c r="CG127" t="s">
        <v>2350</v>
      </c>
      <c r="CH127" t="s">
        <v>1405</v>
      </c>
      <c r="CI127" t="s">
        <v>132</v>
      </c>
      <c r="CJ127">
        <v>2019</v>
      </c>
      <c r="CL127" t="s">
        <v>109</v>
      </c>
      <c r="CN127" t="s">
        <v>113</v>
      </c>
      <c r="CO127" t="s">
        <v>2351</v>
      </c>
      <c r="CP127" t="s">
        <v>2352</v>
      </c>
      <c r="CQ127" t="s">
        <v>2353</v>
      </c>
      <c r="CR127" t="str">
        <f>HYPERLINK("https://nconnect.nicmar.ac.in/public/storage/profile/6996e69eac3fd.png","Download")</f>
        <v>0</v>
      </c>
      <c r="CS127" t="str">
        <f>HYPERLINK("https://nconnect.nicmar.ac.in/pdf/207_resume_1771496984.pdf/Y2FyZWVy","View Resume")</f>
        <v>0</v>
      </c>
    </row>
    <row r="128" spans="1:97">
      <c r="A128" t="s">
        <v>137</v>
      </c>
      <c r="B128" t="s">
        <v>138</v>
      </c>
      <c r="C128" t="s">
        <v>139</v>
      </c>
      <c r="D128" t="s">
        <v>140</v>
      </c>
      <c r="E128" t="s">
        <v>2354</v>
      </c>
      <c r="F128" t="s">
        <v>2355</v>
      </c>
      <c r="G128">
        <v>9284469326</v>
      </c>
      <c r="H128" t="s">
        <v>169</v>
      </c>
      <c r="I128" t="s">
        <v>2356</v>
      </c>
      <c r="J128" t="s">
        <v>105</v>
      </c>
      <c r="K128" t="s">
        <v>2357</v>
      </c>
      <c r="L128" t="s">
        <v>2358</v>
      </c>
      <c r="M128" t="s">
        <v>2359</v>
      </c>
      <c r="N128" t="s">
        <v>109</v>
      </c>
      <c r="AI128" t="s">
        <v>2360</v>
      </c>
      <c r="AJ128" t="s">
        <v>2361</v>
      </c>
      <c r="AK128" t="s">
        <v>2362</v>
      </c>
      <c r="AL128">
        <v>83.3</v>
      </c>
      <c r="AN128">
        <v>2000</v>
      </c>
      <c r="AO128" t="s">
        <v>113</v>
      </c>
      <c r="AP128" t="s">
        <v>2360</v>
      </c>
      <c r="AQ128" t="s">
        <v>2363</v>
      </c>
      <c r="AR128" t="s">
        <v>2364</v>
      </c>
      <c r="AS128">
        <v>78.4</v>
      </c>
      <c r="AU128">
        <v>2002</v>
      </c>
      <c r="AV128" t="s">
        <v>109</v>
      </c>
      <c r="BC128" t="s">
        <v>113</v>
      </c>
      <c r="BD128" t="s">
        <v>1366</v>
      </c>
      <c r="BE128" t="s">
        <v>2365</v>
      </c>
      <c r="BF128" t="s">
        <v>2366</v>
      </c>
      <c r="BG128">
        <v>77.6</v>
      </c>
      <c r="BI128">
        <v>2006</v>
      </c>
      <c r="BJ128">
        <v>2</v>
      </c>
      <c r="BL128">
        <v>9</v>
      </c>
      <c r="BN128" t="s">
        <v>113</v>
      </c>
      <c r="BO128" t="s">
        <v>2367</v>
      </c>
      <c r="BP128" t="s">
        <v>2368</v>
      </c>
      <c r="BQ128" t="s">
        <v>2369</v>
      </c>
      <c r="BR128">
        <v>77</v>
      </c>
      <c r="BT128">
        <v>2017</v>
      </c>
      <c r="BU128">
        <v>14</v>
      </c>
      <c r="BW128">
        <v>47</v>
      </c>
      <c r="BY128" t="s">
        <v>109</v>
      </c>
      <c r="CF128" t="s">
        <v>113</v>
      </c>
      <c r="CG128" t="s">
        <v>2370</v>
      </c>
      <c r="CH128" t="s">
        <v>2371</v>
      </c>
      <c r="CI128" t="s">
        <v>132</v>
      </c>
      <c r="CJ128">
        <v>2024</v>
      </c>
      <c r="CL128" t="s">
        <v>109</v>
      </c>
      <c r="CN128" t="s">
        <v>113</v>
      </c>
      <c r="CO128" t="s">
        <v>2372</v>
      </c>
      <c r="CP128" t="s">
        <v>2373</v>
      </c>
      <c r="CQ128" t="s">
        <v>2374</v>
      </c>
      <c r="CR128" t="s">
        <v>136</v>
      </c>
      <c r="CS128" t="str">
        <f>HYPERLINK("https://nconnect.nicmar.ac.in/pdf/204_resume_1771497384.pdf/Y2FyZWVy","View Resume")</f>
        <v>0</v>
      </c>
    </row>
    <row r="129" spans="1:97">
      <c r="A129" t="s">
        <v>192</v>
      </c>
      <c r="B129" t="s">
        <v>138</v>
      </c>
      <c r="C129" t="s">
        <v>165</v>
      </c>
      <c r="D129" t="s">
        <v>193</v>
      </c>
      <c r="E129" t="s">
        <v>2375</v>
      </c>
      <c r="F129" t="s">
        <v>2376</v>
      </c>
      <c r="G129">
        <v>9971448118</v>
      </c>
      <c r="H129" t="s">
        <v>169</v>
      </c>
      <c r="I129" t="s">
        <v>2377</v>
      </c>
      <c r="J129" t="s">
        <v>105</v>
      </c>
      <c r="K129" t="s">
        <v>2378</v>
      </c>
      <c r="L129" t="s">
        <v>2379</v>
      </c>
      <c r="M129" t="s">
        <v>2380</v>
      </c>
      <c r="N129" t="s">
        <v>109</v>
      </c>
      <c r="AI129" t="s">
        <v>2381</v>
      </c>
      <c r="AJ129" t="s">
        <v>2382</v>
      </c>
      <c r="AK129" t="s">
        <v>2383</v>
      </c>
      <c r="AL129">
        <v>50</v>
      </c>
      <c r="AM129">
        <v>5</v>
      </c>
      <c r="AN129">
        <v>2010</v>
      </c>
      <c r="AO129" t="s">
        <v>113</v>
      </c>
      <c r="AP129" t="s">
        <v>2381</v>
      </c>
      <c r="AQ129" t="s">
        <v>2382</v>
      </c>
      <c r="AR129" t="s">
        <v>839</v>
      </c>
      <c r="AS129">
        <v>68</v>
      </c>
      <c r="AT129">
        <v>0</v>
      </c>
      <c r="AU129">
        <v>2012</v>
      </c>
      <c r="AV129" t="s">
        <v>109</v>
      </c>
      <c r="BC129" t="s">
        <v>113</v>
      </c>
      <c r="BD129" t="s">
        <v>515</v>
      </c>
      <c r="BE129" t="s">
        <v>2384</v>
      </c>
      <c r="BF129" t="s">
        <v>839</v>
      </c>
      <c r="BG129">
        <v>67.04</v>
      </c>
      <c r="BI129">
        <v>2015</v>
      </c>
      <c r="BJ129">
        <v>19</v>
      </c>
      <c r="BL129">
        <v>33</v>
      </c>
      <c r="BN129" t="s">
        <v>113</v>
      </c>
      <c r="BO129" t="s">
        <v>2178</v>
      </c>
      <c r="BP129" t="s">
        <v>2385</v>
      </c>
      <c r="BQ129" t="s">
        <v>839</v>
      </c>
      <c r="BR129">
        <v>70.38</v>
      </c>
      <c r="BT129">
        <v>2017</v>
      </c>
      <c r="BU129">
        <v>31</v>
      </c>
      <c r="BW129">
        <v>33</v>
      </c>
      <c r="BY129" t="s">
        <v>109</v>
      </c>
      <c r="CF129" t="s">
        <v>113</v>
      </c>
      <c r="CG129" t="s">
        <v>2386</v>
      </c>
      <c r="CH129" t="s">
        <v>2387</v>
      </c>
      <c r="CI129" t="s">
        <v>132</v>
      </c>
      <c r="CJ129">
        <v>2025</v>
      </c>
      <c r="CL129" t="s">
        <v>109</v>
      </c>
      <c r="CN129" t="s">
        <v>113</v>
      </c>
      <c r="CO129" t="s">
        <v>2388</v>
      </c>
      <c r="CP129" t="s">
        <v>460</v>
      </c>
      <c r="CQ129" t="s">
        <v>2389</v>
      </c>
      <c r="CR129" t="s">
        <v>136</v>
      </c>
      <c r="CS129" t="str">
        <f>HYPERLINK("https://nconnect.nicmar.ac.in/pdf/176_resume_1771497974.pdf/Y2FyZWVy","View Resume")</f>
        <v>0</v>
      </c>
    </row>
    <row r="130" spans="1:97">
      <c r="A130" t="s">
        <v>192</v>
      </c>
      <c r="B130" t="s">
        <v>138</v>
      </c>
      <c r="C130" t="s">
        <v>165</v>
      </c>
      <c r="D130" t="s">
        <v>193</v>
      </c>
      <c r="E130" t="s">
        <v>2267</v>
      </c>
      <c r="F130" t="s">
        <v>2268</v>
      </c>
      <c r="G130">
        <v>9866081761</v>
      </c>
      <c r="H130" t="s">
        <v>103</v>
      </c>
      <c r="I130" t="s">
        <v>2269</v>
      </c>
      <c r="J130" t="s">
        <v>105</v>
      </c>
      <c r="K130" t="s">
        <v>2270</v>
      </c>
      <c r="L130" t="s">
        <v>2271</v>
      </c>
      <c r="M130" t="s">
        <v>2272</v>
      </c>
      <c r="N130" t="s">
        <v>109</v>
      </c>
      <c r="AI130" t="s">
        <v>2273</v>
      </c>
      <c r="AJ130" t="s">
        <v>2274</v>
      </c>
      <c r="AK130" t="s">
        <v>2275</v>
      </c>
      <c r="AL130">
        <v>67</v>
      </c>
      <c r="AN130">
        <v>1996</v>
      </c>
      <c r="AO130" t="s">
        <v>113</v>
      </c>
      <c r="AP130" t="s">
        <v>2276</v>
      </c>
      <c r="AQ130" t="s">
        <v>2277</v>
      </c>
      <c r="AR130" t="s">
        <v>2278</v>
      </c>
      <c r="AS130">
        <v>55</v>
      </c>
      <c r="AU130">
        <v>1998</v>
      </c>
      <c r="AV130" t="s">
        <v>109</v>
      </c>
      <c r="BC130" t="s">
        <v>113</v>
      </c>
      <c r="BD130" t="s">
        <v>2279</v>
      </c>
      <c r="BE130" t="s">
        <v>2280</v>
      </c>
      <c r="BF130" t="s">
        <v>2281</v>
      </c>
      <c r="BG130">
        <v>64</v>
      </c>
      <c r="BI130">
        <v>2001</v>
      </c>
      <c r="BJ130">
        <v>19</v>
      </c>
      <c r="BK130" t="s">
        <v>2282</v>
      </c>
      <c r="BL130">
        <v>52</v>
      </c>
      <c r="BN130" t="s">
        <v>113</v>
      </c>
      <c r="BO130" t="s">
        <v>2283</v>
      </c>
      <c r="BP130" t="s">
        <v>2284</v>
      </c>
      <c r="BQ130" t="s">
        <v>2285</v>
      </c>
      <c r="BR130">
        <v>66</v>
      </c>
      <c r="BT130">
        <v>2010</v>
      </c>
      <c r="BU130">
        <v>31</v>
      </c>
      <c r="BV130" t="s">
        <v>2286</v>
      </c>
      <c r="BW130">
        <v>53</v>
      </c>
      <c r="BX130" t="s">
        <v>2287</v>
      </c>
      <c r="BY130" t="s">
        <v>113</v>
      </c>
      <c r="BZ130" t="s">
        <v>2288</v>
      </c>
      <c r="CA130" t="s">
        <v>2289</v>
      </c>
      <c r="CB130" t="s">
        <v>2290</v>
      </c>
      <c r="CC130">
        <v>63</v>
      </c>
      <c r="CE130">
        <v>2012</v>
      </c>
      <c r="CF130" t="s">
        <v>113</v>
      </c>
      <c r="CG130" t="s">
        <v>2291</v>
      </c>
      <c r="CH130" t="s">
        <v>2292</v>
      </c>
      <c r="CI130" t="s">
        <v>132</v>
      </c>
      <c r="CJ130">
        <v>2015</v>
      </c>
      <c r="CL130" t="s">
        <v>113</v>
      </c>
      <c r="CM130" t="s">
        <v>2293</v>
      </c>
      <c r="CN130" t="s">
        <v>113</v>
      </c>
      <c r="CO130" t="s">
        <v>2294</v>
      </c>
      <c r="CP130" t="s">
        <v>435</v>
      </c>
      <c r="CQ130" t="s">
        <v>2390</v>
      </c>
      <c r="CR130" t="str">
        <f>HYPERLINK("https://nconnect.nicmar.ac.in/public/storage/profile/6996d1d70d53f.png","Download")</f>
        <v>0</v>
      </c>
      <c r="CS130" t="str">
        <f>HYPERLINK("https://nconnect.nicmar.ac.in/pdf/186_resume_1771495652.pdf/Y2FyZWVy","View Resume")</f>
        <v>0</v>
      </c>
    </row>
    <row r="131" spans="1:97">
      <c r="A131" t="s">
        <v>702</v>
      </c>
      <c r="B131" t="s">
        <v>138</v>
      </c>
      <c r="C131" t="s">
        <v>703</v>
      </c>
      <c r="D131" t="s">
        <v>704</v>
      </c>
      <c r="E131" t="s">
        <v>2391</v>
      </c>
      <c r="F131" t="s">
        <v>2392</v>
      </c>
      <c r="G131">
        <v>8351873002</v>
      </c>
      <c r="H131" t="s">
        <v>103</v>
      </c>
      <c r="I131" t="s">
        <v>2393</v>
      </c>
      <c r="J131" t="s">
        <v>105</v>
      </c>
      <c r="K131" t="s">
        <v>484</v>
      </c>
      <c r="L131" t="s">
        <v>2394</v>
      </c>
      <c r="M131" t="s">
        <v>2395</v>
      </c>
      <c r="N131" t="s">
        <v>109</v>
      </c>
      <c r="AI131" t="s">
        <v>2396</v>
      </c>
      <c r="AJ131" t="s">
        <v>2397</v>
      </c>
      <c r="AK131" t="s">
        <v>2398</v>
      </c>
      <c r="AL131">
        <v>80</v>
      </c>
      <c r="AN131">
        <v>2008</v>
      </c>
      <c r="AO131" t="s">
        <v>113</v>
      </c>
      <c r="AP131" t="s">
        <v>2399</v>
      </c>
      <c r="AQ131" t="s">
        <v>2400</v>
      </c>
      <c r="AR131" t="s">
        <v>2401</v>
      </c>
      <c r="AS131">
        <v>77.4</v>
      </c>
      <c r="AU131">
        <v>2010</v>
      </c>
      <c r="AV131" t="s">
        <v>109</v>
      </c>
      <c r="BC131" t="s">
        <v>113</v>
      </c>
      <c r="BD131" t="s">
        <v>2402</v>
      </c>
      <c r="BE131" t="s">
        <v>2403</v>
      </c>
      <c r="BF131" t="s">
        <v>309</v>
      </c>
      <c r="BG131">
        <v>72</v>
      </c>
      <c r="BI131">
        <v>2015</v>
      </c>
      <c r="BJ131">
        <v>1</v>
      </c>
      <c r="BL131">
        <v>9</v>
      </c>
      <c r="BN131" t="s">
        <v>113</v>
      </c>
      <c r="BO131" t="s">
        <v>1174</v>
      </c>
      <c r="BP131" t="s">
        <v>1197</v>
      </c>
      <c r="BQ131" t="s">
        <v>2404</v>
      </c>
      <c r="BR131">
        <v>86.1</v>
      </c>
      <c r="BS131">
        <v>8.61</v>
      </c>
      <c r="BT131">
        <v>2017</v>
      </c>
      <c r="BU131">
        <v>16</v>
      </c>
      <c r="BW131">
        <v>49</v>
      </c>
      <c r="BY131" t="s">
        <v>109</v>
      </c>
      <c r="CF131" t="s">
        <v>113</v>
      </c>
      <c r="CG131" t="s">
        <v>2405</v>
      </c>
      <c r="CH131" t="s">
        <v>2406</v>
      </c>
      <c r="CI131" t="s">
        <v>132</v>
      </c>
      <c r="CJ131">
        <v>2025</v>
      </c>
      <c r="CL131" t="s">
        <v>109</v>
      </c>
      <c r="CN131" t="s">
        <v>113</v>
      </c>
      <c r="CO131" t="s">
        <v>2407</v>
      </c>
      <c r="CP131" t="s">
        <v>2408</v>
      </c>
      <c r="CQ131" t="s">
        <v>2409</v>
      </c>
      <c r="CR131" t="s">
        <v>136</v>
      </c>
      <c r="CS131" t="str">
        <f>HYPERLINK("https://nconnect.nicmar.ac.in/pdf/206_resume_1771498954.pdf/Y2FyZWVy","View Resume")</f>
        <v>0</v>
      </c>
    </row>
    <row r="132" spans="1:97">
      <c r="A132" t="s">
        <v>926</v>
      </c>
      <c r="B132" t="s">
        <v>318</v>
      </c>
      <c r="C132" t="s">
        <v>139</v>
      </c>
      <c r="D132" t="s">
        <v>927</v>
      </c>
      <c r="E132" t="s">
        <v>2410</v>
      </c>
      <c r="F132" t="s">
        <v>2411</v>
      </c>
      <c r="G132">
        <v>7510343974</v>
      </c>
      <c r="H132" t="s">
        <v>169</v>
      </c>
      <c r="I132" t="s">
        <v>2412</v>
      </c>
      <c r="J132" t="s">
        <v>144</v>
      </c>
      <c r="K132" t="s">
        <v>2413</v>
      </c>
      <c r="L132" t="s">
        <v>2414</v>
      </c>
      <c r="M132" t="s">
        <v>2415</v>
      </c>
      <c r="N132" t="s">
        <v>109</v>
      </c>
      <c r="AI132" t="s">
        <v>2416</v>
      </c>
      <c r="AJ132" t="s">
        <v>2417</v>
      </c>
      <c r="AK132" t="s">
        <v>2418</v>
      </c>
      <c r="AL132">
        <v>92</v>
      </c>
      <c r="AN132">
        <v>2017</v>
      </c>
      <c r="AO132" t="s">
        <v>109</v>
      </c>
      <c r="AV132" t="s">
        <v>113</v>
      </c>
      <c r="AW132" t="s">
        <v>156</v>
      </c>
      <c r="AX132" t="s">
        <v>2419</v>
      </c>
      <c r="AY132" t="s">
        <v>2420</v>
      </c>
      <c r="AZ132">
        <v>78.3</v>
      </c>
      <c r="BA132">
        <v>7.83</v>
      </c>
      <c r="BB132">
        <v>2020</v>
      </c>
      <c r="BC132" t="s">
        <v>113</v>
      </c>
      <c r="BD132" t="s">
        <v>2421</v>
      </c>
      <c r="BE132" t="s">
        <v>2422</v>
      </c>
      <c r="BF132" t="s">
        <v>2423</v>
      </c>
      <c r="BG132">
        <v>78.6</v>
      </c>
      <c r="BH132">
        <v>7.86</v>
      </c>
      <c r="BI132">
        <v>2023</v>
      </c>
      <c r="BJ132">
        <v>1</v>
      </c>
      <c r="BL132">
        <v>9</v>
      </c>
      <c r="BN132" t="s">
        <v>113</v>
      </c>
      <c r="BO132" t="s">
        <v>2421</v>
      </c>
      <c r="BP132" t="s">
        <v>2424</v>
      </c>
      <c r="BQ132" t="s">
        <v>2425</v>
      </c>
      <c r="BR132">
        <v>91.8</v>
      </c>
      <c r="BS132">
        <v>9.18</v>
      </c>
      <c r="BT132">
        <v>2025</v>
      </c>
      <c r="BU132">
        <v>31</v>
      </c>
      <c r="BV132" t="s">
        <v>2426</v>
      </c>
      <c r="BW132">
        <v>53</v>
      </c>
      <c r="BX132" t="s">
        <v>2426</v>
      </c>
      <c r="BY132" t="s">
        <v>109</v>
      </c>
      <c r="CF132" t="s">
        <v>109</v>
      </c>
      <c r="CL132" t="s">
        <v>113</v>
      </c>
      <c r="CM132" t="s">
        <v>2427</v>
      </c>
      <c r="CN132" t="s">
        <v>113</v>
      </c>
      <c r="CO132" t="s">
        <v>2428</v>
      </c>
      <c r="CP132" t="s">
        <v>2429</v>
      </c>
      <c r="CQ132" t="s">
        <v>2430</v>
      </c>
      <c r="CR132" t="str">
        <f>HYPERLINK("https://nconnect.nicmar.ac.in/public/storage/profile/6996d821e044e.png","Download")</f>
        <v>0</v>
      </c>
      <c r="CS132" t="str">
        <f>HYPERLINK("https://nconnect.nicmar.ac.in/pdf/205_resume_1771498968.pdf/Y2FyZWVy","View Resume")</f>
        <v>0</v>
      </c>
    </row>
    <row r="133" spans="1:97">
      <c r="A133" t="s">
        <v>192</v>
      </c>
      <c r="B133" t="s">
        <v>138</v>
      </c>
      <c r="C133" t="s">
        <v>165</v>
      </c>
      <c r="D133" t="s">
        <v>193</v>
      </c>
      <c r="E133" t="s">
        <v>2431</v>
      </c>
      <c r="F133" t="s">
        <v>2432</v>
      </c>
      <c r="G133">
        <v>8319574468</v>
      </c>
      <c r="H133" t="s">
        <v>103</v>
      </c>
      <c r="I133" t="s">
        <v>2433</v>
      </c>
      <c r="J133" t="s">
        <v>105</v>
      </c>
      <c r="K133" t="s">
        <v>484</v>
      </c>
      <c r="L133" t="s">
        <v>2434</v>
      </c>
      <c r="M133" t="s">
        <v>2435</v>
      </c>
      <c r="N133" t="s">
        <v>109</v>
      </c>
      <c r="AI133" t="s">
        <v>2436</v>
      </c>
      <c r="AJ133" t="s">
        <v>2437</v>
      </c>
      <c r="AK133" t="s">
        <v>1212</v>
      </c>
      <c r="AL133">
        <v>61</v>
      </c>
      <c r="AN133">
        <v>1994</v>
      </c>
      <c r="AO133" t="s">
        <v>113</v>
      </c>
      <c r="AP133" t="s">
        <v>2438</v>
      </c>
      <c r="AQ133" t="s">
        <v>2439</v>
      </c>
      <c r="AR133" t="s">
        <v>668</v>
      </c>
      <c r="AS133">
        <v>51</v>
      </c>
      <c r="AU133">
        <v>1996</v>
      </c>
      <c r="AV133" t="s">
        <v>113</v>
      </c>
      <c r="AW133" t="s">
        <v>641</v>
      </c>
      <c r="AX133" t="s">
        <v>2440</v>
      </c>
      <c r="AY133" t="s">
        <v>2441</v>
      </c>
      <c r="AZ133">
        <v>61.5</v>
      </c>
      <c r="BB133">
        <v>2005</v>
      </c>
      <c r="BC133" t="s">
        <v>113</v>
      </c>
      <c r="BD133" t="s">
        <v>2442</v>
      </c>
      <c r="BE133" t="s">
        <v>2443</v>
      </c>
      <c r="BF133" t="s">
        <v>2444</v>
      </c>
      <c r="BG133">
        <v>64.3</v>
      </c>
      <c r="BI133">
        <v>2000</v>
      </c>
      <c r="BJ133">
        <v>19</v>
      </c>
      <c r="BK133" t="s">
        <v>2445</v>
      </c>
      <c r="BL133">
        <v>20</v>
      </c>
      <c r="BM133" t="s">
        <v>2446</v>
      </c>
      <c r="BN133" t="s">
        <v>113</v>
      </c>
      <c r="BO133" t="s">
        <v>1902</v>
      </c>
      <c r="BP133" t="s">
        <v>2447</v>
      </c>
      <c r="BQ133" t="s">
        <v>2448</v>
      </c>
      <c r="BR133">
        <v>61.08</v>
      </c>
      <c r="BT133">
        <v>2015</v>
      </c>
      <c r="BU133">
        <v>31</v>
      </c>
      <c r="BV133" t="s">
        <v>2449</v>
      </c>
      <c r="BW133">
        <v>33</v>
      </c>
      <c r="BX133" t="s">
        <v>2448</v>
      </c>
      <c r="BY133" t="s">
        <v>109</v>
      </c>
      <c r="CF133" t="s">
        <v>113</v>
      </c>
      <c r="CG133" t="s">
        <v>2450</v>
      </c>
      <c r="CH133" t="s">
        <v>2451</v>
      </c>
      <c r="CI133" t="s">
        <v>132</v>
      </c>
      <c r="CJ133">
        <v>2024</v>
      </c>
      <c r="CL133" t="s">
        <v>113</v>
      </c>
      <c r="CM133" t="s">
        <v>2452</v>
      </c>
      <c r="CN133" t="s">
        <v>109</v>
      </c>
      <c r="CP133" t="s">
        <v>397</v>
      </c>
      <c r="CQ133" t="s">
        <v>2453</v>
      </c>
      <c r="CR133" t="s">
        <v>136</v>
      </c>
      <c r="CS133" t="str">
        <f>HYPERLINK("https://nconnect.nicmar.ac.in/pdf/208_resume_1771499284.pdf/Y2FyZWVy","View Resume")</f>
        <v>0</v>
      </c>
    </row>
    <row r="134" spans="1:97">
      <c r="A134" t="s">
        <v>370</v>
      </c>
      <c r="B134" t="s">
        <v>138</v>
      </c>
      <c r="C134" t="s">
        <v>295</v>
      </c>
      <c r="D134" t="s">
        <v>371</v>
      </c>
      <c r="E134" t="s">
        <v>2454</v>
      </c>
      <c r="F134" t="s">
        <v>2455</v>
      </c>
      <c r="G134">
        <v>7276371776</v>
      </c>
      <c r="H134" t="s">
        <v>103</v>
      </c>
      <c r="I134" t="s">
        <v>2456</v>
      </c>
      <c r="J134" t="s">
        <v>144</v>
      </c>
      <c r="K134" t="s">
        <v>2457</v>
      </c>
      <c r="L134" t="s">
        <v>2458</v>
      </c>
      <c r="M134" t="s">
        <v>2459</v>
      </c>
      <c r="N134" t="s">
        <v>109</v>
      </c>
      <c r="AI134" t="s">
        <v>2460</v>
      </c>
      <c r="AJ134" t="s">
        <v>2461</v>
      </c>
      <c r="AK134" t="s">
        <v>2462</v>
      </c>
      <c r="AL134">
        <v>83.09</v>
      </c>
      <c r="AN134">
        <v>2010</v>
      </c>
      <c r="AO134" t="s">
        <v>113</v>
      </c>
      <c r="AP134" t="s">
        <v>2463</v>
      </c>
      <c r="AQ134" t="s">
        <v>2461</v>
      </c>
      <c r="AR134" t="s">
        <v>2464</v>
      </c>
      <c r="AS134">
        <v>62.5</v>
      </c>
      <c r="AU134">
        <v>2014</v>
      </c>
      <c r="AV134" t="s">
        <v>109</v>
      </c>
      <c r="BC134" t="s">
        <v>113</v>
      </c>
      <c r="BD134" t="s">
        <v>2465</v>
      </c>
      <c r="BE134" t="s">
        <v>2466</v>
      </c>
      <c r="BF134" t="s">
        <v>2467</v>
      </c>
      <c r="BG134">
        <v>65.7</v>
      </c>
      <c r="BH134">
        <v>7.32</v>
      </c>
      <c r="BI134">
        <v>2018</v>
      </c>
      <c r="BJ134">
        <v>2</v>
      </c>
      <c r="BL134">
        <v>9</v>
      </c>
      <c r="BN134" t="s">
        <v>113</v>
      </c>
      <c r="BO134" t="s">
        <v>2468</v>
      </c>
      <c r="BP134" t="s">
        <v>2468</v>
      </c>
      <c r="BQ134" t="s">
        <v>2469</v>
      </c>
      <c r="BR134">
        <v>77</v>
      </c>
      <c r="BS134">
        <v>7.7</v>
      </c>
      <c r="BT134">
        <v>2020</v>
      </c>
      <c r="BU134">
        <v>8</v>
      </c>
      <c r="BW134">
        <v>13</v>
      </c>
      <c r="BY134" t="s">
        <v>109</v>
      </c>
      <c r="CF134" t="s">
        <v>109</v>
      </c>
      <c r="CJ134">
        <v>2026</v>
      </c>
      <c r="CL134" t="s">
        <v>109</v>
      </c>
      <c r="CN134" t="s">
        <v>113</v>
      </c>
      <c r="CO134" t="s">
        <v>2470</v>
      </c>
      <c r="CP134" t="s">
        <v>2471</v>
      </c>
      <c r="CQ134" t="s">
        <v>2472</v>
      </c>
      <c r="CR134" t="str">
        <f>HYPERLINK("https://nconnect.nicmar.ac.in/public/storage/profile/6996ea569c447.png","Download")</f>
        <v>0</v>
      </c>
      <c r="CS134" t="str">
        <f>HYPERLINK("https://nconnect.nicmar.ac.in/pdf/222_resume_1771500353.pdf/Y2FyZWVy","View Resume")</f>
        <v>0</v>
      </c>
    </row>
    <row r="135" spans="1:97">
      <c r="A135" t="s">
        <v>317</v>
      </c>
      <c r="B135" t="s">
        <v>318</v>
      </c>
      <c r="C135" t="s">
        <v>165</v>
      </c>
      <c r="D135" t="s">
        <v>319</v>
      </c>
      <c r="E135" t="s">
        <v>2473</v>
      </c>
      <c r="F135" t="s">
        <v>2474</v>
      </c>
      <c r="G135">
        <v>9763979704</v>
      </c>
      <c r="H135" t="s">
        <v>103</v>
      </c>
      <c r="I135" t="s">
        <v>2475</v>
      </c>
      <c r="J135" t="s">
        <v>105</v>
      </c>
      <c r="K135" t="s">
        <v>2476</v>
      </c>
      <c r="L135" t="s">
        <v>2477</v>
      </c>
      <c r="M135" t="s">
        <v>2478</v>
      </c>
      <c r="N135" t="s">
        <v>109</v>
      </c>
      <c r="AI135" t="s">
        <v>2479</v>
      </c>
      <c r="AJ135" t="s">
        <v>2480</v>
      </c>
      <c r="AK135" t="s">
        <v>2481</v>
      </c>
      <c r="AL135">
        <v>55.46</v>
      </c>
      <c r="AM135">
        <v>0</v>
      </c>
      <c r="AN135">
        <v>1996</v>
      </c>
      <c r="AO135" t="s">
        <v>113</v>
      </c>
      <c r="AP135" t="s">
        <v>2482</v>
      </c>
      <c r="AQ135" t="s">
        <v>2483</v>
      </c>
      <c r="AR135" t="s">
        <v>2484</v>
      </c>
      <c r="AS135">
        <v>55.5</v>
      </c>
      <c r="AU135">
        <v>1998</v>
      </c>
      <c r="AV135" t="s">
        <v>109</v>
      </c>
      <c r="BC135" t="s">
        <v>113</v>
      </c>
      <c r="BD135" t="s">
        <v>515</v>
      </c>
      <c r="BE135" t="s">
        <v>2485</v>
      </c>
      <c r="BF135" t="s">
        <v>2486</v>
      </c>
      <c r="BG135">
        <v>1138</v>
      </c>
      <c r="BI135">
        <v>2002</v>
      </c>
      <c r="BJ135">
        <v>19</v>
      </c>
      <c r="BK135" t="s">
        <v>515</v>
      </c>
      <c r="BL135">
        <v>53</v>
      </c>
      <c r="BM135" t="s">
        <v>2487</v>
      </c>
      <c r="BN135" t="s">
        <v>113</v>
      </c>
      <c r="BO135" t="s">
        <v>2488</v>
      </c>
      <c r="BP135" t="s">
        <v>2485</v>
      </c>
      <c r="BQ135" t="s">
        <v>1212</v>
      </c>
      <c r="BR135">
        <v>68.5</v>
      </c>
      <c r="BT135">
        <v>2005</v>
      </c>
      <c r="BU135">
        <v>31</v>
      </c>
      <c r="BV135" t="s">
        <v>518</v>
      </c>
      <c r="BW135">
        <v>24</v>
      </c>
      <c r="BY135" t="s">
        <v>113</v>
      </c>
      <c r="BZ135" t="s">
        <v>2489</v>
      </c>
      <c r="CA135" t="s">
        <v>2490</v>
      </c>
      <c r="CB135" t="s">
        <v>338</v>
      </c>
      <c r="CC135">
        <v>62.5</v>
      </c>
      <c r="CE135">
        <v>2009</v>
      </c>
      <c r="CF135" t="s">
        <v>113</v>
      </c>
      <c r="CG135" t="s">
        <v>2491</v>
      </c>
      <c r="CH135" t="s">
        <v>2492</v>
      </c>
      <c r="CI135" t="s">
        <v>132</v>
      </c>
      <c r="CJ135">
        <v>2022</v>
      </c>
      <c r="CL135" t="s">
        <v>113</v>
      </c>
      <c r="CM135" t="s">
        <v>2493</v>
      </c>
      <c r="CN135" t="s">
        <v>113</v>
      </c>
      <c r="CO135" t="s">
        <v>2494</v>
      </c>
      <c r="CP135" t="s">
        <v>435</v>
      </c>
      <c r="CQ135" t="s">
        <v>2495</v>
      </c>
      <c r="CR135" t="s">
        <v>136</v>
      </c>
      <c r="CS135" t="str">
        <f>HYPERLINK("https://nconnect.nicmar.ac.in/pdf/209_resume_1771500235.pdf/Y2FyZWVy","View Resume")</f>
        <v>0</v>
      </c>
    </row>
    <row r="136" spans="1:97">
      <c r="A136" t="s">
        <v>164</v>
      </c>
      <c r="B136" t="s">
        <v>138</v>
      </c>
      <c r="C136" t="s">
        <v>165</v>
      </c>
      <c r="D136" t="s">
        <v>166</v>
      </c>
      <c r="E136" t="s">
        <v>2496</v>
      </c>
      <c r="F136" t="s">
        <v>2497</v>
      </c>
      <c r="G136">
        <v>9923752421</v>
      </c>
      <c r="H136" t="s">
        <v>103</v>
      </c>
      <c r="I136" t="s">
        <v>2498</v>
      </c>
      <c r="J136" t="s">
        <v>105</v>
      </c>
      <c r="K136" t="s">
        <v>484</v>
      </c>
      <c r="L136" t="s">
        <v>2499</v>
      </c>
      <c r="M136" t="s">
        <v>2500</v>
      </c>
      <c r="N136" t="s">
        <v>109</v>
      </c>
      <c r="AI136" t="s">
        <v>2501</v>
      </c>
      <c r="AJ136" t="s">
        <v>2189</v>
      </c>
      <c r="AK136" t="s">
        <v>145</v>
      </c>
      <c r="AL136">
        <v>68</v>
      </c>
      <c r="AN136">
        <v>1980</v>
      </c>
      <c r="AO136" t="s">
        <v>113</v>
      </c>
      <c r="AP136" t="s">
        <v>2502</v>
      </c>
      <c r="AQ136" t="s">
        <v>2189</v>
      </c>
      <c r="AR136" t="s">
        <v>228</v>
      </c>
      <c r="AS136">
        <v>5.8</v>
      </c>
      <c r="AU136">
        <v>1982</v>
      </c>
      <c r="AV136" t="s">
        <v>113</v>
      </c>
      <c r="AW136" t="s">
        <v>2503</v>
      </c>
      <c r="AX136" t="s">
        <v>2504</v>
      </c>
      <c r="AY136" t="s">
        <v>2505</v>
      </c>
      <c r="AZ136">
        <v>78.9</v>
      </c>
      <c r="BB136">
        <v>2012</v>
      </c>
      <c r="BC136" t="s">
        <v>113</v>
      </c>
      <c r="BD136" t="s">
        <v>2506</v>
      </c>
      <c r="BE136" t="s">
        <v>2507</v>
      </c>
      <c r="BF136" t="s">
        <v>2508</v>
      </c>
      <c r="BG136">
        <v>75.8</v>
      </c>
      <c r="BI136">
        <v>1985</v>
      </c>
      <c r="BJ136">
        <v>19</v>
      </c>
      <c r="BK136" t="s">
        <v>2508</v>
      </c>
      <c r="BL136">
        <v>32</v>
      </c>
      <c r="BN136" t="s">
        <v>113</v>
      </c>
      <c r="BO136" t="s">
        <v>2504</v>
      </c>
      <c r="BP136" t="s">
        <v>2509</v>
      </c>
      <c r="BQ136" t="s">
        <v>2510</v>
      </c>
      <c r="BR136">
        <v>79</v>
      </c>
      <c r="BT136">
        <v>2015</v>
      </c>
      <c r="BU136">
        <v>31</v>
      </c>
      <c r="BV136" t="s">
        <v>2511</v>
      </c>
      <c r="BW136">
        <v>38</v>
      </c>
      <c r="BY136" t="s">
        <v>109</v>
      </c>
      <c r="CF136" t="s">
        <v>109</v>
      </c>
      <c r="CL136" t="s">
        <v>113</v>
      </c>
      <c r="CM136" t="s">
        <v>2512</v>
      </c>
      <c r="CN136" t="s">
        <v>113</v>
      </c>
      <c r="CO136" t="s">
        <v>2513</v>
      </c>
      <c r="CP136" t="s">
        <v>2514</v>
      </c>
      <c r="CQ136" t="s">
        <v>2515</v>
      </c>
      <c r="CR136" t="s">
        <v>136</v>
      </c>
      <c r="CS136" t="str">
        <f>HYPERLINK("https://nconnect.nicmar.ac.in/pdf/202_resume_1771501200.pdf/Y2FyZWVy","View Resume")</f>
        <v>0</v>
      </c>
    </row>
    <row r="137" spans="1:97">
      <c r="A137" t="s">
        <v>501</v>
      </c>
      <c r="B137" t="s">
        <v>138</v>
      </c>
      <c r="C137" t="s">
        <v>165</v>
      </c>
      <c r="D137" t="s">
        <v>319</v>
      </c>
      <c r="E137" t="s">
        <v>2516</v>
      </c>
      <c r="F137" t="s">
        <v>2517</v>
      </c>
      <c r="G137">
        <v>8439286180</v>
      </c>
      <c r="H137" t="s">
        <v>103</v>
      </c>
      <c r="I137" t="s">
        <v>2518</v>
      </c>
      <c r="J137" t="s">
        <v>105</v>
      </c>
      <c r="K137" t="s">
        <v>2519</v>
      </c>
      <c r="L137" t="s">
        <v>2520</v>
      </c>
      <c r="M137" t="s">
        <v>2521</v>
      </c>
      <c r="N137" t="s">
        <v>109</v>
      </c>
      <c r="AI137" t="s">
        <v>2522</v>
      </c>
      <c r="AJ137" t="s">
        <v>2523</v>
      </c>
      <c r="AK137" t="s">
        <v>2153</v>
      </c>
      <c r="AL137">
        <v>51.2</v>
      </c>
      <c r="AN137">
        <v>2010</v>
      </c>
      <c r="AO137" t="s">
        <v>113</v>
      </c>
      <c r="AP137" t="s">
        <v>2524</v>
      </c>
      <c r="AQ137" t="s">
        <v>2523</v>
      </c>
      <c r="AR137" t="s">
        <v>2525</v>
      </c>
      <c r="AS137">
        <v>57.7</v>
      </c>
      <c r="AU137">
        <v>2013</v>
      </c>
      <c r="AV137" t="s">
        <v>109</v>
      </c>
      <c r="BC137" t="s">
        <v>113</v>
      </c>
      <c r="BD137" t="s">
        <v>815</v>
      </c>
      <c r="BE137" t="s">
        <v>2526</v>
      </c>
      <c r="BF137" t="s">
        <v>2527</v>
      </c>
      <c r="BG137">
        <v>57.24</v>
      </c>
      <c r="BI137">
        <v>2016</v>
      </c>
      <c r="BJ137">
        <v>19</v>
      </c>
      <c r="BK137" t="s">
        <v>2528</v>
      </c>
      <c r="BL137">
        <v>23</v>
      </c>
      <c r="BN137" t="s">
        <v>113</v>
      </c>
      <c r="BO137" t="s">
        <v>815</v>
      </c>
      <c r="BP137" t="s">
        <v>2529</v>
      </c>
      <c r="BQ137" t="s">
        <v>2530</v>
      </c>
      <c r="BR137">
        <v>67.7</v>
      </c>
      <c r="BS137">
        <v>6.7</v>
      </c>
      <c r="BT137">
        <v>2018</v>
      </c>
      <c r="BU137">
        <v>31</v>
      </c>
      <c r="BV137" t="s">
        <v>2178</v>
      </c>
      <c r="BW137">
        <v>23</v>
      </c>
      <c r="BY137" t="s">
        <v>109</v>
      </c>
      <c r="CA137" t="s">
        <v>2523</v>
      </c>
      <c r="CF137" t="s">
        <v>113</v>
      </c>
      <c r="CG137" t="s">
        <v>338</v>
      </c>
      <c r="CH137" t="s">
        <v>2531</v>
      </c>
      <c r="CI137" t="s">
        <v>132</v>
      </c>
      <c r="CJ137">
        <v>2025</v>
      </c>
      <c r="CL137" t="s">
        <v>113</v>
      </c>
      <c r="CN137" t="s">
        <v>113</v>
      </c>
      <c r="CO137" t="s">
        <v>2532</v>
      </c>
      <c r="CP137" t="s">
        <v>2533</v>
      </c>
      <c r="CQ137" t="s">
        <v>2534</v>
      </c>
      <c r="CR137" t="s">
        <v>136</v>
      </c>
      <c r="CS137" t="str">
        <f>HYPERLINK("https://nconnect.nicmar.ac.in/pdf/216_resume_1771503454.pdf/Y2FyZWVy","View Resume")</f>
        <v>0</v>
      </c>
    </row>
    <row r="138" spans="1:97">
      <c r="A138" t="s">
        <v>137</v>
      </c>
      <c r="B138" t="s">
        <v>138</v>
      </c>
      <c r="C138" t="s">
        <v>139</v>
      </c>
      <c r="D138" t="s">
        <v>140</v>
      </c>
      <c r="E138" t="s">
        <v>2535</v>
      </c>
      <c r="F138" t="s">
        <v>2536</v>
      </c>
      <c r="G138">
        <v>7499079795</v>
      </c>
      <c r="H138" t="s">
        <v>103</v>
      </c>
      <c r="I138" t="s">
        <v>2537</v>
      </c>
      <c r="J138" t="s">
        <v>105</v>
      </c>
      <c r="K138" t="s">
        <v>2538</v>
      </c>
      <c r="L138" t="s">
        <v>2539</v>
      </c>
      <c r="M138" t="s">
        <v>2540</v>
      </c>
      <c r="N138" t="s">
        <v>109</v>
      </c>
      <c r="AI138" t="s">
        <v>2541</v>
      </c>
      <c r="AJ138" t="s">
        <v>2542</v>
      </c>
      <c r="AK138" t="s">
        <v>281</v>
      </c>
      <c r="AL138">
        <v>73.23</v>
      </c>
      <c r="AN138">
        <v>2009</v>
      </c>
      <c r="AO138" t="s">
        <v>113</v>
      </c>
      <c r="AP138" t="s">
        <v>2543</v>
      </c>
      <c r="AQ138" t="s">
        <v>2544</v>
      </c>
      <c r="AR138" t="s">
        <v>2198</v>
      </c>
      <c r="AS138">
        <v>58.83</v>
      </c>
      <c r="AU138">
        <v>2011</v>
      </c>
      <c r="AV138" t="s">
        <v>109</v>
      </c>
      <c r="BC138" t="s">
        <v>113</v>
      </c>
      <c r="BD138" t="s">
        <v>2545</v>
      </c>
      <c r="BE138" t="s">
        <v>2546</v>
      </c>
      <c r="BF138" t="s">
        <v>2547</v>
      </c>
      <c r="BG138">
        <v>65.0</v>
      </c>
      <c r="BI138">
        <v>2015</v>
      </c>
      <c r="BJ138">
        <v>2</v>
      </c>
      <c r="BL138">
        <v>9</v>
      </c>
      <c r="BN138" t="s">
        <v>113</v>
      </c>
      <c r="BO138" t="s">
        <v>2548</v>
      </c>
      <c r="BP138" t="s">
        <v>2549</v>
      </c>
      <c r="BQ138" t="s">
        <v>2550</v>
      </c>
      <c r="BR138">
        <v>75.5</v>
      </c>
      <c r="BS138">
        <v>7.55</v>
      </c>
      <c r="BT138">
        <v>2019</v>
      </c>
      <c r="BU138">
        <v>14</v>
      </c>
      <c r="BW138">
        <v>47</v>
      </c>
      <c r="BY138" t="s">
        <v>109</v>
      </c>
      <c r="CF138" t="s">
        <v>109</v>
      </c>
      <c r="CL138" t="s">
        <v>109</v>
      </c>
      <c r="CN138" t="s">
        <v>109</v>
      </c>
      <c r="CP138" t="s">
        <v>281</v>
      </c>
      <c r="CQ138" t="s">
        <v>2551</v>
      </c>
      <c r="CR138" t="str">
        <f>HYPERLINK("https://nconnect.nicmar.ac.in/public/storage/profile/6996f3a15b8b3.png","Download")</f>
        <v>0</v>
      </c>
      <c r="CS138" t="str">
        <f>HYPERLINK("https://nconnect.nicmar.ac.in/pdf/228_resume_1771503913.pdf/Y2FyZWVy","View Resume")</f>
        <v>0</v>
      </c>
    </row>
    <row r="139" spans="1:97">
      <c r="A139" t="s">
        <v>294</v>
      </c>
      <c r="B139" t="s">
        <v>138</v>
      </c>
      <c r="C139" t="s">
        <v>295</v>
      </c>
      <c r="D139" t="s">
        <v>296</v>
      </c>
      <c r="E139" t="s">
        <v>2552</v>
      </c>
      <c r="F139" t="s">
        <v>2553</v>
      </c>
      <c r="G139">
        <v>9940270826</v>
      </c>
      <c r="H139" t="s">
        <v>103</v>
      </c>
      <c r="I139" t="s">
        <v>2554</v>
      </c>
      <c r="J139" t="s">
        <v>105</v>
      </c>
      <c r="K139" t="s">
        <v>300</v>
      </c>
      <c r="L139" t="s">
        <v>2555</v>
      </c>
      <c r="M139" t="s">
        <v>2556</v>
      </c>
      <c r="N139" t="s">
        <v>109</v>
      </c>
      <c r="AI139" t="s">
        <v>2557</v>
      </c>
      <c r="AJ139" t="s">
        <v>2558</v>
      </c>
      <c r="AK139" t="s">
        <v>2559</v>
      </c>
      <c r="AL139">
        <v>94.4</v>
      </c>
      <c r="AN139">
        <v>2006</v>
      </c>
      <c r="AO139" t="s">
        <v>113</v>
      </c>
      <c r="AP139" t="s">
        <v>2557</v>
      </c>
      <c r="AQ139" t="s">
        <v>2558</v>
      </c>
      <c r="AR139" t="s">
        <v>2560</v>
      </c>
      <c r="AS139">
        <v>89</v>
      </c>
      <c r="AU139">
        <v>2008</v>
      </c>
      <c r="AV139" t="s">
        <v>109</v>
      </c>
      <c r="BC139" t="s">
        <v>113</v>
      </c>
      <c r="BD139" t="s">
        <v>2561</v>
      </c>
      <c r="BE139" t="s">
        <v>2562</v>
      </c>
      <c r="BF139" t="s">
        <v>156</v>
      </c>
      <c r="BG139">
        <v>83.5</v>
      </c>
      <c r="BH139">
        <v>8.35</v>
      </c>
      <c r="BI139">
        <v>2012</v>
      </c>
      <c r="BJ139">
        <v>2</v>
      </c>
      <c r="BL139">
        <v>9</v>
      </c>
      <c r="BN139" t="s">
        <v>113</v>
      </c>
      <c r="BO139" t="s">
        <v>2563</v>
      </c>
      <c r="BP139" t="s">
        <v>2564</v>
      </c>
      <c r="BQ139" t="s">
        <v>2565</v>
      </c>
      <c r="BR139">
        <v>84.2</v>
      </c>
      <c r="BS139">
        <v>8.42</v>
      </c>
      <c r="BT139">
        <v>2016</v>
      </c>
      <c r="BU139">
        <v>12</v>
      </c>
      <c r="BW139">
        <v>13</v>
      </c>
      <c r="BY139" t="s">
        <v>109</v>
      </c>
      <c r="CF139" t="s">
        <v>113</v>
      </c>
      <c r="CG139" t="s">
        <v>2566</v>
      </c>
      <c r="CH139" t="s">
        <v>2567</v>
      </c>
      <c r="CI139" t="s">
        <v>240</v>
      </c>
      <c r="CK139" t="s">
        <v>113</v>
      </c>
      <c r="CL139" t="s">
        <v>113</v>
      </c>
      <c r="CM139" t="s">
        <v>2568</v>
      </c>
      <c r="CN139" t="s">
        <v>113</v>
      </c>
      <c r="CO139" t="s">
        <v>2569</v>
      </c>
      <c r="CP139" t="s">
        <v>2570</v>
      </c>
      <c r="CQ139" t="s">
        <v>2571</v>
      </c>
      <c r="CR139" t="str">
        <f>HYPERLINK("https://nconnect.nicmar.ac.in/public/storage/profile/6996e56310561.png","Download")</f>
        <v>0</v>
      </c>
      <c r="CS139" t="str">
        <f>HYPERLINK("https://nconnect.nicmar.ac.in/pdf/214_resume_1771504379.pdf/Y2FyZWVy","View Resume")</f>
        <v>0</v>
      </c>
    </row>
    <row r="140" spans="1:97">
      <c r="A140" t="s">
        <v>926</v>
      </c>
      <c r="B140" t="s">
        <v>318</v>
      </c>
      <c r="C140" t="s">
        <v>139</v>
      </c>
      <c r="D140" t="s">
        <v>927</v>
      </c>
      <c r="E140" t="s">
        <v>2572</v>
      </c>
      <c r="F140" t="s">
        <v>2573</v>
      </c>
      <c r="G140">
        <v>9819306354</v>
      </c>
      <c r="H140" t="s">
        <v>103</v>
      </c>
      <c r="I140" t="s">
        <v>2574</v>
      </c>
      <c r="J140" t="s">
        <v>105</v>
      </c>
      <c r="K140" t="s">
        <v>1848</v>
      </c>
      <c r="L140" t="s">
        <v>2575</v>
      </c>
      <c r="M140" t="s">
        <v>2576</v>
      </c>
      <c r="N140" t="s">
        <v>109</v>
      </c>
      <c r="AI140" t="s">
        <v>2577</v>
      </c>
      <c r="AJ140" t="s">
        <v>2578</v>
      </c>
      <c r="AK140" t="s">
        <v>2579</v>
      </c>
      <c r="AL140">
        <v>73.73</v>
      </c>
      <c r="AN140">
        <v>2000</v>
      </c>
      <c r="AO140" t="s">
        <v>109</v>
      </c>
      <c r="AV140" t="s">
        <v>113</v>
      </c>
      <c r="AW140" t="s">
        <v>309</v>
      </c>
      <c r="AX140" t="s">
        <v>2580</v>
      </c>
      <c r="AY140" t="s">
        <v>309</v>
      </c>
      <c r="AZ140">
        <v>80.97</v>
      </c>
      <c r="BB140">
        <v>2004</v>
      </c>
      <c r="BC140" t="s">
        <v>113</v>
      </c>
      <c r="BD140" t="s">
        <v>2581</v>
      </c>
      <c r="BE140" t="s">
        <v>2582</v>
      </c>
      <c r="BF140" t="s">
        <v>309</v>
      </c>
      <c r="BG140">
        <v>74.25</v>
      </c>
      <c r="BI140">
        <v>2008</v>
      </c>
      <c r="BJ140">
        <v>2</v>
      </c>
      <c r="BL140">
        <v>9</v>
      </c>
      <c r="BN140" t="s">
        <v>113</v>
      </c>
      <c r="BO140" t="s">
        <v>2583</v>
      </c>
      <c r="BP140" t="s">
        <v>2584</v>
      </c>
      <c r="BQ140" t="s">
        <v>2585</v>
      </c>
      <c r="BR140">
        <v>61.96</v>
      </c>
      <c r="BT140">
        <v>2013</v>
      </c>
      <c r="BU140">
        <v>22</v>
      </c>
      <c r="BW140">
        <v>51</v>
      </c>
      <c r="BY140" t="s">
        <v>113</v>
      </c>
      <c r="BZ140" t="s">
        <v>914</v>
      </c>
      <c r="CA140" t="s">
        <v>2586</v>
      </c>
      <c r="CB140" t="s">
        <v>607</v>
      </c>
      <c r="CC140">
        <v>78.18</v>
      </c>
      <c r="CE140">
        <v>2019</v>
      </c>
      <c r="CF140" t="s">
        <v>113</v>
      </c>
      <c r="CG140" t="s">
        <v>309</v>
      </c>
      <c r="CH140" t="s">
        <v>2587</v>
      </c>
      <c r="CI140" t="s">
        <v>132</v>
      </c>
      <c r="CJ140">
        <v>2025</v>
      </c>
      <c r="CL140" t="s">
        <v>113</v>
      </c>
      <c r="CM140" t="s">
        <v>2588</v>
      </c>
      <c r="CN140" t="s">
        <v>113</v>
      </c>
      <c r="CO140" t="s">
        <v>2589</v>
      </c>
      <c r="CP140" t="s">
        <v>1411</v>
      </c>
      <c r="CQ140" t="s">
        <v>2590</v>
      </c>
      <c r="CR140" t="s">
        <v>136</v>
      </c>
      <c r="CS140" t="str">
        <f>HYPERLINK("https://nconnect.nicmar.ac.in/pdf/35_resume_1771477904.pdf/Y2FyZWVy","View Resume")</f>
        <v>0</v>
      </c>
    </row>
    <row r="141" spans="1:97">
      <c r="A141" t="s">
        <v>2591</v>
      </c>
      <c r="B141" t="s">
        <v>138</v>
      </c>
      <c r="C141" t="s">
        <v>295</v>
      </c>
      <c r="D141" t="s">
        <v>2592</v>
      </c>
      <c r="E141" t="s">
        <v>2572</v>
      </c>
      <c r="F141" t="s">
        <v>2573</v>
      </c>
      <c r="G141">
        <v>9819306354</v>
      </c>
      <c r="H141" t="s">
        <v>103</v>
      </c>
      <c r="I141" t="s">
        <v>2574</v>
      </c>
      <c r="J141" t="s">
        <v>105</v>
      </c>
      <c r="K141" t="s">
        <v>1848</v>
      </c>
      <c r="L141" t="s">
        <v>2575</v>
      </c>
      <c r="M141" t="s">
        <v>2576</v>
      </c>
      <c r="N141" t="s">
        <v>109</v>
      </c>
      <c r="AI141" t="s">
        <v>2577</v>
      </c>
      <c r="AJ141" t="s">
        <v>2578</v>
      </c>
      <c r="AK141" t="s">
        <v>2579</v>
      </c>
      <c r="AL141">
        <v>73.73</v>
      </c>
      <c r="AN141">
        <v>2000</v>
      </c>
      <c r="AO141" t="s">
        <v>109</v>
      </c>
      <c r="AV141" t="s">
        <v>113</v>
      </c>
      <c r="AW141" t="s">
        <v>309</v>
      </c>
      <c r="AX141" t="s">
        <v>2580</v>
      </c>
      <c r="AY141" t="s">
        <v>309</v>
      </c>
      <c r="AZ141">
        <v>80.97</v>
      </c>
      <c r="BB141">
        <v>2004</v>
      </c>
      <c r="BC141" t="s">
        <v>113</v>
      </c>
      <c r="BD141" t="s">
        <v>2581</v>
      </c>
      <c r="BE141" t="s">
        <v>2582</v>
      </c>
      <c r="BF141" t="s">
        <v>309</v>
      </c>
      <c r="BG141">
        <v>74.25</v>
      </c>
      <c r="BI141">
        <v>2008</v>
      </c>
      <c r="BJ141">
        <v>2</v>
      </c>
      <c r="BL141">
        <v>9</v>
      </c>
      <c r="BN141" t="s">
        <v>113</v>
      </c>
      <c r="BO141" t="s">
        <v>2583</v>
      </c>
      <c r="BP141" t="s">
        <v>2584</v>
      </c>
      <c r="BQ141" t="s">
        <v>2585</v>
      </c>
      <c r="BR141">
        <v>61.96</v>
      </c>
      <c r="BT141">
        <v>2013</v>
      </c>
      <c r="BU141">
        <v>22</v>
      </c>
      <c r="BW141">
        <v>51</v>
      </c>
      <c r="BY141" t="s">
        <v>113</v>
      </c>
      <c r="BZ141" t="s">
        <v>914</v>
      </c>
      <c r="CA141" t="s">
        <v>2586</v>
      </c>
      <c r="CB141" t="s">
        <v>607</v>
      </c>
      <c r="CC141">
        <v>78.18</v>
      </c>
      <c r="CE141">
        <v>2019</v>
      </c>
      <c r="CF141" t="s">
        <v>113</v>
      </c>
      <c r="CG141" t="s">
        <v>309</v>
      </c>
      <c r="CH141" t="s">
        <v>2587</v>
      </c>
      <c r="CI141" t="s">
        <v>132</v>
      </c>
      <c r="CJ141">
        <v>2025</v>
      </c>
      <c r="CL141" t="s">
        <v>113</v>
      </c>
      <c r="CM141" t="s">
        <v>2588</v>
      </c>
      <c r="CN141" t="s">
        <v>113</v>
      </c>
      <c r="CO141" t="s">
        <v>2589</v>
      </c>
      <c r="CP141" t="s">
        <v>1411</v>
      </c>
      <c r="CQ141" t="s">
        <v>2593</v>
      </c>
      <c r="CR141" t="s">
        <v>136</v>
      </c>
      <c r="CS141" t="str">
        <f>HYPERLINK("https://nconnect.nicmar.ac.in/pdf/35_resume_1771477904.pdf/Y2FyZWVy","View Resume")</f>
        <v>0</v>
      </c>
    </row>
    <row r="142" spans="1:97">
      <c r="A142" t="s">
        <v>370</v>
      </c>
      <c r="B142" t="s">
        <v>138</v>
      </c>
      <c r="C142" t="s">
        <v>295</v>
      </c>
      <c r="D142" t="s">
        <v>371</v>
      </c>
      <c r="E142" t="s">
        <v>2572</v>
      </c>
      <c r="F142" t="s">
        <v>2573</v>
      </c>
      <c r="G142">
        <v>9819306354</v>
      </c>
      <c r="H142" t="s">
        <v>103</v>
      </c>
      <c r="I142" t="s">
        <v>2574</v>
      </c>
      <c r="J142" t="s">
        <v>105</v>
      </c>
      <c r="K142" t="s">
        <v>1848</v>
      </c>
      <c r="L142" t="s">
        <v>2575</v>
      </c>
      <c r="M142" t="s">
        <v>2576</v>
      </c>
      <c r="N142" t="s">
        <v>109</v>
      </c>
      <c r="AI142" t="s">
        <v>2577</v>
      </c>
      <c r="AJ142" t="s">
        <v>2578</v>
      </c>
      <c r="AK142" t="s">
        <v>2579</v>
      </c>
      <c r="AL142">
        <v>73.73</v>
      </c>
      <c r="AN142">
        <v>2000</v>
      </c>
      <c r="AO142" t="s">
        <v>109</v>
      </c>
      <c r="AV142" t="s">
        <v>113</v>
      </c>
      <c r="AW142" t="s">
        <v>309</v>
      </c>
      <c r="AX142" t="s">
        <v>2580</v>
      </c>
      <c r="AY142" t="s">
        <v>309</v>
      </c>
      <c r="AZ142">
        <v>80.97</v>
      </c>
      <c r="BB142">
        <v>2004</v>
      </c>
      <c r="BC142" t="s">
        <v>113</v>
      </c>
      <c r="BD142" t="s">
        <v>2581</v>
      </c>
      <c r="BE142" t="s">
        <v>2582</v>
      </c>
      <c r="BF142" t="s">
        <v>309</v>
      </c>
      <c r="BG142">
        <v>74.25</v>
      </c>
      <c r="BI142">
        <v>2008</v>
      </c>
      <c r="BJ142">
        <v>2</v>
      </c>
      <c r="BL142">
        <v>9</v>
      </c>
      <c r="BN142" t="s">
        <v>113</v>
      </c>
      <c r="BO142" t="s">
        <v>2583</v>
      </c>
      <c r="BP142" t="s">
        <v>2584</v>
      </c>
      <c r="BQ142" t="s">
        <v>2585</v>
      </c>
      <c r="BR142">
        <v>61.96</v>
      </c>
      <c r="BT142">
        <v>2013</v>
      </c>
      <c r="BU142">
        <v>22</v>
      </c>
      <c r="BW142">
        <v>51</v>
      </c>
      <c r="BY142" t="s">
        <v>113</v>
      </c>
      <c r="BZ142" t="s">
        <v>914</v>
      </c>
      <c r="CA142" t="s">
        <v>2586</v>
      </c>
      <c r="CB142" t="s">
        <v>607</v>
      </c>
      <c r="CC142">
        <v>78.18</v>
      </c>
      <c r="CE142">
        <v>2019</v>
      </c>
      <c r="CF142" t="s">
        <v>113</v>
      </c>
      <c r="CG142" t="s">
        <v>309</v>
      </c>
      <c r="CH142" t="s">
        <v>2587</v>
      </c>
      <c r="CI142" t="s">
        <v>132</v>
      </c>
      <c r="CJ142">
        <v>2025</v>
      </c>
      <c r="CL142" t="s">
        <v>113</v>
      </c>
      <c r="CM142" t="s">
        <v>2588</v>
      </c>
      <c r="CN142" t="s">
        <v>113</v>
      </c>
      <c r="CO142" t="s">
        <v>2589</v>
      </c>
      <c r="CP142" t="s">
        <v>1411</v>
      </c>
      <c r="CQ142" t="s">
        <v>2594</v>
      </c>
      <c r="CR142" t="s">
        <v>136</v>
      </c>
      <c r="CS142" t="str">
        <f>HYPERLINK("https://nconnect.nicmar.ac.in/pdf/35_resume_1771477904.pdf/Y2FyZWVy","View Resume")</f>
        <v>0</v>
      </c>
    </row>
    <row r="143" spans="1:97">
      <c r="A143" t="s">
        <v>294</v>
      </c>
      <c r="B143" t="s">
        <v>138</v>
      </c>
      <c r="C143" t="s">
        <v>295</v>
      </c>
      <c r="D143" t="s">
        <v>296</v>
      </c>
      <c r="E143" t="s">
        <v>2572</v>
      </c>
      <c r="F143" t="s">
        <v>2573</v>
      </c>
      <c r="G143">
        <v>9819306354</v>
      </c>
      <c r="H143" t="s">
        <v>103</v>
      </c>
      <c r="I143" t="s">
        <v>2574</v>
      </c>
      <c r="J143" t="s">
        <v>105</v>
      </c>
      <c r="K143" t="s">
        <v>1848</v>
      </c>
      <c r="L143" t="s">
        <v>2575</v>
      </c>
      <c r="M143" t="s">
        <v>2576</v>
      </c>
      <c r="N143" t="s">
        <v>109</v>
      </c>
      <c r="AI143" t="s">
        <v>2577</v>
      </c>
      <c r="AJ143" t="s">
        <v>2578</v>
      </c>
      <c r="AK143" t="s">
        <v>2579</v>
      </c>
      <c r="AL143">
        <v>73.73</v>
      </c>
      <c r="AN143">
        <v>2000</v>
      </c>
      <c r="AO143" t="s">
        <v>109</v>
      </c>
      <c r="AV143" t="s">
        <v>113</v>
      </c>
      <c r="AW143" t="s">
        <v>309</v>
      </c>
      <c r="AX143" t="s">
        <v>2580</v>
      </c>
      <c r="AY143" t="s">
        <v>309</v>
      </c>
      <c r="AZ143">
        <v>80.97</v>
      </c>
      <c r="BB143">
        <v>2004</v>
      </c>
      <c r="BC143" t="s">
        <v>113</v>
      </c>
      <c r="BD143" t="s">
        <v>2581</v>
      </c>
      <c r="BE143" t="s">
        <v>2582</v>
      </c>
      <c r="BF143" t="s">
        <v>309</v>
      </c>
      <c r="BG143">
        <v>74.25</v>
      </c>
      <c r="BI143">
        <v>2008</v>
      </c>
      <c r="BJ143">
        <v>2</v>
      </c>
      <c r="BL143">
        <v>9</v>
      </c>
      <c r="BN143" t="s">
        <v>113</v>
      </c>
      <c r="BO143" t="s">
        <v>2583</v>
      </c>
      <c r="BP143" t="s">
        <v>2584</v>
      </c>
      <c r="BQ143" t="s">
        <v>2585</v>
      </c>
      <c r="BR143">
        <v>61.96</v>
      </c>
      <c r="BT143">
        <v>2013</v>
      </c>
      <c r="BU143">
        <v>22</v>
      </c>
      <c r="BW143">
        <v>51</v>
      </c>
      <c r="BY143" t="s">
        <v>113</v>
      </c>
      <c r="BZ143" t="s">
        <v>914</v>
      </c>
      <c r="CA143" t="s">
        <v>2586</v>
      </c>
      <c r="CB143" t="s">
        <v>607</v>
      </c>
      <c r="CC143">
        <v>78.18</v>
      </c>
      <c r="CE143">
        <v>2019</v>
      </c>
      <c r="CF143" t="s">
        <v>113</v>
      </c>
      <c r="CG143" t="s">
        <v>309</v>
      </c>
      <c r="CH143" t="s">
        <v>2587</v>
      </c>
      <c r="CI143" t="s">
        <v>132</v>
      </c>
      <c r="CJ143">
        <v>2025</v>
      </c>
      <c r="CL143" t="s">
        <v>113</v>
      </c>
      <c r="CM143" t="s">
        <v>2588</v>
      </c>
      <c r="CN143" t="s">
        <v>113</v>
      </c>
      <c r="CO143" t="s">
        <v>2589</v>
      </c>
      <c r="CP143" t="s">
        <v>1411</v>
      </c>
      <c r="CQ143" t="s">
        <v>2594</v>
      </c>
      <c r="CR143" t="s">
        <v>136</v>
      </c>
      <c r="CS143" t="str">
        <f>HYPERLINK("https://nconnect.nicmar.ac.in/pdf/35_resume_1771477904.pdf/Y2FyZWVy","View Resume")</f>
        <v>0</v>
      </c>
    </row>
    <row r="144" spans="1:97">
      <c r="A144" t="s">
        <v>2595</v>
      </c>
      <c r="B144" t="s">
        <v>2596</v>
      </c>
      <c r="C144" t="s">
        <v>703</v>
      </c>
      <c r="D144" t="s">
        <v>2597</v>
      </c>
      <c r="E144" t="s">
        <v>2572</v>
      </c>
      <c r="F144" t="s">
        <v>2573</v>
      </c>
      <c r="G144">
        <v>9819306354</v>
      </c>
      <c r="H144" t="s">
        <v>103</v>
      </c>
      <c r="I144" t="s">
        <v>2574</v>
      </c>
      <c r="J144" t="s">
        <v>105</v>
      </c>
      <c r="K144" t="s">
        <v>1848</v>
      </c>
      <c r="L144" t="s">
        <v>2575</v>
      </c>
      <c r="M144" t="s">
        <v>2576</v>
      </c>
      <c r="N144" t="s">
        <v>109</v>
      </c>
      <c r="AI144" t="s">
        <v>2577</v>
      </c>
      <c r="AJ144" t="s">
        <v>2578</v>
      </c>
      <c r="AK144" t="s">
        <v>2579</v>
      </c>
      <c r="AL144">
        <v>73.73</v>
      </c>
      <c r="AN144">
        <v>2000</v>
      </c>
      <c r="AO144" t="s">
        <v>109</v>
      </c>
      <c r="AV144" t="s">
        <v>113</v>
      </c>
      <c r="AW144" t="s">
        <v>309</v>
      </c>
      <c r="AX144" t="s">
        <v>2580</v>
      </c>
      <c r="AY144" t="s">
        <v>309</v>
      </c>
      <c r="AZ144">
        <v>80.97</v>
      </c>
      <c r="BB144">
        <v>2004</v>
      </c>
      <c r="BC144" t="s">
        <v>113</v>
      </c>
      <c r="BD144" t="s">
        <v>2581</v>
      </c>
      <c r="BE144" t="s">
        <v>2582</v>
      </c>
      <c r="BF144" t="s">
        <v>309</v>
      </c>
      <c r="BG144">
        <v>74.25</v>
      </c>
      <c r="BI144">
        <v>2008</v>
      </c>
      <c r="BJ144">
        <v>2</v>
      </c>
      <c r="BL144">
        <v>9</v>
      </c>
      <c r="BN144" t="s">
        <v>113</v>
      </c>
      <c r="BO144" t="s">
        <v>2583</v>
      </c>
      <c r="BP144" t="s">
        <v>2584</v>
      </c>
      <c r="BQ144" t="s">
        <v>2585</v>
      </c>
      <c r="BR144">
        <v>61.96</v>
      </c>
      <c r="BT144">
        <v>2013</v>
      </c>
      <c r="BU144">
        <v>22</v>
      </c>
      <c r="BW144">
        <v>51</v>
      </c>
      <c r="BY144" t="s">
        <v>113</v>
      </c>
      <c r="BZ144" t="s">
        <v>914</v>
      </c>
      <c r="CA144" t="s">
        <v>2586</v>
      </c>
      <c r="CB144" t="s">
        <v>607</v>
      </c>
      <c r="CC144">
        <v>78.18</v>
      </c>
      <c r="CE144">
        <v>2019</v>
      </c>
      <c r="CF144" t="s">
        <v>113</v>
      </c>
      <c r="CG144" t="s">
        <v>309</v>
      </c>
      <c r="CH144" t="s">
        <v>2587</v>
      </c>
      <c r="CI144" t="s">
        <v>132</v>
      </c>
      <c r="CJ144">
        <v>2025</v>
      </c>
      <c r="CL144" t="s">
        <v>113</v>
      </c>
      <c r="CM144" t="s">
        <v>2588</v>
      </c>
      <c r="CN144" t="s">
        <v>113</v>
      </c>
      <c r="CO144" t="s">
        <v>2589</v>
      </c>
      <c r="CP144" t="s">
        <v>1411</v>
      </c>
      <c r="CQ144" t="s">
        <v>2598</v>
      </c>
      <c r="CR144" t="s">
        <v>136</v>
      </c>
      <c r="CS144" t="str">
        <f>HYPERLINK("https://nconnect.nicmar.ac.in/pdf/35_resume_1771477904.pdf/Y2FyZWVy","View Resume")</f>
        <v>0</v>
      </c>
    </row>
    <row r="145" spans="1:97">
      <c r="A145" t="s">
        <v>137</v>
      </c>
      <c r="B145" t="s">
        <v>138</v>
      </c>
      <c r="C145" t="s">
        <v>139</v>
      </c>
      <c r="D145" t="s">
        <v>140</v>
      </c>
      <c r="E145" t="s">
        <v>2599</v>
      </c>
      <c r="F145" t="s">
        <v>2600</v>
      </c>
      <c r="G145">
        <v>8099802789</v>
      </c>
      <c r="H145" t="s">
        <v>103</v>
      </c>
      <c r="I145" t="s">
        <v>2601</v>
      </c>
      <c r="J145" t="s">
        <v>144</v>
      </c>
      <c r="K145" t="s">
        <v>2602</v>
      </c>
      <c r="L145" t="s">
        <v>2603</v>
      </c>
      <c r="M145" t="s">
        <v>2604</v>
      </c>
      <c r="N145" t="s">
        <v>109</v>
      </c>
      <c r="AI145" t="s">
        <v>2605</v>
      </c>
      <c r="AJ145" t="s">
        <v>2606</v>
      </c>
      <c r="AK145" t="s">
        <v>2607</v>
      </c>
      <c r="AL145">
        <v>85</v>
      </c>
      <c r="AN145">
        <v>2007</v>
      </c>
      <c r="AO145" t="s">
        <v>109</v>
      </c>
      <c r="AV145" t="s">
        <v>113</v>
      </c>
      <c r="AW145" t="s">
        <v>1147</v>
      </c>
      <c r="AX145" t="s">
        <v>2608</v>
      </c>
      <c r="AY145" t="s">
        <v>2609</v>
      </c>
      <c r="AZ145">
        <v>86.38</v>
      </c>
      <c r="BB145">
        <v>2010</v>
      </c>
      <c r="BC145" t="s">
        <v>113</v>
      </c>
      <c r="BD145" t="s">
        <v>1149</v>
      </c>
      <c r="BE145" t="s">
        <v>2610</v>
      </c>
      <c r="BF145" t="s">
        <v>2611</v>
      </c>
      <c r="BG145">
        <v>79.85</v>
      </c>
      <c r="BI145">
        <v>2013</v>
      </c>
      <c r="BJ145">
        <v>1</v>
      </c>
      <c r="BL145">
        <v>9</v>
      </c>
      <c r="BN145" t="s">
        <v>113</v>
      </c>
      <c r="BO145" t="s">
        <v>1149</v>
      </c>
      <c r="BP145" t="s">
        <v>2610</v>
      </c>
      <c r="BQ145" t="s">
        <v>2612</v>
      </c>
      <c r="BR145">
        <v>9.61</v>
      </c>
      <c r="BS145">
        <v>9.61</v>
      </c>
      <c r="BT145">
        <v>2017</v>
      </c>
      <c r="BU145">
        <v>14</v>
      </c>
      <c r="BW145">
        <v>47</v>
      </c>
      <c r="BY145" t="s">
        <v>109</v>
      </c>
      <c r="CF145" t="s">
        <v>113</v>
      </c>
      <c r="CG145" t="s">
        <v>2613</v>
      </c>
      <c r="CH145" t="s">
        <v>2614</v>
      </c>
      <c r="CI145" t="s">
        <v>132</v>
      </c>
      <c r="CJ145">
        <v>2025</v>
      </c>
      <c r="CL145" t="s">
        <v>113</v>
      </c>
      <c r="CM145" t="s">
        <v>2615</v>
      </c>
      <c r="CN145" t="s">
        <v>113</v>
      </c>
      <c r="CO145" t="s">
        <v>2616</v>
      </c>
      <c r="CP145" t="s">
        <v>2617</v>
      </c>
      <c r="CQ145" t="s">
        <v>2618</v>
      </c>
      <c r="CR145" t="str">
        <f>HYPERLINK("https://nconnect.nicmar.ac.in/public/storage/profile/699708e7f1eb2.png","Download")</f>
        <v>0</v>
      </c>
      <c r="CS145" t="str">
        <f>HYPERLINK("https://nconnect.nicmar.ac.in/pdf/236_resume_1771508088.pdf/Y2FyZWVy","View Resume")</f>
        <v>0</v>
      </c>
    </row>
    <row r="146" spans="1:97">
      <c r="A146" t="s">
        <v>192</v>
      </c>
      <c r="B146" t="s">
        <v>138</v>
      </c>
      <c r="C146" t="s">
        <v>165</v>
      </c>
      <c r="D146" t="s">
        <v>193</v>
      </c>
      <c r="E146" t="s">
        <v>2619</v>
      </c>
      <c r="F146" t="s">
        <v>2620</v>
      </c>
      <c r="G146">
        <v>8014506139</v>
      </c>
      <c r="H146" t="s">
        <v>169</v>
      </c>
      <c r="I146" t="s">
        <v>2621</v>
      </c>
      <c r="J146" t="s">
        <v>144</v>
      </c>
      <c r="K146" t="s">
        <v>505</v>
      </c>
      <c r="L146" t="s">
        <v>2622</v>
      </c>
      <c r="M146" t="s">
        <v>2623</v>
      </c>
      <c r="N146" t="s">
        <v>109</v>
      </c>
      <c r="AI146" t="s">
        <v>2624</v>
      </c>
      <c r="AJ146" t="s">
        <v>2625</v>
      </c>
      <c r="AK146" t="s">
        <v>2626</v>
      </c>
      <c r="AL146">
        <v>64</v>
      </c>
      <c r="AN146">
        <v>2007</v>
      </c>
      <c r="AO146" t="s">
        <v>113</v>
      </c>
      <c r="AP146" t="s">
        <v>2624</v>
      </c>
      <c r="AQ146" t="s">
        <v>2627</v>
      </c>
      <c r="AR146" t="s">
        <v>2628</v>
      </c>
      <c r="AS146">
        <v>73</v>
      </c>
      <c r="AU146">
        <v>2009</v>
      </c>
      <c r="AV146" t="s">
        <v>109</v>
      </c>
      <c r="BC146" t="s">
        <v>113</v>
      </c>
      <c r="BD146" t="s">
        <v>2629</v>
      </c>
      <c r="BE146" t="s">
        <v>2630</v>
      </c>
      <c r="BF146" t="s">
        <v>746</v>
      </c>
      <c r="BG146">
        <v>63</v>
      </c>
      <c r="BI146">
        <v>2012</v>
      </c>
      <c r="BJ146">
        <v>19</v>
      </c>
      <c r="BL146">
        <v>33</v>
      </c>
      <c r="BN146" t="s">
        <v>113</v>
      </c>
      <c r="BO146" t="s">
        <v>2631</v>
      </c>
      <c r="BP146" t="s">
        <v>2632</v>
      </c>
      <c r="BQ146" t="s">
        <v>793</v>
      </c>
      <c r="BR146">
        <v>76</v>
      </c>
      <c r="BT146">
        <v>2014</v>
      </c>
      <c r="BU146">
        <v>31</v>
      </c>
      <c r="BW146">
        <v>33</v>
      </c>
      <c r="BY146" t="s">
        <v>109</v>
      </c>
      <c r="CF146" t="s">
        <v>113</v>
      </c>
      <c r="CG146" t="s">
        <v>746</v>
      </c>
      <c r="CH146" t="s">
        <v>2633</v>
      </c>
      <c r="CI146" t="s">
        <v>132</v>
      </c>
      <c r="CJ146">
        <v>2024</v>
      </c>
      <c r="CL146" t="s">
        <v>109</v>
      </c>
      <c r="CN146" t="s">
        <v>113</v>
      </c>
      <c r="CO146" t="s">
        <v>2634</v>
      </c>
      <c r="CP146" t="s">
        <v>267</v>
      </c>
      <c r="CQ146" t="s">
        <v>2635</v>
      </c>
      <c r="CR146" t="str">
        <f>HYPERLINK("https://nconnect.nicmar.ac.in/public/storage/profile/6996f20587ee3.png","Download")</f>
        <v>0</v>
      </c>
      <c r="CS146" t="str">
        <f>HYPERLINK("https://nconnect.nicmar.ac.in/pdf/237_resume_1771508634.pdf/Y2FyZWVy","View Resume")</f>
        <v>0</v>
      </c>
    </row>
    <row r="147" spans="1:97">
      <c r="A147" t="s">
        <v>370</v>
      </c>
      <c r="B147" t="s">
        <v>138</v>
      </c>
      <c r="C147" t="s">
        <v>295</v>
      </c>
      <c r="D147" t="s">
        <v>371</v>
      </c>
      <c r="E147" t="s">
        <v>2636</v>
      </c>
      <c r="F147" t="s">
        <v>2637</v>
      </c>
      <c r="G147">
        <v>9075412474</v>
      </c>
      <c r="H147" t="s">
        <v>169</v>
      </c>
      <c r="I147" t="s">
        <v>2638</v>
      </c>
      <c r="J147" t="s">
        <v>144</v>
      </c>
      <c r="K147" t="s">
        <v>2639</v>
      </c>
      <c r="L147" t="s">
        <v>2640</v>
      </c>
      <c r="M147" t="s">
        <v>2641</v>
      </c>
      <c r="N147" t="s">
        <v>109</v>
      </c>
      <c r="AI147" t="s">
        <v>2642</v>
      </c>
      <c r="AJ147" t="s">
        <v>1542</v>
      </c>
      <c r="AK147" t="s">
        <v>2643</v>
      </c>
      <c r="AL147">
        <v>93.07</v>
      </c>
      <c r="AN147">
        <v>2008</v>
      </c>
      <c r="AO147" t="s">
        <v>113</v>
      </c>
      <c r="AP147" t="s">
        <v>2644</v>
      </c>
      <c r="AQ147" t="s">
        <v>1542</v>
      </c>
      <c r="AR147" t="s">
        <v>2645</v>
      </c>
      <c r="AS147">
        <v>83.67</v>
      </c>
      <c r="AU147">
        <v>2010</v>
      </c>
      <c r="AV147" t="s">
        <v>109</v>
      </c>
      <c r="BC147" t="s">
        <v>113</v>
      </c>
      <c r="BD147" t="s">
        <v>2646</v>
      </c>
      <c r="BE147" t="s">
        <v>2647</v>
      </c>
      <c r="BF147" t="s">
        <v>309</v>
      </c>
      <c r="BG147">
        <v>76.44</v>
      </c>
      <c r="BH147">
        <v>8.69</v>
      </c>
      <c r="BI147">
        <v>2014</v>
      </c>
      <c r="BJ147">
        <v>2</v>
      </c>
      <c r="BL147">
        <v>9</v>
      </c>
      <c r="BN147" t="s">
        <v>113</v>
      </c>
      <c r="BO147" t="s">
        <v>914</v>
      </c>
      <c r="BP147" t="s">
        <v>2648</v>
      </c>
      <c r="BQ147" t="s">
        <v>2649</v>
      </c>
      <c r="BR147">
        <v>76.4</v>
      </c>
      <c r="BS147">
        <v>7.64</v>
      </c>
      <c r="BT147">
        <v>2017</v>
      </c>
      <c r="BU147">
        <v>12</v>
      </c>
      <c r="BW147">
        <v>13</v>
      </c>
      <c r="BY147" t="s">
        <v>109</v>
      </c>
      <c r="CF147" t="s">
        <v>113</v>
      </c>
      <c r="CG147" t="s">
        <v>309</v>
      </c>
      <c r="CH147" t="s">
        <v>2650</v>
      </c>
      <c r="CI147" t="s">
        <v>132</v>
      </c>
      <c r="CJ147">
        <v>2024</v>
      </c>
      <c r="CL147" t="s">
        <v>113</v>
      </c>
      <c r="CM147" t="s">
        <v>2651</v>
      </c>
      <c r="CN147" t="s">
        <v>113</v>
      </c>
      <c r="CO147" t="s">
        <v>2652</v>
      </c>
      <c r="CP147" t="s">
        <v>2653</v>
      </c>
      <c r="CQ147" t="s">
        <v>2654</v>
      </c>
      <c r="CR147" t="s">
        <v>136</v>
      </c>
      <c r="CS147" t="str">
        <f>HYPERLINK("https://nconnect.nicmar.ac.in/pdf/199_resume_1771510168.pdf/Y2FyZWVy","View Resume")</f>
        <v>0</v>
      </c>
    </row>
    <row r="148" spans="1:97">
      <c r="A148" t="s">
        <v>294</v>
      </c>
      <c r="B148" t="s">
        <v>138</v>
      </c>
      <c r="C148" t="s">
        <v>295</v>
      </c>
      <c r="D148" t="s">
        <v>296</v>
      </c>
      <c r="E148" t="s">
        <v>2636</v>
      </c>
      <c r="F148" t="s">
        <v>2637</v>
      </c>
      <c r="G148">
        <v>9075412474</v>
      </c>
      <c r="H148" t="s">
        <v>169</v>
      </c>
      <c r="I148" t="s">
        <v>2638</v>
      </c>
      <c r="J148" t="s">
        <v>144</v>
      </c>
      <c r="K148" t="s">
        <v>2639</v>
      </c>
      <c r="L148" t="s">
        <v>2640</v>
      </c>
      <c r="M148" t="s">
        <v>2641</v>
      </c>
      <c r="N148" t="s">
        <v>109</v>
      </c>
      <c r="AI148" t="s">
        <v>2642</v>
      </c>
      <c r="AJ148" t="s">
        <v>1542</v>
      </c>
      <c r="AK148" t="s">
        <v>2643</v>
      </c>
      <c r="AL148">
        <v>93.07</v>
      </c>
      <c r="AN148">
        <v>2008</v>
      </c>
      <c r="AO148" t="s">
        <v>113</v>
      </c>
      <c r="AP148" t="s">
        <v>2644</v>
      </c>
      <c r="AQ148" t="s">
        <v>1542</v>
      </c>
      <c r="AR148" t="s">
        <v>2645</v>
      </c>
      <c r="AS148">
        <v>83.67</v>
      </c>
      <c r="AU148">
        <v>2010</v>
      </c>
      <c r="AV148" t="s">
        <v>109</v>
      </c>
      <c r="BC148" t="s">
        <v>113</v>
      </c>
      <c r="BD148" t="s">
        <v>2646</v>
      </c>
      <c r="BE148" t="s">
        <v>2647</v>
      </c>
      <c r="BF148" t="s">
        <v>309</v>
      </c>
      <c r="BG148">
        <v>76.44</v>
      </c>
      <c r="BH148">
        <v>8.69</v>
      </c>
      <c r="BI148">
        <v>2014</v>
      </c>
      <c r="BJ148">
        <v>2</v>
      </c>
      <c r="BL148">
        <v>9</v>
      </c>
      <c r="BN148" t="s">
        <v>113</v>
      </c>
      <c r="BO148" t="s">
        <v>914</v>
      </c>
      <c r="BP148" t="s">
        <v>2648</v>
      </c>
      <c r="BQ148" t="s">
        <v>2649</v>
      </c>
      <c r="BR148">
        <v>76.4</v>
      </c>
      <c r="BS148">
        <v>7.64</v>
      </c>
      <c r="BT148">
        <v>2017</v>
      </c>
      <c r="BU148">
        <v>12</v>
      </c>
      <c r="BW148">
        <v>13</v>
      </c>
      <c r="BY148" t="s">
        <v>109</v>
      </c>
      <c r="CF148" t="s">
        <v>113</v>
      </c>
      <c r="CG148" t="s">
        <v>309</v>
      </c>
      <c r="CH148" t="s">
        <v>2650</v>
      </c>
      <c r="CI148" t="s">
        <v>132</v>
      </c>
      <c r="CJ148">
        <v>2024</v>
      </c>
      <c r="CL148" t="s">
        <v>113</v>
      </c>
      <c r="CM148" t="s">
        <v>2651</v>
      </c>
      <c r="CN148" t="s">
        <v>113</v>
      </c>
      <c r="CO148" t="s">
        <v>2652</v>
      </c>
      <c r="CP148" t="s">
        <v>2653</v>
      </c>
      <c r="CQ148" t="s">
        <v>2655</v>
      </c>
      <c r="CR148" t="s">
        <v>136</v>
      </c>
      <c r="CS148" t="str">
        <f>HYPERLINK("https://nconnect.nicmar.ac.in/pdf/199_resume_1771510168.pdf/Y2FyZWVy","View Resume")</f>
        <v>0</v>
      </c>
    </row>
    <row r="149" spans="1:97">
      <c r="A149" t="s">
        <v>192</v>
      </c>
      <c r="B149" t="s">
        <v>138</v>
      </c>
      <c r="C149" t="s">
        <v>165</v>
      </c>
      <c r="D149" t="s">
        <v>193</v>
      </c>
      <c r="E149" t="s">
        <v>2656</v>
      </c>
      <c r="F149" t="s">
        <v>2657</v>
      </c>
      <c r="G149">
        <v>9993678750</v>
      </c>
      <c r="H149" t="s">
        <v>103</v>
      </c>
      <c r="I149" t="s">
        <v>2658</v>
      </c>
      <c r="J149" t="s">
        <v>105</v>
      </c>
      <c r="K149" t="s">
        <v>2659</v>
      </c>
      <c r="L149" t="s">
        <v>2660</v>
      </c>
      <c r="M149" t="s">
        <v>2661</v>
      </c>
      <c r="N149" t="s">
        <v>109</v>
      </c>
      <c r="AI149" t="s">
        <v>2662</v>
      </c>
      <c r="AJ149" t="s">
        <v>1231</v>
      </c>
      <c r="AK149" t="s">
        <v>1212</v>
      </c>
      <c r="AL149">
        <v>75.4</v>
      </c>
      <c r="AN149">
        <v>2005</v>
      </c>
      <c r="AO149" t="s">
        <v>113</v>
      </c>
      <c r="AP149" t="s">
        <v>2662</v>
      </c>
      <c r="AQ149" t="s">
        <v>1231</v>
      </c>
      <c r="AR149" t="s">
        <v>668</v>
      </c>
      <c r="AS149">
        <v>57.8</v>
      </c>
      <c r="AU149">
        <v>2007</v>
      </c>
      <c r="AV149" t="s">
        <v>109</v>
      </c>
      <c r="BC149" t="s">
        <v>113</v>
      </c>
      <c r="BD149" t="s">
        <v>2663</v>
      </c>
      <c r="BE149" t="s">
        <v>2664</v>
      </c>
      <c r="BF149" t="s">
        <v>2665</v>
      </c>
      <c r="BG149">
        <v>78.29</v>
      </c>
      <c r="BI149">
        <v>2010</v>
      </c>
      <c r="BJ149">
        <v>19</v>
      </c>
      <c r="BK149" t="s">
        <v>647</v>
      </c>
      <c r="BL149">
        <v>11</v>
      </c>
      <c r="BN149" t="s">
        <v>113</v>
      </c>
      <c r="BO149" t="s">
        <v>2666</v>
      </c>
      <c r="BP149" t="s">
        <v>2667</v>
      </c>
      <c r="BQ149" t="s">
        <v>746</v>
      </c>
      <c r="BR149">
        <v>68.94</v>
      </c>
      <c r="BT149">
        <v>2013</v>
      </c>
      <c r="BU149">
        <v>31</v>
      </c>
      <c r="BV149" t="s">
        <v>215</v>
      </c>
      <c r="BW149">
        <v>33</v>
      </c>
      <c r="BY149" t="s">
        <v>109</v>
      </c>
      <c r="CF149" t="s">
        <v>113</v>
      </c>
      <c r="CG149" t="s">
        <v>841</v>
      </c>
      <c r="CH149" t="s">
        <v>2666</v>
      </c>
      <c r="CI149" t="s">
        <v>132</v>
      </c>
      <c r="CJ149">
        <v>2020</v>
      </c>
      <c r="CL149" t="s">
        <v>113</v>
      </c>
      <c r="CM149" t="s">
        <v>2668</v>
      </c>
      <c r="CN149" t="s">
        <v>113</v>
      </c>
      <c r="CO149" t="s">
        <v>2669</v>
      </c>
      <c r="CP149" t="s">
        <v>2670</v>
      </c>
      <c r="CQ149" t="s">
        <v>2671</v>
      </c>
      <c r="CR149" t="s">
        <v>136</v>
      </c>
      <c r="CS149" t="str">
        <f>HYPERLINK("https://nconnect.nicmar.ac.in/pdf/250_resume_1771513313.pdf/Y2FyZWVy","View Resume")</f>
        <v>0</v>
      </c>
    </row>
    <row r="150" spans="1:97">
      <c r="A150" t="s">
        <v>223</v>
      </c>
      <c r="B150" t="s">
        <v>138</v>
      </c>
      <c r="C150" t="s">
        <v>165</v>
      </c>
      <c r="D150" t="s">
        <v>224</v>
      </c>
      <c r="E150" t="s">
        <v>2672</v>
      </c>
      <c r="F150" t="s">
        <v>2673</v>
      </c>
      <c r="G150">
        <v>7388653529</v>
      </c>
      <c r="H150" t="s">
        <v>103</v>
      </c>
      <c r="I150" t="s">
        <v>2674</v>
      </c>
      <c r="J150" t="s">
        <v>105</v>
      </c>
      <c r="K150" t="s">
        <v>2675</v>
      </c>
      <c r="L150" t="s">
        <v>2676</v>
      </c>
      <c r="M150" t="s">
        <v>2677</v>
      </c>
      <c r="N150" t="s">
        <v>109</v>
      </c>
      <c r="AI150" t="s">
        <v>2678</v>
      </c>
      <c r="AJ150" t="s">
        <v>2679</v>
      </c>
      <c r="AK150" t="s">
        <v>2680</v>
      </c>
      <c r="AL150">
        <v>69</v>
      </c>
      <c r="AM150">
        <v>6.9</v>
      </c>
      <c r="AN150">
        <v>2004</v>
      </c>
      <c r="AO150" t="s">
        <v>113</v>
      </c>
      <c r="AP150" t="s">
        <v>2681</v>
      </c>
      <c r="AQ150" t="s">
        <v>2679</v>
      </c>
      <c r="AR150" t="s">
        <v>2682</v>
      </c>
      <c r="AS150">
        <v>61</v>
      </c>
      <c r="AT150">
        <v>6.1</v>
      </c>
      <c r="AU150">
        <v>2006</v>
      </c>
      <c r="AV150" t="s">
        <v>109</v>
      </c>
      <c r="BC150" t="s">
        <v>113</v>
      </c>
      <c r="BD150" t="s">
        <v>2683</v>
      </c>
      <c r="BE150" t="s">
        <v>2684</v>
      </c>
      <c r="BF150" t="s">
        <v>2685</v>
      </c>
      <c r="BG150">
        <v>73.33</v>
      </c>
      <c r="BH150">
        <v>7.3</v>
      </c>
      <c r="BI150">
        <v>2010</v>
      </c>
      <c r="BJ150">
        <v>19</v>
      </c>
      <c r="BL150">
        <v>24</v>
      </c>
      <c r="BN150" t="s">
        <v>113</v>
      </c>
      <c r="BO150" t="s">
        <v>2686</v>
      </c>
      <c r="BP150" t="s">
        <v>2687</v>
      </c>
      <c r="BQ150" t="s">
        <v>2688</v>
      </c>
      <c r="BR150">
        <v>8.3</v>
      </c>
      <c r="BS150">
        <v>8.38</v>
      </c>
      <c r="BT150">
        <v>2018</v>
      </c>
      <c r="BU150">
        <v>31</v>
      </c>
      <c r="BV150" t="s">
        <v>2689</v>
      </c>
      <c r="BW150">
        <v>17</v>
      </c>
      <c r="BY150" t="s">
        <v>113</v>
      </c>
      <c r="BZ150" t="s">
        <v>2690</v>
      </c>
      <c r="CA150" t="s">
        <v>2691</v>
      </c>
      <c r="CB150" t="s">
        <v>2692</v>
      </c>
      <c r="CC150">
        <v>75</v>
      </c>
      <c r="CE150">
        <v>2024</v>
      </c>
      <c r="CF150" t="s">
        <v>113</v>
      </c>
      <c r="CG150" t="s">
        <v>2693</v>
      </c>
      <c r="CH150" t="s">
        <v>2694</v>
      </c>
      <c r="CI150" t="s">
        <v>132</v>
      </c>
      <c r="CJ150">
        <v>2024</v>
      </c>
      <c r="CL150" t="s">
        <v>109</v>
      </c>
      <c r="CN150" t="s">
        <v>113</v>
      </c>
      <c r="CO150" t="s">
        <v>2695</v>
      </c>
      <c r="CP150" t="s">
        <v>2696</v>
      </c>
      <c r="CQ150" t="s">
        <v>2697</v>
      </c>
      <c r="CR150" t="s">
        <v>136</v>
      </c>
      <c r="CS150" t="str">
        <f>HYPERLINK("https://nconnect.nicmar.ac.in/pdf/249_resume_1771513325.pdf/Y2FyZWVy","View Resume")</f>
        <v>0</v>
      </c>
    </row>
    <row r="151" spans="1:97">
      <c r="A151" t="s">
        <v>317</v>
      </c>
      <c r="B151" t="s">
        <v>318</v>
      </c>
      <c r="C151" t="s">
        <v>165</v>
      </c>
      <c r="D151" t="s">
        <v>319</v>
      </c>
      <c r="E151" t="s">
        <v>2698</v>
      </c>
      <c r="F151" t="s">
        <v>2699</v>
      </c>
      <c r="G151">
        <v>8805275100</v>
      </c>
      <c r="H151" t="s">
        <v>103</v>
      </c>
      <c r="I151" t="s">
        <v>2700</v>
      </c>
      <c r="J151" t="s">
        <v>105</v>
      </c>
      <c r="K151" t="s">
        <v>2701</v>
      </c>
      <c r="L151" t="s">
        <v>2702</v>
      </c>
      <c r="M151" t="s">
        <v>2703</v>
      </c>
      <c r="N151" t="s">
        <v>109</v>
      </c>
      <c r="AI151" t="s">
        <v>2704</v>
      </c>
      <c r="AJ151" t="s">
        <v>2705</v>
      </c>
      <c r="AK151" t="s">
        <v>2706</v>
      </c>
      <c r="AL151">
        <v>55</v>
      </c>
      <c r="AN151">
        <v>2001</v>
      </c>
      <c r="AO151" t="s">
        <v>113</v>
      </c>
      <c r="AP151" t="s">
        <v>2707</v>
      </c>
      <c r="AQ151" t="s">
        <v>2708</v>
      </c>
      <c r="AR151" t="s">
        <v>785</v>
      </c>
      <c r="AS151">
        <v>47</v>
      </c>
      <c r="AU151">
        <v>2003</v>
      </c>
      <c r="AV151" t="s">
        <v>109</v>
      </c>
      <c r="BC151" t="s">
        <v>113</v>
      </c>
      <c r="BD151" t="s">
        <v>2709</v>
      </c>
      <c r="BE151" t="s">
        <v>2710</v>
      </c>
      <c r="BF151" t="s">
        <v>2711</v>
      </c>
      <c r="BG151">
        <v>65</v>
      </c>
      <c r="BI151">
        <v>2006</v>
      </c>
      <c r="BJ151">
        <v>19</v>
      </c>
      <c r="BK151" t="s">
        <v>2712</v>
      </c>
      <c r="BL151">
        <v>53</v>
      </c>
      <c r="BN151" t="s">
        <v>113</v>
      </c>
      <c r="BO151" t="s">
        <v>2709</v>
      </c>
      <c r="BP151" t="s">
        <v>2713</v>
      </c>
      <c r="BQ151" t="s">
        <v>338</v>
      </c>
      <c r="BR151">
        <v>60</v>
      </c>
      <c r="BT151">
        <v>2008</v>
      </c>
      <c r="BU151">
        <v>31</v>
      </c>
      <c r="BV151" t="s">
        <v>339</v>
      </c>
      <c r="BW151">
        <v>53</v>
      </c>
      <c r="BY151" t="s">
        <v>109</v>
      </c>
      <c r="CF151" t="s">
        <v>113</v>
      </c>
      <c r="CG151" t="s">
        <v>1526</v>
      </c>
      <c r="CH151" t="s">
        <v>2709</v>
      </c>
      <c r="CI151" t="s">
        <v>132</v>
      </c>
      <c r="CJ151">
        <v>2016</v>
      </c>
      <c r="CL151" t="s">
        <v>109</v>
      </c>
      <c r="CN151" t="s">
        <v>109</v>
      </c>
      <c r="CP151" t="s">
        <v>460</v>
      </c>
      <c r="CQ151" t="s">
        <v>2714</v>
      </c>
      <c r="CR151" t="s">
        <v>136</v>
      </c>
      <c r="CS151" t="str">
        <f>HYPERLINK("https://nconnect.nicmar.ac.in/pdf/179_resume_1771517890.pdf/Y2FyZWVy","View Resume")</f>
        <v>0</v>
      </c>
    </row>
    <row r="152" spans="1:97">
      <c r="A152" t="s">
        <v>137</v>
      </c>
      <c r="B152" t="s">
        <v>138</v>
      </c>
      <c r="C152" t="s">
        <v>139</v>
      </c>
      <c r="D152" t="s">
        <v>140</v>
      </c>
      <c r="E152" t="s">
        <v>2715</v>
      </c>
      <c r="F152" t="s">
        <v>2716</v>
      </c>
      <c r="G152">
        <v>8908202500</v>
      </c>
      <c r="H152" t="s">
        <v>103</v>
      </c>
      <c r="I152" t="s">
        <v>2717</v>
      </c>
      <c r="J152" t="s">
        <v>105</v>
      </c>
      <c r="K152" t="s">
        <v>2718</v>
      </c>
      <c r="L152" t="s">
        <v>2719</v>
      </c>
      <c r="M152" t="s">
        <v>2720</v>
      </c>
      <c r="N152" t="s">
        <v>109</v>
      </c>
      <c r="AI152" t="s">
        <v>2721</v>
      </c>
      <c r="AJ152" t="s">
        <v>2722</v>
      </c>
      <c r="AK152" t="s">
        <v>2723</v>
      </c>
      <c r="AL152">
        <v>80</v>
      </c>
      <c r="AN152">
        <v>2007</v>
      </c>
      <c r="AO152" t="s">
        <v>113</v>
      </c>
      <c r="AP152" t="s">
        <v>2724</v>
      </c>
      <c r="AQ152" t="s">
        <v>2725</v>
      </c>
      <c r="AR152" t="s">
        <v>2726</v>
      </c>
      <c r="AS152">
        <v>68</v>
      </c>
      <c r="AU152">
        <v>2009</v>
      </c>
      <c r="AV152" t="s">
        <v>109</v>
      </c>
      <c r="BC152" t="s">
        <v>113</v>
      </c>
      <c r="BD152" t="s">
        <v>2727</v>
      </c>
      <c r="BE152" t="s">
        <v>2728</v>
      </c>
      <c r="BF152" t="s">
        <v>156</v>
      </c>
      <c r="BG152">
        <v>73.4</v>
      </c>
      <c r="BH152">
        <v>7.84</v>
      </c>
      <c r="BI152">
        <v>2013</v>
      </c>
      <c r="BJ152">
        <v>1</v>
      </c>
      <c r="BL152">
        <v>9</v>
      </c>
      <c r="BN152" t="s">
        <v>113</v>
      </c>
      <c r="BO152" t="s">
        <v>2729</v>
      </c>
      <c r="BP152" t="s">
        <v>2729</v>
      </c>
      <c r="BQ152" t="s">
        <v>158</v>
      </c>
      <c r="BR152">
        <v>86.9</v>
      </c>
      <c r="BS152">
        <v>9.19</v>
      </c>
      <c r="BT152">
        <v>2016</v>
      </c>
      <c r="BU152">
        <v>14</v>
      </c>
      <c r="BW152">
        <v>47</v>
      </c>
      <c r="BY152" t="s">
        <v>109</v>
      </c>
      <c r="CF152" t="s">
        <v>113</v>
      </c>
      <c r="CG152" t="s">
        <v>158</v>
      </c>
      <c r="CH152" t="s">
        <v>2730</v>
      </c>
      <c r="CI152" t="s">
        <v>132</v>
      </c>
      <c r="CJ152">
        <v>2024</v>
      </c>
      <c r="CL152" t="s">
        <v>109</v>
      </c>
      <c r="CN152" t="s">
        <v>109</v>
      </c>
      <c r="CP152" t="s">
        <v>2731</v>
      </c>
      <c r="CQ152" t="s">
        <v>2732</v>
      </c>
      <c r="CR152" t="str">
        <f>HYPERLINK("https://nconnect.nicmar.ac.in/public/storage/profile/699727180bfeb.png","Download")</f>
        <v>0</v>
      </c>
      <c r="CS152" t="str">
        <f>HYPERLINK("https://nconnect.nicmar.ac.in/pdf/253_resume_1771517649.pdf/Y2FyZWVy","View Resume")</f>
        <v>0</v>
      </c>
    </row>
    <row r="153" spans="1:97">
      <c r="A153" t="s">
        <v>192</v>
      </c>
      <c r="B153" t="s">
        <v>138</v>
      </c>
      <c r="C153" t="s">
        <v>165</v>
      </c>
      <c r="D153" t="s">
        <v>193</v>
      </c>
      <c r="E153" t="s">
        <v>2733</v>
      </c>
      <c r="F153" t="s">
        <v>2734</v>
      </c>
      <c r="G153">
        <v>8830958548</v>
      </c>
      <c r="H153" t="s">
        <v>103</v>
      </c>
      <c r="I153" t="s">
        <v>2735</v>
      </c>
      <c r="J153" t="s">
        <v>105</v>
      </c>
      <c r="K153" t="s">
        <v>440</v>
      </c>
      <c r="L153" t="s">
        <v>2736</v>
      </c>
      <c r="M153" t="s">
        <v>2737</v>
      </c>
      <c r="N153" t="s">
        <v>109</v>
      </c>
      <c r="AI153" t="s">
        <v>2738</v>
      </c>
      <c r="AJ153" t="s">
        <v>2739</v>
      </c>
      <c r="AK153" t="s">
        <v>342</v>
      </c>
      <c r="AL153">
        <v>80.13</v>
      </c>
      <c r="AN153">
        <v>2001</v>
      </c>
      <c r="AO153" t="s">
        <v>113</v>
      </c>
      <c r="AP153" t="s">
        <v>2740</v>
      </c>
      <c r="AQ153" t="s">
        <v>2739</v>
      </c>
      <c r="AR153" t="s">
        <v>277</v>
      </c>
      <c r="AS153">
        <v>63.26</v>
      </c>
      <c r="AU153">
        <v>2003</v>
      </c>
      <c r="AV153" t="s">
        <v>109</v>
      </c>
      <c r="AW153" t="s">
        <v>342</v>
      </c>
      <c r="AX153" t="s">
        <v>342</v>
      </c>
      <c r="BC153" t="s">
        <v>113</v>
      </c>
      <c r="BD153" t="s">
        <v>2741</v>
      </c>
      <c r="BE153" t="s">
        <v>2739</v>
      </c>
      <c r="BF153" t="s">
        <v>2742</v>
      </c>
      <c r="BG153">
        <v>65</v>
      </c>
      <c r="BI153">
        <v>2007</v>
      </c>
      <c r="BJ153">
        <v>19</v>
      </c>
      <c r="BK153" t="s">
        <v>2743</v>
      </c>
      <c r="BL153">
        <v>53</v>
      </c>
      <c r="BM153" t="s">
        <v>2742</v>
      </c>
      <c r="BN153" t="s">
        <v>113</v>
      </c>
      <c r="BO153" t="s">
        <v>2744</v>
      </c>
      <c r="BP153" t="s">
        <v>619</v>
      </c>
      <c r="BQ153" t="s">
        <v>746</v>
      </c>
      <c r="BR153">
        <v>61</v>
      </c>
      <c r="BT153">
        <v>2009</v>
      </c>
      <c r="BU153">
        <v>31</v>
      </c>
      <c r="BV153" t="s">
        <v>339</v>
      </c>
      <c r="BW153">
        <v>33</v>
      </c>
      <c r="BY153" t="s">
        <v>109</v>
      </c>
      <c r="CF153" t="s">
        <v>113</v>
      </c>
      <c r="CG153" t="s">
        <v>193</v>
      </c>
      <c r="CH153" t="s">
        <v>259</v>
      </c>
      <c r="CI153" t="s">
        <v>132</v>
      </c>
      <c r="CJ153">
        <v>2025</v>
      </c>
      <c r="CL153" t="s">
        <v>113</v>
      </c>
      <c r="CM153" t="s">
        <v>2745</v>
      </c>
      <c r="CN153" t="s">
        <v>113</v>
      </c>
      <c r="CO153" t="s">
        <v>2746</v>
      </c>
      <c r="CP153" t="s">
        <v>2747</v>
      </c>
      <c r="CQ153" t="s">
        <v>2748</v>
      </c>
      <c r="CR153" t="str">
        <f>HYPERLINK("https://nconnect.nicmar.ac.in/public/storage/profile/699726db835e5.png","Download")</f>
        <v>0</v>
      </c>
      <c r="CS153" t="str">
        <f>HYPERLINK("https://nconnect.nicmar.ac.in/pdf/252_resume_1771519569.pdf/Y2FyZWVy","View Resume")</f>
        <v>0</v>
      </c>
    </row>
    <row r="154" spans="1:97">
      <c r="A154" t="s">
        <v>137</v>
      </c>
      <c r="B154" t="s">
        <v>138</v>
      </c>
      <c r="C154" t="s">
        <v>139</v>
      </c>
      <c r="D154" t="s">
        <v>140</v>
      </c>
      <c r="E154" t="s">
        <v>2749</v>
      </c>
      <c r="F154" t="s">
        <v>2750</v>
      </c>
      <c r="G154">
        <v>9346120213</v>
      </c>
      <c r="H154" t="s">
        <v>169</v>
      </c>
      <c r="I154" t="s">
        <v>2751</v>
      </c>
      <c r="J154" t="s">
        <v>105</v>
      </c>
      <c r="K154" t="s">
        <v>2752</v>
      </c>
      <c r="L154" t="s">
        <v>2753</v>
      </c>
      <c r="M154" t="s">
        <v>2754</v>
      </c>
      <c r="N154" t="s">
        <v>109</v>
      </c>
      <c r="AI154" t="s">
        <v>2755</v>
      </c>
      <c r="AJ154" t="s">
        <v>2756</v>
      </c>
      <c r="AK154" t="s">
        <v>277</v>
      </c>
      <c r="AL154">
        <v>84</v>
      </c>
      <c r="AN154">
        <v>2009</v>
      </c>
      <c r="AO154" t="s">
        <v>113</v>
      </c>
      <c r="AP154" t="s">
        <v>2757</v>
      </c>
      <c r="AQ154" t="s">
        <v>2756</v>
      </c>
      <c r="AR154" t="s">
        <v>2758</v>
      </c>
      <c r="AS154">
        <v>70</v>
      </c>
      <c r="AU154">
        <v>2011</v>
      </c>
      <c r="AV154" t="s">
        <v>109</v>
      </c>
      <c r="BC154" t="s">
        <v>113</v>
      </c>
      <c r="BD154" t="s">
        <v>2759</v>
      </c>
      <c r="BE154" t="s">
        <v>2760</v>
      </c>
      <c r="BF154" t="s">
        <v>309</v>
      </c>
      <c r="BG154">
        <v>79.6</v>
      </c>
      <c r="BH154">
        <v>7.96</v>
      </c>
      <c r="BI154">
        <v>2015</v>
      </c>
      <c r="BJ154">
        <v>1</v>
      </c>
      <c r="BL154">
        <v>9</v>
      </c>
      <c r="BN154" t="s">
        <v>113</v>
      </c>
      <c r="BO154" t="s">
        <v>2761</v>
      </c>
      <c r="BP154" t="s">
        <v>2762</v>
      </c>
      <c r="BQ154" t="s">
        <v>140</v>
      </c>
      <c r="BR154">
        <v>93.1</v>
      </c>
      <c r="BS154">
        <v>9.31</v>
      </c>
      <c r="BT154">
        <v>2017</v>
      </c>
      <c r="BU154">
        <v>14</v>
      </c>
      <c r="BW154">
        <v>7</v>
      </c>
      <c r="BY154" t="s">
        <v>113</v>
      </c>
      <c r="BZ154" t="s">
        <v>2763</v>
      </c>
      <c r="CA154" t="s">
        <v>2764</v>
      </c>
      <c r="CB154" t="s">
        <v>2765</v>
      </c>
      <c r="CC154">
        <v>0</v>
      </c>
      <c r="CE154">
        <v>2026</v>
      </c>
      <c r="CF154" t="s">
        <v>113</v>
      </c>
      <c r="CG154" t="s">
        <v>2766</v>
      </c>
      <c r="CH154" t="s">
        <v>2767</v>
      </c>
      <c r="CI154" t="s">
        <v>132</v>
      </c>
      <c r="CJ154">
        <v>2025</v>
      </c>
      <c r="CL154" t="s">
        <v>113</v>
      </c>
      <c r="CM154" t="s">
        <v>2768</v>
      </c>
      <c r="CN154" t="s">
        <v>113</v>
      </c>
      <c r="CO154" t="s">
        <v>2769</v>
      </c>
      <c r="CP154" t="s">
        <v>2770</v>
      </c>
      <c r="CQ154" t="s">
        <v>2771</v>
      </c>
      <c r="CR154" t="s">
        <v>136</v>
      </c>
      <c r="CS154" t="str">
        <f>HYPERLINK("https://nconnect.nicmar.ac.in/pdf/258_resume_1771519534.pdf/Y2FyZWVy","View Resume")</f>
        <v>0</v>
      </c>
    </row>
    <row r="155" spans="1:97">
      <c r="A155" t="s">
        <v>164</v>
      </c>
      <c r="B155" t="s">
        <v>138</v>
      </c>
      <c r="C155" t="s">
        <v>165</v>
      </c>
      <c r="D155" t="s">
        <v>166</v>
      </c>
      <c r="E155" t="s">
        <v>2772</v>
      </c>
      <c r="F155" t="s">
        <v>2773</v>
      </c>
      <c r="G155">
        <v>9332444414</v>
      </c>
      <c r="H155" t="s">
        <v>103</v>
      </c>
      <c r="I155" t="s">
        <v>2774</v>
      </c>
      <c r="J155" t="s">
        <v>105</v>
      </c>
      <c r="K155" t="s">
        <v>505</v>
      </c>
      <c r="L155" t="s">
        <v>2775</v>
      </c>
      <c r="M155" t="s">
        <v>2776</v>
      </c>
      <c r="N155" t="s">
        <v>109</v>
      </c>
      <c r="AI155" t="s">
        <v>2777</v>
      </c>
      <c r="AJ155" t="s">
        <v>2778</v>
      </c>
      <c r="AK155" t="s">
        <v>1212</v>
      </c>
      <c r="AL155">
        <v>83.4</v>
      </c>
      <c r="AN155">
        <v>2002</v>
      </c>
      <c r="AO155" t="s">
        <v>113</v>
      </c>
      <c r="AP155" t="s">
        <v>2777</v>
      </c>
      <c r="AQ155" t="s">
        <v>2779</v>
      </c>
      <c r="AR155" t="s">
        <v>277</v>
      </c>
      <c r="AS155">
        <v>63.4</v>
      </c>
      <c r="AU155">
        <v>2004</v>
      </c>
      <c r="AV155" t="s">
        <v>109</v>
      </c>
      <c r="BC155" t="s">
        <v>113</v>
      </c>
      <c r="BD155" t="s">
        <v>2780</v>
      </c>
      <c r="BE155" t="s">
        <v>2781</v>
      </c>
      <c r="BF155" t="s">
        <v>2782</v>
      </c>
      <c r="BG155">
        <v>81.3</v>
      </c>
      <c r="BI155">
        <v>2009</v>
      </c>
      <c r="BJ155">
        <v>19</v>
      </c>
      <c r="BK155" t="s">
        <v>2783</v>
      </c>
      <c r="BL155">
        <v>53</v>
      </c>
      <c r="BM155" t="s">
        <v>2784</v>
      </c>
      <c r="BN155" t="s">
        <v>113</v>
      </c>
      <c r="BO155" t="s">
        <v>2785</v>
      </c>
      <c r="BP155" t="s">
        <v>2786</v>
      </c>
      <c r="BQ155" t="s">
        <v>2787</v>
      </c>
      <c r="BR155">
        <v>76.8</v>
      </c>
      <c r="BT155">
        <v>2014</v>
      </c>
      <c r="BU155">
        <v>31</v>
      </c>
      <c r="BV155" t="s">
        <v>339</v>
      </c>
      <c r="BW155">
        <v>53</v>
      </c>
      <c r="BX155" t="s">
        <v>2787</v>
      </c>
      <c r="BY155" t="s">
        <v>113</v>
      </c>
      <c r="BZ155" t="s">
        <v>2788</v>
      </c>
      <c r="CA155" t="s">
        <v>2789</v>
      </c>
      <c r="CB155" t="s">
        <v>841</v>
      </c>
      <c r="CC155">
        <v>97.2</v>
      </c>
      <c r="CE155">
        <v>2018</v>
      </c>
      <c r="CF155" t="s">
        <v>113</v>
      </c>
      <c r="CG155" t="s">
        <v>2790</v>
      </c>
      <c r="CH155" t="s">
        <v>2791</v>
      </c>
      <c r="CI155" t="s">
        <v>240</v>
      </c>
      <c r="CK155" t="s">
        <v>113</v>
      </c>
      <c r="CL155" t="s">
        <v>109</v>
      </c>
      <c r="CN155" t="s">
        <v>113</v>
      </c>
      <c r="CO155" t="s">
        <v>2792</v>
      </c>
      <c r="CP155" t="s">
        <v>460</v>
      </c>
      <c r="CQ155" t="s">
        <v>2793</v>
      </c>
      <c r="CR155" t="str">
        <f>HYPERLINK("https://nconnect.nicmar.ac.in/public/storage/profile/6996cc252a4f1.png","Download")</f>
        <v>0</v>
      </c>
      <c r="CS155" t="str">
        <f>HYPERLINK("https://nconnect.nicmar.ac.in/pdf/242_resume_1771520416.pdf/Y2FyZWVy","View Resume")</f>
        <v>0</v>
      </c>
    </row>
    <row r="156" spans="1:97">
      <c r="A156" t="s">
        <v>2591</v>
      </c>
      <c r="B156" t="s">
        <v>138</v>
      </c>
      <c r="C156" t="s">
        <v>295</v>
      </c>
      <c r="D156" t="s">
        <v>2592</v>
      </c>
      <c r="E156" t="s">
        <v>2794</v>
      </c>
      <c r="F156" t="s">
        <v>2795</v>
      </c>
      <c r="G156">
        <v>8007458384</v>
      </c>
      <c r="H156" t="s">
        <v>103</v>
      </c>
      <c r="I156" t="s">
        <v>2796</v>
      </c>
      <c r="J156" t="s">
        <v>144</v>
      </c>
      <c r="K156" t="s">
        <v>2797</v>
      </c>
      <c r="L156" t="s">
        <v>2798</v>
      </c>
      <c r="M156" t="s">
        <v>2799</v>
      </c>
      <c r="N156" t="s">
        <v>109</v>
      </c>
      <c r="AI156" t="s">
        <v>2800</v>
      </c>
      <c r="AJ156" t="s">
        <v>2801</v>
      </c>
      <c r="AK156" t="s">
        <v>2802</v>
      </c>
      <c r="AL156">
        <v>86</v>
      </c>
      <c r="AN156">
        <v>2015</v>
      </c>
      <c r="AO156" t="s">
        <v>109</v>
      </c>
      <c r="AV156" t="s">
        <v>113</v>
      </c>
      <c r="AW156" t="s">
        <v>2803</v>
      </c>
      <c r="AX156" t="s">
        <v>2804</v>
      </c>
      <c r="AY156" t="s">
        <v>309</v>
      </c>
      <c r="AZ156">
        <v>73.15</v>
      </c>
      <c r="BB156">
        <v>2018</v>
      </c>
      <c r="BC156" t="s">
        <v>113</v>
      </c>
      <c r="BD156" t="s">
        <v>2805</v>
      </c>
      <c r="BE156" t="s">
        <v>2806</v>
      </c>
      <c r="BF156" t="s">
        <v>309</v>
      </c>
      <c r="BG156">
        <v>76.9</v>
      </c>
      <c r="BI156">
        <v>2023</v>
      </c>
      <c r="BJ156">
        <v>2</v>
      </c>
      <c r="BL156">
        <v>9</v>
      </c>
      <c r="BN156" t="s">
        <v>113</v>
      </c>
      <c r="BO156" t="s">
        <v>2807</v>
      </c>
      <c r="BP156" t="s">
        <v>2807</v>
      </c>
      <c r="BQ156" t="s">
        <v>2649</v>
      </c>
      <c r="BR156">
        <v>73.2</v>
      </c>
      <c r="BS156">
        <v>7.82</v>
      </c>
      <c r="BT156">
        <v>2025</v>
      </c>
      <c r="BU156">
        <v>12</v>
      </c>
      <c r="BW156">
        <v>13</v>
      </c>
      <c r="BY156" t="s">
        <v>109</v>
      </c>
      <c r="CF156" t="s">
        <v>109</v>
      </c>
      <c r="CL156" t="s">
        <v>113</v>
      </c>
      <c r="CM156" t="s">
        <v>2808</v>
      </c>
      <c r="CN156" t="s">
        <v>113</v>
      </c>
      <c r="CO156" t="s">
        <v>2809</v>
      </c>
      <c r="CP156" t="s">
        <v>2810</v>
      </c>
      <c r="CQ156" t="s">
        <v>2811</v>
      </c>
      <c r="CR156" t="str">
        <f>HYPERLINK("https://nconnect.nicmar.ac.in/public/storage/profile/69972f20ced20.png","Download")</f>
        <v>0</v>
      </c>
      <c r="CS156" t="str">
        <f>HYPERLINK("https://nconnect.nicmar.ac.in/pdf/259_resume_1771521339.pdf/Y2FyZWVy","View Resume")</f>
        <v>0</v>
      </c>
    </row>
    <row r="157" spans="1:97">
      <c r="A157" t="s">
        <v>370</v>
      </c>
      <c r="B157" t="s">
        <v>138</v>
      </c>
      <c r="C157" t="s">
        <v>295</v>
      </c>
      <c r="D157" t="s">
        <v>371</v>
      </c>
      <c r="E157" t="s">
        <v>2794</v>
      </c>
      <c r="F157" t="s">
        <v>2795</v>
      </c>
      <c r="G157">
        <v>8007458384</v>
      </c>
      <c r="H157" t="s">
        <v>103</v>
      </c>
      <c r="I157" t="s">
        <v>2796</v>
      </c>
      <c r="J157" t="s">
        <v>144</v>
      </c>
      <c r="K157" t="s">
        <v>2797</v>
      </c>
      <c r="L157" t="s">
        <v>2798</v>
      </c>
      <c r="M157" t="s">
        <v>2799</v>
      </c>
      <c r="N157" t="s">
        <v>109</v>
      </c>
      <c r="AI157" t="s">
        <v>2800</v>
      </c>
      <c r="AJ157" t="s">
        <v>2801</v>
      </c>
      <c r="AK157" t="s">
        <v>2802</v>
      </c>
      <c r="AL157">
        <v>86</v>
      </c>
      <c r="AN157">
        <v>2015</v>
      </c>
      <c r="AO157" t="s">
        <v>109</v>
      </c>
      <c r="AV157" t="s">
        <v>113</v>
      </c>
      <c r="AW157" t="s">
        <v>2803</v>
      </c>
      <c r="AX157" t="s">
        <v>2804</v>
      </c>
      <c r="AY157" t="s">
        <v>309</v>
      </c>
      <c r="AZ157">
        <v>73.15</v>
      </c>
      <c r="BB157">
        <v>2018</v>
      </c>
      <c r="BC157" t="s">
        <v>113</v>
      </c>
      <c r="BD157" t="s">
        <v>2805</v>
      </c>
      <c r="BE157" t="s">
        <v>2806</v>
      </c>
      <c r="BF157" t="s">
        <v>309</v>
      </c>
      <c r="BG157">
        <v>76.9</v>
      </c>
      <c r="BI157">
        <v>2023</v>
      </c>
      <c r="BJ157">
        <v>2</v>
      </c>
      <c r="BL157">
        <v>9</v>
      </c>
      <c r="BN157" t="s">
        <v>113</v>
      </c>
      <c r="BO157" t="s">
        <v>2807</v>
      </c>
      <c r="BP157" t="s">
        <v>2807</v>
      </c>
      <c r="BQ157" t="s">
        <v>2649</v>
      </c>
      <c r="BR157">
        <v>73.2</v>
      </c>
      <c r="BS157">
        <v>7.82</v>
      </c>
      <c r="BT157">
        <v>2025</v>
      </c>
      <c r="BU157">
        <v>12</v>
      </c>
      <c r="BW157">
        <v>13</v>
      </c>
      <c r="BY157" t="s">
        <v>109</v>
      </c>
      <c r="CF157" t="s">
        <v>109</v>
      </c>
      <c r="CL157" t="s">
        <v>113</v>
      </c>
      <c r="CM157" t="s">
        <v>2808</v>
      </c>
      <c r="CN157" t="s">
        <v>113</v>
      </c>
      <c r="CO157" t="s">
        <v>2809</v>
      </c>
      <c r="CP157" t="s">
        <v>2810</v>
      </c>
      <c r="CQ157" t="s">
        <v>2811</v>
      </c>
      <c r="CR157" t="str">
        <f>HYPERLINK("https://nconnect.nicmar.ac.in/public/storage/profile/69972f20ced20.png","Download")</f>
        <v>0</v>
      </c>
      <c r="CS157" t="str">
        <f>HYPERLINK("https://nconnect.nicmar.ac.in/pdf/259_resume_1771521339.pdf/Y2FyZWVy","View Resume")</f>
        <v>0</v>
      </c>
    </row>
    <row r="158" spans="1:97">
      <c r="A158" t="s">
        <v>1203</v>
      </c>
      <c r="B158" t="s">
        <v>138</v>
      </c>
      <c r="C158" t="s">
        <v>165</v>
      </c>
      <c r="D158" t="s">
        <v>1204</v>
      </c>
      <c r="E158" t="s">
        <v>2812</v>
      </c>
      <c r="F158" t="s">
        <v>2813</v>
      </c>
      <c r="G158">
        <v>9527368556</v>
      </c>
      <c r="H158" t="s">
        <v>169</v>
      </c>
      <c r="I158" t="s">
        <v>2814</v>
      </c>
      <c r="J158" t="s">
        <v>105</v>
      </c>
      <c r="K158" t="s">
        <v>505</v>
      </c>
      <c r="L158" t="s">
        <v>2815</v>
      </c>
      <c r="M158" t="s">
        <v>2816</v>
      </c>
      <c r="N158" t="s">
        <v>109</v>
      </c>
      <c r="AI158" t="s">
        <v>2817</v>
      </c>
      <c r="AJ158" t="s">
        <v>2818</v>
      </c>
      <c r="AK158" t="s">
        <v>2819</v>
      </c>
      <c r="AL158">
        <v>81.2</v>
      </c>
      <c r="AN158">
        <v>1998</v>
      </c>
      <c r="AO158" t="s">
        <v>113</v>
      </c>
      <c r="AP158" t="s">
        <v>2820</v>
      </c>
      <c r="AQ158" t="s">
        <v>2818</v>
      </c>
      <c r="AR158" t="s">
        <v>2821</v>
      </c>
      <c r="AS158">
        <v>75</v>
      </c>
      <c r="AU158">
        <v>2000</v>
      </c>
      <c r="AV158" t="s">
        <v>109</v>
      </c>
      <c r="BC158" t="s">
        <v>113</v>
      </c>
      <c r="BD158" t="s">
        <v>2822</v>
      </c>
      <c r="BE158" t="s">
        <v>2823</v>
      </c>
      <c r="BF158" t="s">
        <v>646</v>
      </c>
      <c r="BG158">
        <v>72.3</v>
      </c>
      <c r="BI158">
        <v>2003</v>
      </c>
      <c r="BJ158">
        <v>19</v>
      </c>
      <c r="BK158" t="s">
        <v>647</v>
      </c>
      <c r="BL158">
        <v>53</v>
      </c>
      <c r="BM158" t="s">
        <v>1866</v>
      </c>
      <c r="BN158" t="s">
        <v>113</v>
      </c>
      <c r="BO158" t="s">
        <v>2824</v>
      </c>
      <c r="BP158" t="s">
        <v>2825</v>
      </c>
      <c r="BQ158" t="s">
        <v>2826</v>
      </c>
      <c r="BR158">
        <v>88</v>
      </c>
      <c r="BS158">
        <v>9.55</v>
      </c>
      <c r="BT158">
        <v>2005</v>
      </c>
      <c r="BU158">
        <v>31</v>
      </c>
      <c r="BV158" t="s">
        <v>2827</v>
      </c>
      <c r="BW158">
        <v>53</v>
      </c>
      <c r="BX158" t="s">
        <v>2828</v>
      </c>
      <c r="BY158" t="s">
        <v>109</v>
      </c>
      <c r="CF158" t="s">
        <v>113</v>
      </c>
      <c r="CG158" t="s">
        <v>193</v>
      </c>
      <c r="CH158" t="s">
        <v>2829</v>
      </c>
      <c r="CI158" t="s">
        <v>132</v>
      </c>
      <c r="CJ158">
        <v>2026</v>
      </c>
      <c r="CL158" t="s">
        <v>113</v>
      </c>
      <c r="CN158" t="s">
        <v>109</v>
      </c>
      <c r="CP158" t="s">
        <v>460</v>
      </c>
      <c r="CQ158" t="s">
        <v>2830</v>
      </c>
      <c r="CR158" t="str">
        <f>HYPERLINK("https://nconnect.nicmar.ac.in/public/storage/profile/699746a3aca71.png","Download")</f>
        <v>0</v>
      </c>
      <c r="CS158" t="str">
        <f>HYPERLINK("https://nconnect.nicmar.ac.in/pdf/268_resume_1771522888.pdf/Y2FyZWVy","View Resume")</f>
        <v>0</v>
      </c>
    </row>
    <row r="159" spans="1:97">
      <c r="A159" t="s">
        <v>294</v>
      </c>
      <c r="B159" t="s">
        <v>138</v>
      </c>
      <c r="C159" t="s">
        <v>295</v>
      </c>
      <c r="D159" t="s">
        <v>296</v>
      </c>
      <c r="E159" t="s">
        <v>2794</v>
      </c>
      <c r="F159" t="s">
        <v>2795</v>
      </c>
      <c r="G159">
        <v>8007458384</v>
      </c>
      <c r="H159" t="s">
        <v>103</v>
      </c>
      <c r="I159" t="s">
        <v>2796</v>
      </c>
      <c r="J159" t="s">
        <v>144</v>
      </c>
      <c r="K159" t="s">
        <v>2797</v>
      </c>
      <c r="L159" t="s">
        <v>2798</v>
      </c>
      <c r="M159" t="s">
        <v>2799</v>
      </c>
      <c r="N159" t="s">
        <v>109</v>
      </c>
      <c r="AI159" t="s">
        <v>2800</v>
      </c>
      <c r="AJ159" t="s">
        <v>2801</v>
      </c>
      <c r="AK159" t="s">
        <v>2802</v>
      </c>
      <c r="AL159">
        <v>86</v>
      </c>
      <c r="AN159">
        <v>2015</v>
      </c>
      <c r="AO159" t="s">
        <v>109</v>
      </c>
      <c r="AV159" t="s">
        <v>113</v>
      </c>
      <c r="AW159" t="s">
        <v>2803</v>
      </c>
      <c r="AX159" t="s">
        <v>2804</v>
      </c>
      <c r="AY159" t="s">
        <v>309</v>
      </c>
      <c r="AZ159">
        <v>73.15</v>
      </c>
      <c r="BB159">
        <v>2018</v>
      </c>
      <c r="BC159" t="s">
        <v>113</v>
      </c>
      <c r="BD159" t="s">
        <v>2805</v>
      </c>
      <c r="BE159" t="s">
        <v>2806</v>
      </c>
      <c r="BF159" t="s">
        <v>309</v>
      </c>
      <c r="BG159">
        <v>76.9</v>
      </c>
      <c r="BI159">
        <v>2023</v>
      </c>
      <c r="BJ159">
        <v>2</v>
      </c>
      <c r="BL159">
        <v>9</v>
      </c>
      <c r="BN159" t="s">
        <v>113</v>
      </c>
      <c r="BO159" t="s">
        <v>2807</v>
      </c>
      <c r="BP159" t="s">
        <v>2807</v>
      </c>
      <c r="BQ159" t="s">
        <v>2649</v>
      </c>
      <c r="BR159">
        <v>73.2</v>
      </c>
      <c r="BS159">
        <v>7.82</v>
      </c>
      <c r="BT159">
        <v>2025</v>
      </c>
      <c r="BU159">
        <v>12</v>
      </c>
      <c r="BW159">
        <v>13</v>
      </c>
      <c r="BY159" t="s">
        <v>109</v>
      </c>
      <c r="CF159" t="s">
        <v>109</v>
      </c>
      <c r="CL159" t="s">
        <v>113</v>
      </c>
      <c r="CM159" t="s">
        <v>2808</v>
      </c>
      <c r="CN159" t="s">
        <v>113</v>
      </c>
      <c r="CO159" t="s">
        <v>2809</v>
      </c>
      <c r="CP159" t="s">
        <v>2810</v>
      </c>
      <c r="CQ159" t="s">
        <v>2831</v>
      </c>
      <c r="CR159" t="str">
        <f>HYPERLINK("https://nconnect.nicmar.ac.in/public/storage/profile/69972f20ced20.png","Download")</f>
        <v>0</v>
      </c>
      <c r="CS159" t="str">
        <f>HYPERLINK("https://nconnect.nicmar.ac.in/pdf/259_resume_1771521339.pdf/Y2FyZWVy","View Resume")</f>
        <v>0</v>
      </c>
    </row>
    <row r="160" spans="1:97">
      <c r="A160" t="s">
        <v>192</v>
      </c>
      <c r="B160" t="s">
        <v>138</v>
      </c>
      <c r="C160" t="s">
        <v>165</v>
      </c>
      <c r="D160" t="s">
        <v>193</v>
      </c>
      <c r="E160" t="s">
        <v>2812</v>
      </c>
      <c r="F160" t="s">
        <v>2813</v>
      </c>
      <c r="G160">
        <v>9527368556</v>
      </c>
      <c r="H160" t="s">
        <v>169</v>
      </c>
      <c r="I160" t="s">
        <v>2814</v>
      </c>
      <c r="J160" t="s">
        <v>105</v>
      </c>
      <c r="K160" t="s">
        <v>505</v>
      </c>
      <c r="L160" t="s">
        <v>2815</v>
      </c>
      <c r="M160" t="s">
        <v>2816</v>
      </c>
      <c r="N160" t="s">
        <v>109</v>
      </c>
      <c r="AI160" t="s">
        <v>2817</v>
      </c>
      <c r="AJ160" t="s">
        <v>2818</v>
      </c>
      <c r="AK160" t="s">
        <v>2819</v>
      </c>
      <c r="AL160">
        <v>81.2</v>
      </c>
      <c r="AN160">
        <v>1998</v>
      </c>
      <c r="AO160" t="s">
        <v>113</v>
      </c>
      <c r="AP160" t="s">
        <v>2820</v>
      </c>
      <c r="AQ160" t="s">
        <v>2818</v>
      </c>
      <c r="AR160" t="s">
        <v>2821</v>
      </c>
      <c r="AS160">
        <v>75</v>
      </c>
      <c r="AU160">
        <v>2000</v>
      </c>
      <c r="AV160" t="s">
        <v>109</v>
      </c>
      <c r="BC160" t="s">
        <v>113</v>
      </c>
      <c r="BD160" t="s">
        <v>2822</v>
      </c>
      <c r="BE160" t="s">
        <v>2823</v>
      </c>
      <c r="BF160" t="s">
        <v>646</v>
      </c>
      <c r="BG160">
        <v>72.3</v>
      </c>
      <c r="BI160">
        <v>2003</v>
      </c>
      <c r="BJ160">
        <v>19</v>
      </c>
      <c r="BK160" t="s">
        <v>647</v>
      </c>
      <c r="BL160">
        <v>53</v>
      </c>
      <c r="BM160" t="s">
        <v>1866</v>
      </c>
      <c r="BN160" t="s">
        <v>113</v>
      </c>
      <c r="BO160" t="s">
        <v>2824</v>
      </c>
      <c r="BP160" t="s">
        <v>2825</v>
      </c>
      <c r="BQ160" t="s">
        <v>2826</v>
      </c>
      <c r="BR160">
        <v>88</v>
      </c>
      <c r="BS160">
        <v>9.55</v>
      </c>
      <c r="BT160">
        <v>2005</v>
      </c>
      <c r="BU160">
        <v>31</v>
      </c>
      <c r="BV160" t="s">
        <v>2827</v>
      </c>
      <c r="BW160">
        <v>53</v>
      </c>
      <c r="BX160" t="s">
        <v>2828</v>
      </c>
      <c r="BY160" t="s">
        <v>109</v>
      </c>
      <c r="CF160" t="s">
        <v>113</v>
      </c>
      <c r="CG160" t="s">
        <v>193</v>
      </c>
      <c r="CH160" t="s">
        <v>2829</v>
      </c>
      <c r="CI160" t="s">
        <v>132</v>
      </c>
      <c r="CJ160">
        <v>2026</v>
      </c>
      <c r="CL160" t="s">
        <v>113</v>
      </c>
      <c r="CN160" t="s">
        <v>109</v>
      </c>
      <c r="CP160" t="s">
        <v>460</v>
      </c>
      <c r="CQ160" t="s">
        <v>2831</v>
      </c>
      <c r="CR160" t="str">
        <f>HYPERLINK("https://nconnect.nicmar.ac.in/public/storage/profile/699746a3aca71.png","Download")</f>
        <v>0</v>
      </c>
      <c r="CS160" t="str">
        <f>HYPERLINK("https://nconnect.nicmar.ac.in/pdf/268_resume_1771522888.pdf/Y2FyZWVy","View Resume")</f>
        <v>0</v>
      </c>
    </row>
    <row r="161" spans="1:97">
      <c r="A161" t="s">
        <v>367</v>
      </c>
      <c r="B161" t="s">
        <v>138</v>
      </c>
      <c r="C161" t="s">
        <v>295</v>
      </c>
      <c r="D161" t="s">
        <v>368</v>
      </c>
      <c r="E161" t="s">
        <v>2794</v>
      </c>
      <c r="F161" t="s">
        <v>2795</v>
      </c>
      <c r="G161">
        <v>8007458384</v>
      </c>
      <c r="H161" t="s">
        <v>103</v>
      </c>
      <c r="I161" t="s">
        <v>2796</v>
      </c>
      <c r="J161" t="s">
        <v>144</v>
      </c>
      <c r="K161" t="s">
        <v>2797</v>
      </c>
      <c r="L161" t="s">
        <v>2798</v>
      </c>
      <c r="M161" t="s">
        <v>2799</v>
      </c>
      <c r="N161" t="s">
        <v>109</v>
      </c>
      <c r="AI161" t="s">
        <v>2800</v>
      </c>
      <c r="AJ161" t="s">
        <v>2801</v>
      </c>
      <c r="AK161" t="s">
        <v>2802</v>
      </c>
      <c r="AL161">
        <v>86</v>
      </c>
      <c r="AN161">
        <v>2015</v>
      </c>
      <c r="AO161" t="s">
        <v>109</v>
      </c>
      <c r="AV161" t="s">
        <v>113</v>
      </c>
      <c r="AW161" t="s">
        <v>2803</v>
      </c>
      <c r="AX161" t="s">
        <v>2804</v>
      </c>
      <c r="AY161" t="s">
        <v>309</v>
      </c>
      <c r="AZ161">
        <v>73.15</v>
      </c>
      <c r="BB161">
        <v>2018</v>
      </c>
      <c r="BC161" t="s">
        <v>113</v>
      </c>
      <c r="BD161" t="s">
        <v>2805</v>
      </c>
      <c r="BE161" t="s">
        <v>2806</v>
      </c>
      <c r="BF161" t="s">
        <v>309</v>
      </c>
      <c r="BG161">
        <v>76.9</v>
      </c>
      <c r="BI161">
        <v>2023</v>
      </c>
      <c r="BJ161">
        <v>2</v>
      </c>
      <c r="BL161">
        <v>9</v>
      </c>
      <c r="BN161" t="s">
        <v>113</v>
      </c>
      <c r="BO161" t="s">
        <v>2807</v>
      </c>
      <c r="BP161" t="s">
        <v>2807</v>
      </c>
      <c r="BQ161" t="s">
        <v>2649</v>
      </c>
      <c r="BR161">
        <v>73.2</v>
      </c>
      <c r="BS161">
        <v>7.82</v>
      </c>
      <c r="BT161">
        <v>2025</v>
      </c>
      <c r="BU161">
        <v>12</v>
      </c>
      <c r="BW161">
        <v>13</v>
      </c>
      <c r="BY161" t="s">
        <v>109</v>
      </c>
      <c r="CF161" t="s">
        <v>109</v>
      </c>
      <c r="CL161" t="s">
        <v>113</v>
      </c>
      <c r="CM161" t="s">
        <v>2808</v>
      </c>
      <c r="CN161" t="s">
        <v>113</v>
      </c>
      <c r="CO161" t="s">
        <v>2809</v>
      </c>
      <c r="CP161" t="s">
        <v>2810</v>
      </c>
      <c r="CQ161" t="s">
        <v>2831</v>
      </c>
      <c r="CR161" t="str">
        <f>HYPERLINK("https://nconnect.nicmar.ac.in/public/storage/profile/69972f20ced20.png","Download")</f>
        <v>0</v>
      </c>
      <c r="CS161" t="str">
        <f>HYPERLINK("https://nconnect.nicmar.ac.in/pdf/259_resume_1771521339.pdf/Y2FyZWVy","View Resume")</f>
        <v>0</v>
      </c>
    </row>
    <row r="162" spans="1:97">
      <c r="A162" t="s">
        <v>2832</v>
      </c>
      <c r="B162" t="s">
        <v>98</v>
      </c>
      <c r="C162" t="s">
        <v>139</v>
      </c>
      <c r="D162" t="s">
        <v>927</v>
      </c>
      <c r="E162" t="s">
        <v>2833</v>
      </c>
      <c r="F162" t="s">
        <v>2834</v>
      </c>
      <c r="G162">
        <v>9762883306</v>
      </c>
      <c r="H162" t="s">
        <v>103</v>
      </c>
      <c r="I162" t="s">
        <v>2835</v>
      </c>
      <c r="J162" t="s">
        <v>105</v>
      </c>
      <c r="K162" t="s">
        <v>1848</v>
      </c>
      <c r="L162" t="s">
        <v>2836</v>
      </c>
      <c r="M162" t="s">
        <v>2837</v>
      </c>
      <c r="N162" t="s">
        <v>109</v>
      </c>
      <c r="AI162" t="s">
        <v>2838</v>
      </c>
      <c r="AJ162" t="s">
        <v>352</v>
      </c>
      <c r="AK162" t="s">
        <v>2839</v>
      </c>
      <c r="AL162">
        <v>61.09</v>
      </c>
      <c r="AN162">
        <v>2012</v>
      </c>
      <c r="AO162" t="s">
        <v>113</v>
      </c>
      <c r="AP162" t="s">
        <v>2840</v>
      </c>
      <c r="AQ162" t="s">
        <v>2841</v>
      </c>
      <c r="AR162" t="s">
        <v>2842</v>
      </c>
      <c r="AS162">
        <v>58.0</v>
      </c>
      <c r="AU162">
        <v>2014</v>
      </c>
      <c r="AV162" t="s">
        <v>109</v>
      </c>
      <c r="BC162" t="s">
        <v>113</v>
      </c>
      <c r="BD162" t="s">
        <v>2843</v>
      </c>
      <c r="BE162" t="s">
        <v>2844</v>
      </c>
      <c r="BF162" t="s">
        <v>2845</v>
      </c>
      <c r="BG162">
        <v>77.07</v>
      </c>
      <c r="BI162">
        <v>2018</v>
      </c>
      <c r="BJ162">
        <v>1</v>
      </c>
      <c r="BL162">
        <v>9</v>
      </c>
      <c r="BN162" t="s">
        <v>109</v>
      </c>
      <c r="BY162" t="s">
        <v>109</v>
      </c>
      <c r="CF162" t="s">
        <v>109</v>
      </c>
      <c r="CL162" t="s">
        <v>113</v>
      </c>
      <c r="CM162" t="s">
        <v>2846</v>
      </c>
      <c r="CN162" t="s">
        <v>113</v>
      </c>
      <c r="CO162" t="s">
        <v>2847</v>
      </c>
      <c r="CP162" t="s">
        <v>2848</v>
      </c>
      <c r="CQ162" t="s">
        <v>2849</v>
      </c>
      <c r="CR162" t="s">
        <v>136</v>
      </c>
      <c r="CS162" t="str">
        <f>HYPERLINK("https://nconnect.nicmar.ac.in/pdf/269_resume_1771523228.pdf/Y2FyZWVy","View Resume")</f>
        <v>0</v>
      </c>
    </row>
    <row r="163" spans="1:97">
      <c r="A163" t="s">
        <v>846</v>
      </c>
      <c r="B163" t="s">
        <v>138</v>
      </c>
      <c r="C163" t="s">
        <v>165</v>
      </c>
      <c r="D163" t="s">
        <v>847</v>
      </c>
      <c r="E163" t="s">
        <v>2812</v>
      </c>
      <c r="F163" t="s">
        <v>2813</v>
      </c>
      <c r="G163">
        <v>9527368556</v>
      </c>
      <c r="H163" t="s">
        <v>169</v>
      </c>
      <c r="I163" t="s">
        <v>2814</v>
      </c>
      <c r="J163" t="s">
        <v>105</v>
      </c>
      <c r="K163" t="s">
        <v>505</v>
      </c>
      <c r="L163" t="s">
        <v>2815</v>
      </c>
      <c r="M163" t="s">
        <v>2816</v>
      </c>
      <c r="N163" t="s">
        <v>109</v>
      </c>
      <c r="AI163" t="s">
        <v>2817</v>
      </c>
      <c r="AJ163" t="s">
        <v>2818</v>
      </c>
      <c r="AK163" t="s">
        <v>2819</v>
      </c>
      <c r="AL163">
        <v>81.2</v>
      </c>
      <c r="AN163">
        <v>1998</v>
      </c>
      <c r="AO163" t="s">
        <v>113</v>
      </c>
      <c r="AP163" t="s">
        <v>2820</v>
      </c>
      <c r="AQ163" t="s">
        <v>2818</v>
      </c>
      <c r="AR163" t="s">
        <v>2821</v>
      </c>
      <c r="AS163">
        <v>75</v>
      </c>
      <c r="AU163">
        <v>2000</v>
      </c>
      <c r="AV163" t="s">
        <v>109</v>
      </c>
      <c r="BC163" t="s">
        <v>113</v>
      </c>
      <c r="BD163" t="s">
        <v>2822</v>
      </c>
      <c r="BE163" t="s">
        <v>2823</v>
      </c>
      <c r="BF163" t="s">
        <v>646</v>
      </c>
      <c r="BG163">
        <v>72.3</v>
      </c>
      <c r="BI163">
        <v>2003</v>
      </c>
      <c r="BJ163">
        <v>19</v>
      </c>
      <c r="BK163" t="s">
        <v>647</v>
      </c>
      <c r="BL163">
        <v>53</v>
      </c>
      <c r="BM163" t="s">
        <v>1866</v>
      </c>
      <c r="BN163" t="s">
        <v>113</v>
      </c>
      <c r="BO163" t="s">
        <v>2824</v>
      </c>
      <c r="BP163" t="s">
        <v>2825</v>
      </c>
      <c r="BQ163" t="s">
        <v>2826</v>
      </c>
      <c r="BR163">
        <v>88</v>
      </c>
      <c r="BS163">
        <v>9.55</v>
      </c>
      <c r="BT163">
        <v>2005</v>
      </c>
      <c r="BU163">
        <v>31</v>
      </c>
      <c r="BV163" t="s">
        <v>2827</v>
      </c>
      <c r="BW163">
        <v>53</v>
      </c>
      <c r="BX163" t="s">
        <v>2828</v>
      </c>
      <c r="BY163" t="s">
        <v>109</v>
      </c>
      <c r="CF163" t="s">
        <v>113</v>
      </c>
      <c r="CG163" t="s">
        <v>193</v>
      </c>
      <c r="CH163" t="s">
        <v>2829</v>
      </c>
      <c r="CI163" t="s">
        <v>132</v>
      </c>
      <c r="CJ163">
        <v>2026</v>
      </c>
      <c r="CL163" t="s">
        <v>113</v>
      </c>
      <c r="CN163" t="s">
        <v>109</v>
      </c>
      <c r="CP163" t="s">
        <v>460</v>
      </c>
      <c r="CQ163" t="s">
        <v>2850</v>
      </c>
      <c r="CR163" t="str">
        <f>HYPERLINK("https://nconnect.nicmar.ac.in/public/storage/profile/699746a3aca71.png","Download")</f>
        <v>0</v>
      </c>
      <c r="CS163" t="str">
        <f>HYPERLINK("https://nconnect.nicmar.ac.in/pdf/268_resume_1771522888.pdf/Y2FyZWVy","View Resume")</f>
        <v>0</v>
      </c>
    </row>
    <row r="164" spans="1:97">
      <c r="A164" t="s">
        <v>164</v>
      </c>
      <c r="B164" t="s">
        <v>138</v>
      </c>
      <c r="C164" t="s">
        <v>165</v>
      </c>
      <c r="D164" t="s">
        <v>166</v>
      </c>
      <c r="E164" t="s">
        <v>2851</v>
      </c>
      <c r="F164" t="s">
        <v>2852</v>
      </c>
      <c r="G164">
        <v>9604283754</v>
      </c>
      <c r="H164" t="s">
        <v>103</v>
      </c>
      <c r="I164" t="s">
        <v>2853</v>
      </c>
      <c r="J164" t="s">
        <v>105</v>
      </c>
      <c r="K164" t="s">
        <v>2854</v>
      </c>
      <c r="L164" t="s">
        <v>2855</v>
      </c>
      <c r="M164" t="s">
        <v>2856</v>
      </c>
      <c r="N164" t="s">
        <v>109</v>
      </c>
      <c r="AI164" t="s">
        <v>2857</v>
      </c>
      <c r="AJ164" t="s">
        <v>2858</v>
      </c>
      <c r="AK164" t="s">
        <v>2859</v>
      </c>
      <c r="AL164">
        <v>83.45</v>
      </c>
      <c r="AN164">
        <v>2011</v>
      </c>
      <c r="AO164" t="s">
        <v>113</v>
      </c>
      <c r="AP164" t="s">
        <v>2860</v>
      </c>
      <c r="AQ164" t="s">
        <v>1516</v>
      </c>
      <c r="AR164" t="s">
        <v>2861</v>
      </c>
      <c r="AS164">
        <v>55.67</v>
      </c>
      <c r="AU164">
        <v>2013</v>
      </c>
      <c r="AV164" t="s">
        <v>109</v>
      </c>
      <c r="BC164" t="s">
        <v>113</v>
      </c>
      <c r="BD164" t="s">
        <v>279</v>
      </c>
      <c r="BE164" t="s">
        <v>2862</v>
      </c>
      <c r="BF164" t="s">
        <v>2863</v>
      </c>
      <c r="BG164">
        <v>72.27</v>
      </c>
      <c r="BI164">
        <v>2017</v>
      </c>
      <c r="BJ164">
        <v>19</v>
      </c>
      <c r="BK164" t="s">
        <v>2864</v>
      </c>
      <c r="BL164">
        <v>34</v>
      </c>
      <c r="BN164" t="s">
        <v>113</v>
      </c>
      <c r="BO164" t="s">
        <v>279</v>
      </c>
      <c r="BP164" t="s">
        <v>2865</v>
      </c>
      <c r="BQ164" t="s">
        <v>2866</v>
      </c>
      <c r="BR164">
        <v>77.9</v>
      </c>
      <c r="BS164">
        <v>8.2</v>
      </c>
      <c r="BT164">
        <v>2017</v>
      </c>
      <c r="BU164">
        <v>31</v>
      </c>
      <c r="BV164" t="s">
        <v>2867</v>
      </c>
      <c r="BW164">
        <v>34</v>
      </c>
      <c r="BY164" t="s">
        <v>113</v>
      </c>
      <c r="BZ164" t="s">
        <v>279</v>
      </c>
      <c r="CA164" t="s">
        <v>2868</v>
      </c>
      <c r="CB164" t="s">
        <v>2869</v>
      </c>
      <c r="CC164">
        <v>76.57</v>
      </c>
      <c r="CD164">
        <v>8.25</v>
      </c>
      <c r="CE164">
        <v>2021</v>
      </c>
      <c r="CF164" t="s">
        <v>113</v>
      </c>
      <c r="CG164" t="s">
        <v>193</v>
      </c>
      <c r="CH164" t="s">
        <v>1687</v>
      </c>
      <c r="CI164" t="s">
        <v>132</v>
      </c>
      <c r="CJ164">
        <v>2025</v>
      </c>
      <c r="CL164" t="s">
        <v>113</v>
      </c>
      <c r="CN164" t="s">
        <v>109</v>
      </c>
      <c r="CP164" t="s">
        <v>2870</v>
      </c>
      <c r="CQ164" t="s">
        <v>2871</v>
      </c>
      <c r="CR164" t="s">
        <v>136</v>
      </c>
      <c r="CS164" t="str">
        <f>HYPERLINK("https://nconnect.nicmar.ac.in/pdf/255_resume_1771523662.pdf/Y2FyZWVy","View Resume")</f>
        <v>0</v>
      </c>
    </row>
    <row r="165" spans="1:97">
      <c r="A165" t="s">
        <v>192</v>
      </c>
      <c r="B165" t="s">
        <v>138</v>
      </c>
      <c r="C165" t="s">
        <v>165</v>
      </c>
      <c r="D165" t="s">
        <v>193</v>
      </c>
      <c r="E165" t="s">
        <v>2872</v>
      </c>
      <c r="F165" t="s">
        <v>2873</v>
      </c>
      <c r="G165">
        <v>9793487555</v>
      </c>
      <c r="H165" t="s">
        <v>103</v>
      </c>
      <c r="I165" t="s">
        <v>2874</v>
      </c>
      <c r="J165" t="s">
        <v>105</v>
      </c>
      <c r="K165" t="s">
        <v>505</v>
      </c>
      <c r="L165" t="s">
        <v>2875</v>
      </c>
      <c r="M165" t="s">
        <v>2876</v>
      </c>
      <c r="N165" t="s">
        <v>109</v>
      </c>
      <c r="AI165" t="s">
        <v>2877</v>
      </c>
      <c r="AJ165" t="s">
        <v>2878</v>
      </c>
      <c r="AK165" t="s">
        <v>2879</v>
      </c>
      <c r="AL165">
        <v>82</v>
      </c>
      <c r="AN165">
        <v>1999</v>
      </c>
      <c r="AO165" t="s">
        <v>113</v>
      </c>
      <c r="AP165" t="s">
        <v>815</v>
      </c>
      <c r="AQ165" t="s">
        <v>2880</v>
      </c>
      <c r="AR165" t="s">
        <v>2881</v>
      </c>
      <c r="AS165">
        <v>61</v>
      </c>
      <c r="AU165">
        <v>2001</v>
      </c>
      <c r="AV165" t="s">
        <v>109</v>
      </c>
      <c r="BC165" t="s">
        <v>113</v>
      </c>
      <c r="BD165" t="s">
        <v>2882</v>
      </c>
      <c r="BE165" t="s">
        <v>2883</v>
      </c>
      <c r="BF165" t="s">
        <v>2884</v>
      </c>
      <c r="BG165">
        <v>80</v>
      </c>
      <c r="BI165">
        <v>2007</v>
      </c>
      <c r="BJ165">
        <v>19</v>
      </c>
      <c r="BK165" t="s">
        <v>2884</v>
      </c>
      <c r="BL165">
        <v>20</v>
      </c>
      <c r="BN165" t="s">
        <v>113</v>
      </c>
      <c r="BO165" t="s">
        <v>2885</v>
      </c>
      <c r="BP165" t="s">
        <v>2886</v>
      </c>
      <c r="BQ165" t="s">
        <v>2887</v>
      </c>
      <c r="BR165">
        <v>74</v>
      </c>
      <c r="BS165">
        <v>7.7</v>
      </c>
      <c r="BT165">
        <v>2011</v>
      </c>
      <c r="BU165">
        <v>31</v>
      </c>
      <c r="BV165" t="s">
        <v>2888</v>
      </c>
      <c r="BW165">
        <v>53</v>
      </c>
      <c r="BX165" t="s">
        <v>2887</v>
      </c>
      <c r="BY165" t="s">
        <v>109</v>
      </c>
      <c r="CF165" t="s">
        <v>113</v>
      </c>
      <c r="CG165" t="s">
        <v>2889</v>
      </c>
      <c r="CH165" t="s">
        <v>2890</v>
      </c>
      <c r="CI165" t="s">
        <v>240</v>
      </c>
      <c r="CK165" t="s">
        <v>109</v>
      </c>
      <c r="CL165" t="s">
        <v>113</v>
      </c>
      <c r="CM165" t="s">
        <v>2891</v>
      </c>
      <c r="CN165" t="s">
        <v>113</v>
      </c>
      <c r="CO165" t="s">
        <v>2892</v>
      </c>
      <c r="CP165" t="s">
        <v>2893</v>
      </c>
      <c r="CQ165" t="s">
        <v>2894</v>
      </c>
      <c r="CR165" t="str">
        <f>HYPERLINK("https://nconnect.nicmar.ac.in/public/storage/profile/69972befdddf2.png","Download")</f>
        <v>0</v>
      </c>
      <c r="CS165" t="str">
        <f>HYPERLINK("https://nconnect.nicmar.ac.in/pdf/254_resume_1771524396.pdf/Y2FyZWVy","View Resume")</f>
        <v>0</v>
      </c>
    </row>
    <row r="166" spans="1:97">
      <c r="A166" t="s">
        <v>192</v>
      </c>
      <c r="B166" t="s">
        <v>138</v>
      </c>
      <c r="C166" t="s">
        <v>165</v>
      </c>
      <c r="D166" t="s">
        <v>193</v>
      </c>
      <c r="E166" t="s">
        <v>2895</v>
      </c>
      <c r="F166" t="s">
        <v>2896</v>
      </c>
      <c r="G166">
        <v>8624917891</v>
      </c>
      <c r="H166" t="s">
        <v>103</v>
      </c>
      <c r="I166" t="s">
        <v>2897</v>
      </c>
      <c r="J166" t="s">
        <v>105</v>
      </c>
      <c r="K166" t="s">
        <v>1848</v>
      </c>
      <c r="L166" t="s">
        <v>2898</v>
      </c>
      <c r="M166" t="s">
        <v>2899</v>
      </c>
      <c r="N166" t="s">
        <v>109</v>
      </c>
      <c r="AI166" t="s">
        <v>2900</v>
      </c>
      <c r="AJ166" t="s">
        <v>1542</v>
      </c>
      <c r="AK166" t="s">
        <v>2901</v>
      </c>
      <c r="AL166">
        <v>52.53</v>
      </c>
      <c r="AN166">
        <v>1997</v>
      </c>
      <c r="AO166" t="s">
        <v>113</v>
      </c>
      <c r="AP166" t="s">
        <v>2902</v>
      </c>
      <c r="AQ166" t="s">
        <v>1542</v>
      </c>
      <c r="AR166" t="s">
        <v>277</v>
      </c>
      <c r="AS166">
        <v>40.17</v>
      </c>
      <c r="AU166">
        <v>1999</v>
      </c>
      <c r="AV166" t="s">
        <v>109</v>
      </c>
      <c r="BC166" t="s">
        <v>113</v>
      </c>
      <c r="BD166" t="s">
        <v>1863</v>
      </c>
      <c r="BE166" t="s">
        <v>1864</v>
      </c>
      <c r="BF166" t="s">
        <v>2903</v>
      </c>
      <c r="BG166">
        <v>62</v>
      </c>
      <c r="BI166">
        <v>2009</v>
      </c>
      <c r="BJ166">
        <v>19</v>
      </c>
      <c r="BK166" t="s">
        <v>2904</v>
      </c>
      <c r="BL166">
        <v>52</v>
      </c>
      <c r="BM166" t="s">
        <v>484</v>
      </c>
      <c r="BN166" t="s">
        <v>113</v>
      </c>
      <c r="BO166" t="s">
        <v>1478</v>
      </c>
      <c r="BP166" t="s">
        <v>352</v>
      </c>
      <c r="BQ166" t="s">
        <v>746</v>
      </c>
      <c r="BR166">
        <v>71.78</v>
      </c>
      <c r="BT166">
        <v>2012</v>
      </c>
      <c r="BU166">
        <v>4</v>
      </c>
      <c r="BW166">
        <v>33</v>
      </c>
      <c r="BY166" t="s">
        <v>109</v>
      </c>
      <c r="CF166" t="s">
        <v>113</v>
      </c>
      <c r="CG166" t="s">
        <v>746</v>
      </c>
      <c r="CH166" t="s">
        <v>2905</v>
      </c>
      <c r="CI166" t="s">
        <v>240</v>
      </c>
      <c r="CK166" t="s">
        <v>109</v>
      </c>
      <c r="CL166" t="s">
        <v>113</v>
      </c>
      <c r="CM166" t="s">
        <v>2906</v>
      </c>
      <c r="CN166" t="s">
        <v>109</v>
      </c>
      <c r="CP166" t="s">
        <v>460</v>
      </c>
      <c r="CQ166" t="s">
        <v>2907</v>
      </c>
      <c r="CR166" t="str">
        <f>HYPERLINK("https://nconnect.nicmar.ac.in/public/storage/profile/699755bc816b8.png","Download")</f>
        <v>0</v>
      </c>
      <c r="CS166" t="str">
        <f>HYPERLINK("https://nconnect.nicmar.ac.in/pdf/149_resume_1771525190.pdf/Y2FyZWVy","View Resume")</f>
        <v>0</v>
      </c>
    </row>
    <row r="167" spans="1:97">
      <c r="A167" t="s">
        <v>192</v>
      </c>
      <c r="B167" t="s">
        <v>138</v>
      </c>
      <c r="C167" t="s">
        <v>165</v>
      </c>
      <c r="D167" t="s">
        <v>193</v>
      </c>
      <c r="E167" t="s">
        <v>2908</v>
      </c>
      <c r="F167" t="s">
        <v>2909</v>
      </c>
      <c r="G167">
        <v>8638670752</v>
      </c>
      <c r="H167" t="s">
        <v>169</v>
      </c>
      <c r="I167" t="s">
        <v>2910</v>
      </c>
      <c r="J167" t="s">
        <v>144</v>
      </c>
      <c r="K167" t="s">
        <v>2911</v>
      </c>
      <c r="L167" t="s">
        <v>2912</v>
      </c>
      <c r="M167" t="s">
        <v>2913</v>
      </c>
      <c r="N167" t="s">
        <v>109</v>
      </c>
      <c r="AI167" t="s">
        <v>2914</v>
      </c>
      <c r="AJ167" t="s">
        <v>2915</v>
      </c>
      <c r="AK167" t="s">
        <v>2916</v>
      </c>
      <c r="AL167">
        <v>72.5</v>
      </c>
      <c r="AN167">
        <v>2012</v>
      </c>
      <c r="AO167" t="s">
        <v>113</v>
      </c>
      <c r="AP167" t="s">
        <v>2917</v>
      </c>
      <c r="AQ167" t="s">
        <v>2918</v>
      </c>
      <c r="AR167" t="s">
        <v>2919</v>
      </c>
      <c r="AS167">
        <v>73.4</v>
      </c>
      <c r="AU167">
        <v>2014</v>
      </c>
      <c r="AV167" t="s">
        <v>109</v>
      </c>
      <c r="BC167" t="s">
        <v>113</v>
      </c>
      <c r="BD167" t="s">
        <v>2920</v>
      </c>
      <c r="BE167" t="s">
        <v>2921</v>
      </c>
      <c r="BF167" t="s">
        <v>2922</v>
      </c>
      <c r="BG167">
        <v>73.2</v>
      </c>
      <c r="BI167">
        <v>2018</v>
      </c>
      <c r="BJ167">
        <v>19</v>
      </c>
      <c r="BK167" t="s">
        <v>2923</v>
      </c>
      <c r="BL167">
        <v>53</v>
      </c>
      <c r="BM167" t="s">
        <v>2924</v>
      </c>
      <c r="BN167" t="s">
        <v>113</v>
      </c>
      <c r="BO167" t="s">
        <v>2925</v>
      </c>
      <c r="BP167" t="s">
        <v>2926</v>
      </c>
      <c r="BQ167" t="s">
        <v>1242</v>
      </c>
      <c r="BR167">
        <v>82.8</v>
      </c>
      <c r="BT167">
        <v>2020</v>
      </c>
      <c r="BU167">
        <v>31</v>
      </c>
      <c r="BV167" t="s">
        <v>339</v>
      </c>
      <c r="BW167">
        <v>33</v>
      </c>
      <c r="BY167" t="s">
        <v>109</v>
      </c>
      <c r="CF167" t="s">
        <v>113</v>
      </c>
      <c r="CG167" t="s">
        <v>1242</v>
      </c>
      <c r="CH167" t="s">
        <v>2927</v>
      </c>
      <c r="CI167" t="s">
        <v>240</v>
      </c>
      <c r="CK167" t="s">
        <v>109</v>
      </c>
      <c r="CL167" t="s">
        <v>109</v>
      </c>
      <c r="CN167" t="s">
        <v>113</v>
      </c>
      <c r="CO167" t="s">
        <v>2928</v>
      </c>
      <c r="CP167" t="s">
        <v>2929</v>
      </c>
      <c r="CQ167" t="s">
        <v>2930</v>
      </c>
      <c r="CR167" t="str">
        <f>HYPERLINK("https://nconnect.nicmar.ac.in/public/storage/profile/699747905c995.png","Download")</f>
        <v>0</v>
      </c>
      <c r="CS167" t="str">
        <f>HYPERLINK("https://nconnect.nicmar.ac.in/pdf/270_resume_1771525859.pdf/Y2FyZWVy","View Resume")</f>
        <v>0</v>
      </c>
    </row>
    <row r="168" spans="1:97">
      <c r="A168" t="s">
        <v>846</v>
      </c>
      <c r="B168" t="s">
        <v>138</v>
      </c>
      <c r="C168" t="s">
        <v>165</v>
      </c>
      <c r="D168" t="s">
        <v>847</v>
      </c>
      <c r="E168" t="s">
        <v>2931</v>
      </c>
      <c r="F168" t="s">
        <v>2932</v>
      </c>
      <c r="G168">
        <v>9595009328</v>
      </c>
      <c r="H168" t="s">
        <v>169</v>
      </c>
      <c r="I168" t="s">
        <v>2933</v>
      </c>
      <c r="J168" t="s">
        <v>105</v>
      </c>
      <c r="K168" t="s">
        <v>2934</v>
      </c>
      <c r="L168" t="s">
        <v>2935</v>
      </c>
      <c r="M168" t="s">
        <v>2936</v>
      </c>
      <c r="N168" t="s">
        <v>109</v>
      </c>
      <c r="AI168" t="s">
        <v>2937</v>
      </c>
      <c r="AJ168" t="s">
        <v>2938</v>
      </c>
      <c r="AK168" t="s">
        <v>2939</v>
      </c>
      <c r="AL168">
        <v>72</v>
      </c>
      <c r="AN168">
        <v>1990</v>
      </c>
      <c r="AO168" t="s">
        <v>113</v>
      </c>
      <c r="AP168" t="s">
        <v>2940</v>
      </c>
      <c r="AQ168" t="s">
        <v>2941</v>
      </c>
      <c r="AR168" t="s">
        <v>2942</v>
      </c>
      <c r="AS168">
        <v>69</v>
      </c>
      <c r="AU168">
        <v>1992</v>
      </c>
      <c r="AV168" t="s">
        <v>109</v>
      </c>
      <c r="BC168" t="s">
        <v>113</v>
      </c>
      <c r="BD168" t="s">
        <v>1214</v>
      </c>
      <c r="BE168" t="s">
        <v>2943</v>
      </c>
      <c r="BF168" t="s">
        <v>484</v>
      </c>
      <c r="BG168">
        <v>70</v>
      </c>
      <c r="BI168">
        <v>1995</v>
      </c>
      <c r="BJ168">
        <v>19</v>
      </c>
      <c r="BK168" t="s">
        <v>2944</v>
      </c>
      <c r="BL168">
        <v>53</v>
      </c>
      <c r="BM168" t="s">
        <v>484</v>
      </c>
      <c r="BN168" t="s">
        <v>113</v>
      </c>
      <c r="BO168" t="s">
        <v>1214</v>
      </c>
      <c r="BP168" t="s">
        <v>2945</v>
      </c>
      <c r="BQ168" t="s">
        <v>484</v>
      </c>
      <c r="BR168">
        <v>60</v>
      </c>
      <c r="BT168">
        <v>1997</v>
      </c>
      <c r="BU168">
        <v>31</v>
      </c>
      <c r="BV168" t="s">
        <v>339</v>
      </c>
      <c r="BW168">
        <v>53</v>
      </c>
      <c r="BY168" t="s">
        <v>113</v>
      </c>
      <c r="BZ168" t="s">
        <v>2946</v>
      </c>
      <c r="CA168" t="s">
        <v>2947</v>
      </c>
      <c r="CB168" t="s">
        <v>2948</v>
      </c>
      <c r="CC168">
        <v>68</v>
      </c>
      <c r="CE168">
        <v>2006</v>
      </c>
      <c r="CF168" t="s">
        <v>113</v>
      </c>
      <c r="CG168" t="s">
        <v>484</v>
      </c>
      <c r="CH168" t="s">
        <v>2949</v>
      </c>
      <c r="CI168" t="s">
        <v>132</v>
      </c>
      <c r="CJ168">
        <v>2014</v>
      </c>
      <c r="CL168" t="s">
        <v>113</v>
      </c>
      <c r="CM168" t="s">
        <v>2950</v>
      </c>
      <c r="CN168" t="s">
        <v>113</v>
      </c>
      <c r="CO168" t="s">
        <v>2951</v>
      </c>
      <c r="CP168" t="s">
        <v>1334</v>
      </c>
      <c r="CQ168" t="s">
        <v>2952</v>
      </c>
      <c r="CR168" t="s">
        <v>136</v>
      </c>
      <c r="CS168" t="str">
        <f>HYPERLINK("https://nconnect.nicmar.ac.in/pdf/274_resume_1771526313.pdf/Y2FyZWVy","View Resume")</f>
        <v>0</v>
      </c>
    </row>
    <row r="169" spans="1:97">
      <c r="A169" t="s">
        <v>190</v>
      </c>
      <c r="B169" t="s">
        <v>138</v>
      </c>
      <c r="C169" t="s">
        <v>139</v>
      </c>
      <c r="D169" t="s">
        <v>191</v>
      </c>
      <c r="E169" t="s">
        <v>2953</v>
      </c>
      <c r="F169" t="s">
        <v>2954</v>
      </c>
      <c r="G169">
        <v>9996582115</v>
      </c>
      <c r="H169" t="s">
        <v>103</v>
      </c>
      <c r="I169" t="s">
        <v>2955</v>
      </c>
      <c r="J169" t="s">
        <v>144</v>
      </c>
      <c r="K169" t="s">
        <v>505</v>
      </c>
      <c r="L169" t="s">
        <v>2956</v>
      </c>
      <c r="M169" t="s">
        <v>2957</v>
      </c>
      <c r="N169" t="s">
        <v>109</v>
      </c>
      <c r="AI169" t="s">
        <v>2958</v>
      </c>
      <c r="AJ169" t="s">
        <v>2959</v>
      </c>
      <c r="AK169" t="s">
        <v>2960</v>
      </c>
      <c r="AL169">
        <v>66.5</v>
      </c>
      <c r="AM169">
        <v>7.0</v>
      </c>
      <c r="AN169">
        <v>2010</v>
      </c>
      <c r="AO169" t="s">
        <v>113</v>
      </c>
      <c r="AP169" t="s">
        <v>2958</v>
      </c>
      <c r="AQ169" t="s">
        <v>2959</v>
      </c>
      <c r="AR169" t="s">
        <v>2961</v>
      </c>
      <c r="AS169">
        <v>72.4</v>
      </c>
      <c r="AU169">
        <v>2012</v>
      </c>
      <c r="AV169" t="s">
        <v>109</v>
      </c>
      <c r="BC169" t="s">
        <v>113</v>
      </c>
      <c r="BD169" t="s">
        <v>2962</v>
      </c>
      <c r="BE169" t="s">
        <v>2963</v>
      </c>
      <c r="BF169" t="s">
        <v>1543</v>
      </c>
      <c r="BG169">
        <v>73.14</v>
      </c>
      <c r="BI169">
        <v>2015</v>
      </c>
      <c r="BJ169">
        <v>19</v>
      </c>
      <c r="BK169" t="s">
        <v>2964</v>
      </c>
      <c r="BL169">
        <v>53</v>
      </c>
      <c r="BM169" t="s">
        <v>2965</v>
      </c>
      <c r="BN169" t="s">
        <v>113</v>
      </c>
      <c r="BO169" t="s">
        <v>2962</v>
      </c>
      <c r="BP169" t="s">
        <v>2963</v>
      </c>
      <c r="BQ169" t="s">
        <v>2966</v>
      </c>
      <c r="BR169">
        <v>64.67</v>
      </c>
      <c r="BT169">
        <v>2017</v>
      </c>
      <c r="BU169">
        <v>31</v>
      </c>
      <c r="BV169" t="s">
        <v>2967</v>
      </c>
      <c r="BW169">
        <v>53</v>
      </c>
      <c r="BX169" t="s">
        <v>2966</v>
      </c>
      <c r="BY169" t="s">
        <v>113</v>
      </c>
      <c r="BZ169" t="s">
        <v>2968</v>
      </c>
      <c r="CA169" t="s">
        <v>2969</v>
      </c>
      <c r="CB169" t="s">
        <v>2970</v>
      </c>
      <c r="CC169">
        <v>75</v>
      </c>
      <c r="CD169">
        <v>7.9</v>
      </c>
      <c r="CE169">
        <v>2021</v>
      </c>
      <c r="CF169" t="s">
        <v>113</v>
      </c>
      <c r="CG169" t="s">
        <v>2971</v>
      </c>
      <c r="CH169" t="s">
        <v>2972</v>
      </c>
      <c r="CI169" t="s">
        <v>132</v>
      </c>
      <c r="CJ169">
        <v>2025</v>
      </c>
      <c r="CL169" t="s">
        <v>109</v>
      </c>
      <c r="CN169" t="s">
        <v>113</v>
      </c>
      <c r="CO169" t="s">
        <v>2973</v>
      </c>
      <c r="CP169" t="s">
        <v>2974</v>
      </c>
      <c r="CQ169" t="s">
        <v>2975</v>
      </c>
      <c r="CR169" t="s">
        <v>136</v>
      </c>
      <c r="CS169" t="str">
        <f>HYPERLINK("https://nconnect.nicmar.ac.in/pdf/273_resume_1771528160.pdf/Y2FyZWVy","View Resume")</f>
        <v>0</v>
      </c>
    </row>
    <row r="170" spans="1:97">
      <c r="A170" t="s">
        <v>137</v>
      </c>
      <c r="B170" t="s">
        <v>138</v>
      </c>
      <c r="C170" t="s">
        <v>139</v>
      </c>
      <c r="D170" t="s">
        <v>140</v>
      </c>
      <c r="E170" t="s">
        <v>2976</v>
      </c>
      <c r="F170" t="s">
        <v>2977</v>
      </c>
      <c r="G170">
        <v>9405670157</v>
      </c>
      <c r="H170" t="s">
        <v>103</v>
      </c>
      <c r="I170" t="s">
        <v>2978</v>
      </c>
      <c r="J170" t="s">
        <v>144</v>
      </c>
      <c r="K170" t="s">
        <v>1737</v>
      </c>
      <c r="L170" t="s">
        <v>2979</v>
      </c>
      <c r="M170" t="s">
        <v>2980</v>
      </c>
      <c r="N170" t="s">
        <v>109</v>
      </c>
      <c r="AI170" t="s">
        <v>2981</v>
      </c>
      <c r="AJ170" t="s">
        <v>2982</v>
      </c>
      <c r="AK170" t="s">
        <v>2983</v>
      </c>
      <c r="AL170">
        <v>89.27</v>
      </c>
      <c r="AN170">
        <v>2012</v>
      </c>
      <c r="AO170" t="s">
        <v>113</v>
      </c>
      <c r="AP170" t="s">
        <v>2984</v>
      </c>
      <c r="AQ170" t="s">
        <v>2982</v>
      </c>
      <c r="AR170" t="s">
        <v>2985</v>
      </c>
      <c r="AS170">
        <v>68.77</v>
      </c>
      <c r="AU170">
        <v>2014</v>
      </c>
      <c r="AV170" t="s">
        <v>109</v>
      </c>
      <c r="BC170" t="s">
        <v>113</v>
      </c>
      <c r="BD170" t="s">
        <v>2986</v>
      </c>
      <c r="BE170" t="s">
        <v>2987</v>
      </c>
      <c r="BF170" t="s">
        <v>2988</v>
      </c>
      <c r="BG170">
        <v>66.53</v>
      </c>
      <c r="BI170">
        <v>2018</v>
      </c>
      <c r="BJ170">
        <v>2</v>
      </c>
      <c r="BL170">
        <v>9</v>
      </c>
      <c r="BN170" t="s">
        <v>113</v>
      </c>
      <c r="BO170" t="s">
        <v>2989</v>
      </c>
      <c r="BP170" t="s">
        <v>2990</v>
      </c>
      <c r="BQ170" t="s">
        <v>140</v>
      </c>
      <c r="BR170">
        <v>92.6</v>
      </c>
      <c r="BT170">
        <v>2021</v>
      </c>
      <c r="BU170">
        <v>14</v>
      </c>
      <c r="BW170">
        <v>47</v>
      </c>
      <c r="BY170" t="s">
        <v>113</v>
      </c>
      <c r="BZ170" t="s">
        <v>2991</v>
      </c>
      <c r="CA170" t="s">
        <v>2992</v>
      </c>
      <c r="CB170" t="s">
        <v>309</v>
      </c>
      <c r="CC170">
        <v>0</v>
      </c>
      <c r="CE170">
        <v>2024</v>
      </c>
      <c r="CF170" t="s">
        <v>113</v>
      </c>
      <c r="CG170" t="s">
        <v>140</v>
      </c>
      <c r="CH170" t="s">
        <v>2993</v>
      </c>
      <c r="CI170" t="s">
        <v>240</v>
      </c>
      <c r="CK170" t="s">
        <v>113</v>
      </c>
      <c r="CL170" t="s">
        <v>113</v>
      </c>
      <c r="CM170" t="s">
        <v>2994</v>
      </c>
      <c r="CN170" t="s">
        <v>113</v>
      </c>
      <c r="CO170" t="s">
        <v>2995</v>
      </c>
      <c r="CP170" t="s">
        <v>2983</v>
      </c>
      <c r="CQ170" t="s">
        <v>2996</v>
      </c>
      <c r="CR170" t="s">
        <v>136</v>
      </c>
      <c r="CS170" t="str">
        <f>HYPERLINK("https://nconnect.nicmar.ac.in/pdf/278_resume_1771536996.pdf/Y2FyZWVy","View Resume")</f>
        <v>0</v>
      </c>
    </row>
    <row r="171" spans="1:97">
      <c r="A171" t="s">
        <v>137</v>
      </c>
      <c r="B171" t="s">
        <v>138</v>
      </c>
      <c r="C171" t="s">
        <v>139</v>
      </c>
      <c r="D171" t="s">
        <v>140</v>
      </c>
      <c r="E171" t="s">
        <v>2997</v>
      </c>
      <c r="F171" t="s">
        <v>2998</v>
      </c>
      <c r="G171">
        <v>7842397410</v>
      </c>
      <c r="H171" t="s">
        <v>103</v>
      </c>
      <c r="I171" t="s">
        <v>2999</v>
      </c>
      <c r="J171" t="s">
        <v>144</v>
      </c>
      <c r="K171" t="s">
        <v>3000</v>
      </c>
      <c r="L171" t="s">
        <v>3001</v>
      </c>
      <c r="M171" t="s">
        <v>3002</v>
      </c>
      <c r="N171" t="s">
        <v>109</v>
      </c>
      <c r="AI171" t="s">
        <v>3003</v>
      </c>
      <c r="AJ171" t="s">
        <v>3004</v>
      </c>
      <c r="AK171" t="s">
        <v>3005</v>
      </c>
      <c r="AL171">
        <v>73.83</v>
      </c>
      <c r="AN171">
        <v>2011</v>
      </c>
      <c r="AO171" t="s">
        <v>113</v>
      </c>
      <c r="AP171" t="s">
        <v>3006</v>
      </c>
      <c r="AQ171" t="s">
        <v>3007</v>
      </c>
      <c r="AR171" t="s">
        <v>181</v>
      </c>
      <c r="AS171">
        <v>85.55</v>
      </c>
      <c r="AU171">
        <v>2013</v>
      </c>
      <c r="AV171" t="s">
        <v>109</v>
      </c>
      <c r="BC171" t="s">
        <v>113</v>
      </c>
      <c r="BD171" t="s">
        <v>1815</v>
      </c>
      <c r="BE171" t="s">
        <v>3008</v>
      </c>
      <c r="BF171" t="s">
        <v>3009</v>
      </c>
      <c r="BG171">
        <v>79.4</v>
      </c>
      <c r="BH171">
        <v>7.94</v>
      </c>
      <c r="BI171">
        <v>2017</v>
      </c>
      <c r="BJ171">
        <v>1</v>
      </c>
      <c r="BL171">
        <v>9</v>
      </c>
      <c r="BN171" t="s">
        <v>113</v>
      </c>
      <c r="BO171" t="s">
        <v>3010</v>
      </c>
      <c r="BP171" t="s">
        <v>3011</v>
      </c>
      <c r="BQ171" t="s">
        <v>3012</v>
      </c>
      <c r="BR171">
        <v>97.3</v>
      </c>
      <c r="BS171">
        <v>9.73</v>
      </c>
      <c r="BT171">
        <v>2019</v>
      </c>
      <c r="BU171">
        <v>14</v>
      </c>
      <c r="BW171">
        <v>47</v>
      </c>
      <c r="BY171" t="s">
        <v>109</v>
      </c>
      <c r="CF171" t="s">
        <v>113</v>
      </c>
      <c r="CG171" t="s">
        <v>140</v>
      </c>
      <c r="CH171" t="s">
        <v>3013</v>
      </c>
      <c r="CI171" t="s">
        <v>240</v>
      </c>
      <c r="CK171" t="s">
        <v>113</v>
      </c>
      <c r="CL171" t="s">
        <v>113</v>
      </c>
      <c r="CM171" t="s">
        <v>3014</v>
      </c>
      <c r="CN171" t="s">
        <v>109</v>
      </c>
      <c r="CP171" t="s">
        <v>3015</v>
      </c>
      <c r="CQ171" t="s">
        <v>3016</v>
      </c>
      <c r="CR171" t="str">
        <f>HYPERLINK("https://nconnect.nicmar.ac.in/public/storage/profile/6997bb3f9daf8.png","Download")</f>
        <v>0</v>
      </c>
      <c r="CS171" t="str">
        <f>HYPERLINK("https://nconnect.nicmar.ac.in/pdf/281_resume_1771551333.pdf/Y2FyZWVy","View Resume")</f>
        <v>0</v>
      </c>
    </row>
    <row r="172" spans="1:97">
      <c r="A172" t="s">
        <v>480</v>
      </c>
      <c r="B172" t="s">
        <v>98</v>
      </c>
      <c r="C172" t="s">
        <v>139</v>
      </c>
      <c r="D172" t="s">
        <v>140</v>
      </c>
      <c r="E172" t="s">
        <v>3017</v>
      </c>
      <c r="F172" t="s">
        <v>3018</v>
      </c>
      <c r="G172">
        <v>7206158334</v>
      </c>
      <c r="H172" t="s">
        <v>103</v>
      </c>
      <c r="I172" t="s">
        <v>3019</v>
      </c>
      <c r="J172" t="s">
        <v>904</v>
      </c>
      <c r="K172" t="s">
        <v>526</v>
      </c>
      <c r="L172" t="s">
        <v>3020</v>
      </c>
      <c r="M172" t="s">
        <v>3021</v>
      </c>
      <c r="N172" t="s">
        <v>109</v>
      </c>
      <c r="AI172" t="s">
        <v>3022</v>
      </c>
      <c r="AJ172" t="s">
        <v>3023</v>
      </c>
      <c r="AK172" t="s">
        <v>3024</v>
      </c>
      <c r="AL172">
        <v>62.5</v>
      </c>
      <c r="AN172">
        <v>1987</v>
      </c>
      <c r="AO172" t="s">
        <v>113</v>
      </c>
      <c r="AP172" t="s">
        <v>3025</v>
      </c>
      <c r="AQ172" t="s">
        <v>3026</v>
      </c>
      <c r="AR172" t="s">
        <v>3027</v>
      </c>
      <c r="AS172">
        <v>80.5</v>
      </c>
      <c r="AU172">
        <v>1989</v>
      </c>
      <c r="AV172" t="s">
        <v>109</v>
      </c>
      <c r="BC172" t="s">
        <v>113</v>
      </c>
      <c r="BD172" t="s">
        <v>1303</v>
      </c>
      <c r="BE172" t="s">
        <v>3028</v>
      </c>
      <c r="BF172" t="s">
        <v>309</v>
      </c>
      <c r="BG172">
        <v>78.26</v>
      </c>
      <c r="BI172">
        <v>1993</v>
      </c>
      <c r="BJ172">
        <v>1</v>
      </c>
      <c r="BL172">
        <v>9</v>
      </c>
      <c r="BN172" t="s">
        <v>113</v>
      </c>
      <c r="BO172" t="s">
        <v>3029</v>
      </c>
      <c r="BP172" t="s">
        <v>3030</v>
      </c>
      <c r="BQ172" t="s">
        <v>3031</v>
      </c>
      <c r="BR172">
        <v>74.14</v>
      </c>
      <c r="BT172">
        <v>1995</v>
      </c>
      <c r="BU172">
        <v>14</v>
      </c>
      <c r="BW172">
        <v>47</v>
      </c>
      <c r="BY172" t="s">
        <v>113</v>
      </c>
      <c r="BZ172" t="s">
        <v>3032</v>
      </c>
      <c r="CA172" t="s">
        <v>3033</v>
      </c>
      <c r="CB172" t="s">
        <v>3034</v>
      </c>
      <c r="CC172">
        <v>100</v>
      </c>
      <c r="CE172">
        <v>2017</v>
      </c>
      <c r="CF172" t="s">
        <v>113</v>
      </c>
      <c r="CG172" t="s">
        <v>3035</v>
      </c>
      <c r="CH172" t="s">
        <v>3036</v>
      </c>
      <c r="CI172" t="s">
        <v>132</v>
      </c>
      <c r="CJ172">
        <v>2022</v>
      </c>
      <c r="CL172" t="s">
        <v>113</v>
      </c>
      <c r="CM172" t="s">
        <v>3037</v>
      </c>
      <c r="CN172" t="s">
        <v>113</v>
      </c>
      <c r="CO172" t="s">
        <v>3038</v>
      </c>
      <c r="CP172" t="s">
        <v>3039</v>
      </c>
      <c r="CQ172" t="s">
        <v>3016</v>
      </c>
      <c r="CR172" t="s">
        <v>136</v>
      </c>
      <c r="CS172" t="str">
        <f>HYPERLINK("https://nconnect.nicmar.ac.in/pdf/280_resume_1771551360.pdf/Y2FyZWVy","View Resume")</f>
        <v>0</v>
      </c>
    </row>
    <row r="173" spans="1:97">
      <c r="A173" t="s">
        <v>2591</v>
      </c>
      <c r="B173" t="s">
        <v>138</v>
      </c>
      <c r="C173" t="s">
        <v>295</v>
      </c>
      <c r="D173" t="s">
        <v>2592</v>
      </c>
      <c r="E173" t="s">
        <v>3040</v>
      </c>
      <c r="F173" t="s">
        <v>3041</v>
      </c>
      <c r="G173">
        <v>9958119915</v>
      </c>
      <c r="H173" t="s">
        <v>103</v>
      </c>
      <c r="I173" t="s">
        <v>3042</v>
      </c>
      <c r="J173" t="s">
        <v>105</v>
      </c>
      <c r="K173" t="s">
        <v>1848</v>
      </c>
      <c r="L173" t="s">
        <v>3043</v>
      </c>
      <c r="M173" t="s">
        <v>3044</v>
      </c>
      <c r="N173" t="s">
        <v>109</v>
      </c>
      <c r="AI173" t="s">
        <v>3045</v>
      </c>
      <c r="AJ173" t="s">
        <v>3046</v>
      </c>
      <c r="AK173" t="s">
        <v>2153</v>
      </c>
      <c r="AL173">
        <v>82.71</v>
      </c>
      <c r="AN173">
        <v>1993</v>
      </c>
      <c r="AO173" t="s">
        <v>113</v>
      </c>
      <c r="AP173" t="s">
        <v>3047</v>
      </c>
      <c r="AQ173" t="s">
        <v>3046</v>
      </c>
      <c r="AR173" t="s">
        <v>2726</v>
      </c>
      <c r="AS173">
        <v>71</v>
      </c>
      <c r="AU173">
        <v>1995</v>
      </c>
      <c r="AV173" t="s">
        <v>109</v>
      </c>
      <c r="BC173" t="s">
        <v>113</v>
      </c>
      <c r="BD173" t="s">
        <v>3048</v>
      </c>
      <c r="BE173" t="s">
        <v>3049</v>
      </c>
      <c r="BF173" t="s">
        <v>3050</v>
      </c>
      <c r="BG173">
        <v>62</v>
      </c>
      <c r="BI173">
        <v>1999</v>
      </c>
      <c r="BJ173">
        <v>19</v>
      </c>
      <c r="BK173" t="s">
        <v>3051</v>
      </c>
      <c r="BL173">
        <v>34</v>
      </c>
      <c r="BN173" t="s">
        <v>113</v>
      </c>
      <c r="BO173" t="s">
        <v>3052</v>
      </c>
      <c r="BP173" t="s">
        <v>3053</v>
      </c>
      <c r="BQ173" t="s">
        <v>3054</v>
      </c>
      <c r="BR173">
        <v>76</v>
      </c>
      <c r="BT173">
        <v>2012</v>
      </c>
      <c r="BU173">
        <v>31</v>
      </c>
      <c r="BV173" t="s">
        <v>3052</v>
      </c>
      <c r="BW173">
        <v>37</v>
      </c>
      <c r="BY173" t="s">
        <v>113</v>
      </c>
      <c r="BZ173" t="s">
        <v>3055</v>
      </c>
      <c r="CA173" t="s">
        <v>3056</v>
      </c>
      <c r="CB173" t="s">
        <v>3057</v>
      </c>
      <c r="CC173">
        <v>75</v>
      </c>
      <c r="CE173">
        <v>2018</v>
      </c>
      <c r="CF173" t="s">
        <v>109</v>
      </c>
      <c r="CL173" t="s">
        <v>113</v>
      </c>
      <c r="CM173" t="s">
        <v>3058</v>
      </c>
      <c r="CN173" t="s">
        <v>113</v>
      </c>
      <c r="CO173" t="s">
        <v>3059</v>
      </c>
      <c r="CP173" t="s">
        <v>3060</v>
      </c>
      <c r="CQ173" t="s">
        <v>3061</v>
      </c>
      <c r="CR173" t="s">
        <v>136</v>
      </c>
      <c r="CS173" t="str">
        <f>HYPERLINK("https://nconnect.nicmar.ac.in/pdf/284_resume_1771556113.pdf/Y2FyZWVy","View Resume")</f>
        <v>0</v>
      </c>
    </row>
    <row r="174" spans="1:97">
      <c r="A174" t="s">
        <v>846</v>
      </c>
      <c r="B174" t="s">
        <v>138</v>
      </c>
      <c r="C174" t="s">
        <v>165</v>
      </c>
      <c r="D174" t="s">
        <v>847</v>
      </c>
      <c r="E174" t="s">
        <v>3062</v>
      </c>
      <c r="F174" t="s">
        <v>3063</v>
      </c>
      <c r="G174">
        <v>8944907767</v>
      </c>
      <c r="H174" t="s">
        <v>169</v>
      </c>
      <c r="I174" t="s">
        <v>3064</v>
      </c>
      <c r="J174" t="s">
        <v>144</v>
      </c>
      <c r="K174" t="s">
        <v>3065</v>
      </c>
      <c r="L174" t="s">
        <v>3066</v>
      </c>
      <c r="M174" t="s">
        <v>3067</v>
      </c>
      <c r="N174" t="s">
        <v>109</v>
      </c>
      <c r="AI174" t="s">
        <v>3068</v>
      </c>
      <c r="AJ174" t="s">
        <v>3069</v>
      </c>
      <c r="AK174" t="s">
        <v>3070</v>
      </c>
      <c r="AL174">
        <v>81.7</v>
      </c>
      <c r="AM174">
        <v>8.6</v>
      </c>
      <c r="AN174">
        <v>2010</v>
      </c>
      <c r="AO174" t="s">
        <v>113</v>
      </c>
      <c r="AP174" t="s">
        <v>3071</v>
      </c>
      <c r="AQ174" t="s">
        <v>3072</v>
      </c>
      <c r="AR174" t="s">
        <v>3073</v>
      </c>
      <c r="AS174">
        <v>82.6</v>
      </c>
      <c r="AU174">
        <v>2012</v>
      </c>
      <c r="AV174" t="s">
        <v>109</v>
      </c>
      <c r="BC174" t="s">
        <v>113</v>
      </c>
      <c r="BD174" t="s">
        <v>3074</v>
      </c>
      <c r="BE174" t="s">
        <v>3075</v>
      </c>
      <c r="BF174" t="s">
        <v>3076</v>
      </c>
      <c r="BG174">
        <v>58</v>
      </c>
      <c r="BI174">
        <v>2016</v>
      </c>
      <c r="BJ174">
        <v>19</v>
      </c>
      <c r="BK174" t="s">
        <v>3077</v>
      </c>
      <c r="BL174">
        <v>27</v>
      </c>
      <c r="BN174" t="s">
        <v>113</v>
      </c>
      <c r="BO174" t="s">
        <v>3078</v>
      </c>
      <c r="BP174" t="s">
        <v>3079</v>
      </c>
      <c r="BQ174" t="s">
        <v>3080</v>
      </c>
      <c r="BR174">
        <v>75.5</v>
      </c>
      <c r="BT174">
        <v>2018</v>
      </c>
      <c r="BU174">
        <v>31</v>
      </c>
      <c r="BV174" t="s">
        <v>1387</v>
      </c>
      <c r="BW174">
        <v>53</v>
      </c>
      <c r="BX174" t="s">
        <v>3080</v>
      </c>
      <c r="BY174" t="s">
        <v>109</v>
      </c>
      <c r="CF174" t="s">
        <v>113</v>
      </c>
      <c r="CG174" t="s">
        <v>3080</v>
      </c>
      <c r="CH174" t="s">
        <v>3081</v>
      </c>
      <c r="CI174" t="s">
        <v>132</v>
      </c>
      <c r="CJ174">
        <v>2026</v>
      </c>
      <c r="CL174" t="s">
        <v>113</v>
      </c>
      <c r="CM174" t="s">
        <v>3082</v>
      </c>
      <c r="CN174" t="s">
        <v>113</v>
      </c>
      <c r="CO174" t="s">
        <v>3083</v>
      </c>
      <c r="CP174" t="s">
        <v>460</v>
      </c>
      <c r="CQ174" t="s">
        <v>3084</v>
      </c>
      <c r="CR174" t="str">
        <f>HYPERLINK("https://nconnect.nicmar.ac.in/public/storage/profile/6997559cc5a8f.png","Download")</f>
        <v>0</v>
      </c>
      <c r="CS174" t="str">
        <f>HYPERLINK("https://nconnect.nicmar.ac.in/pdf/285_resume_1771558431.pdf/Y2FyZWVy","View Resume")</f>
        <v>0</v>
      </c>
    </row>
    <row r="175" spans="1:97">
      <c r="A175" t="s">
        <v>343</v>
      </c>
      <c r="B175" t="s">
        <v>98</v>
      </c>
      <c r="C175" t="s">
        <v>295</v>
      </c>
      <c r="D175" t="s">
        <v>344</v>
      </c>
      <c r="E175" t="s">
        <v>3085</v>
      </c>
      <c r="F175" t="s">
        <v>3086</v>
      </c>
      <c r="G175">
        <v>9987468842</v>
      </c>
      <c r="H175" t="s">
        <v>103</v>
      </c>
      <c r="I175" t="s">
        <v>3087</v>
      </c>
      <c r="J175" t="s">
        <v>105</v>
      </c>
      <c r="K175" t="s">
        <v>526</v>
      </c>
      <c r="L175" t="s">
        <v>3088</v>
      </c>
      <c r="M175" t="s">
        <v>3089</v>
      </c>
      <c r="N175" t="s">
        <v>109</v>
      </c>
      <c r="AI175" t="s">
        <v>3090</v>
      </c>
      <c r="AJ175" t="s">
        <v>3091</v>
      </c>
      <c r="AK175" t="s">
        <v>1425</v>
      </c>
      <c r="AL175">
        <v>80.26</v>
      </c>
      <c r="AN175">
        <v>2001</v>
      </c>
      <c r="AO175" t="s">
        <v>113</v>
      </c>
      <c r="AP175" t="s">
        <v>3092</v>
      </c>
      <c r="AQ175" t="s">
        <v>3091</v>
      </c>
      <c r="AR175" t="s">
        <v>1425</v>
      </c>
      <c r="AS175">
        <v>63.67</v>
      </c>
      <c r="AU175">
        <v>2003</v>
      </c>
      <c r="AV175" t="s">
        <v>109</v>
      </c>
      <c r="BC175" t="s">
        <v>113</v>
      </c>
      <c r="BD175" t="s">
        <v>3093</v>
      </c>
      <c r="BE175" t="s">
        <v>3094</v>
      </c>
      <c r="BF175" t="s">
        <v>3095</v>
      </c>
      <c r="BG175">
        <v>61.83</v>
      </c>
      <c r="BI175">
        <v>2017</v>
      </c>
      <c r="BJ175">
        <v>19</v>
      </c>
      <c r="BK175" t="s">
        <v>3096</v>
      </c>
      <c r="BL175">
        <v>53</v>
      </c>
      <c r="BM175" t="s">
        <v>3097</v>
      </c>
      <c r="BN175" t="s">
        <v>113</v>
      </c>
      <c r="BO175" t="s">
        <v>3098</v>
      </c>
      <c r="BP175" t="s">
        <v>3099</v>
      </c>
      <c r="BQ175" t="s">
        <v>3100</v>
      </c>
      <c r="BR175">
        <v>0</v>
      </c>
      <c r="BS175">
        <v>7.34</v>
      </c>
      <c r="BT175">
        <v>2023</v>
      </c>
      <c r="BU175">
        <v>31</v>
      </c>
      <c r="BV175" t="s">
        <v>1965</v>
      </c>
      <c r="BW175">
        <v>53</v>
      </c>
      <c r="BX175" t="s">
        <v>3101</v>
      </c>
      <c r="BY175" t="s">
        <v>113</v>
      </c>
      <c r="BZ175" t="s">
        <v>3102</v>
      </c>
      <c r="CA175" t="s">
        <v>3094</v>
      </c>
      <c r="CB175" t="s">
        <v>3095</v>
      </c>
      <c r="CC175">
        <v>0</v>
      </c>
      <c r="CE175">
        <v>2017</v>
      </c>
      <c r="CF175" t="s">
        <v>109</v>
      </c>
      <c r="CJ175">
        <v>2026</v>
      </c>
      <c r="CL175" t="s">
        <v>109</v>
      </c>
      <c r="CN175" t="s">
        <v>109</v>
      </c>
      <c r="CP175" t="s">
        <v>3103</v>
      </c>
      <c r="CQ175" t="s">
        <v>3104</v>
      </c>
      <c r="CR175" t="s">
        <v>136</v>
      </c>
      <c r="CS175" t="str">
        <f>HYPERLINK("https://nconnect.nicmar.ac.in/pdf/260_resume_1771559458.pdf/Y2FyZWVy","View Resume")</f>
        <v>0</v>
      </c>
    </row>
    <row r="176" spans="1:97">
      <c r="A176" t="s">
        <v>656</v>
      </c>
      <c r="B176" t="s">
        <v>318</v>
      </c>
      <c r="C176" t="s">
        <v>139</v>
      </c>
      <c r="D176" t="s">
        <v>140</v>
      </c>
      <c r="E176" t="s">
        <v>3105</v>
      </c>
      <c r="F176" t="s">
        <v>3106</v>
      </c>
      <c r="G176">
        <v>9739779911</v>
      </c>
      <c r="H176" t="s">
        <v>103</v>
      </c>
      <c r="I176" t="s">
        <v>3107</v>
      </c>
      <c r="J176" t="s">
        <v>105</v>
      </c>
      <c r="K176" t="s">
        <v>3108</v>
      </c>
      <c r="L176" t="s">
        <v>3109</v>
      </c>
      <c r="M176" t="s">
        <v>3110</v>
      </c>
      <c r="N176" t="s">
        <v>109</v>
      </c>
      <c r="AI176" t="s">
        <v>3111</v>
      </c>
      <c r="AJ176" t="s">
        <v>1231</v>
      </c>
      <c r="AK176" t="s">
        <v>3112</v>
      </c>
      <c r="AL176">
        <v>68.8</v>
      </c>
      <c r="AN176">
        <v>2005</v>
      </c>
      <c r="AO176" t="s">
        <v>113</v>
      </c>
      <c r="AP176" t="s">
        <v>3111</v>
      </c>
      <c r="AQ176" t="s">
        <v>1231</v>
      </c>
      <c r="AR176" t="s">
        <v>3113</v>
      </c>
      <c r="AS176">
        <v>73.2</v>
      </c>
      <c r="AU176">
        <v>2007</v>
      </c>
      <c r="AV176" t="s">
        <v>109</v>
      </c>
      <c r="BC176" t="s">
        <v>113</v>
      </c>
      <c r="BD176" t="s">
        <v>3114</v>
      </c>
      <c r="BE176" t="s">
        <v>3115</v>
      </c>
      <c r="BF176" t="s">
        <v>354</v>
      </c>
      <c r="BG176">
        <v>81.2</v>
      </c>
      <c r="BH176">
        <v>8.87</v>
      </c>
      <c r="BI176">
        <v>2011</v>
      </c>
      <c r="BJ176">
        <v>1</v>
      </c>
      <c r="BL176">
        <v>9</v>
      </c>
      <c r="BN176" t="s">
        <v>113</v>
      </c>
      <c r="BO176" t="s">
        <v>3114</v>
      </c>
      <c r="BP176" t="s">
        <v>3116</v>
      </c>
      <c r="BQ176" t="s">
        <v>2043</v>
      </c>
      <c r="BR176">
        <v>85.2</v>
      </c>
      <c r="BS176">
        <v>9.27</v>
      </c>
      <c r="BT176">
        <v>2013</v>
      </c>
      <c r="BU176">
        <v>14</v>
      </c>
      <c r="BW176">
        <v>7</v>
      </c>
      <c r="BY176" t="s">
        <v>109</v>
      </c>
      <c r="CF176" t="s">
        <v>113</v>
      </c>
      <c r="CG176" t="s">
        <v>3117</v>
      </c>
      <c r="CH176" t="s">
        <v>3118</v>
      </c>
      <c r="CI176" t="s">
        <v>132</v>
      </c>
      <c r="CJ176">
        <v>2024</v>
      </c>
      <c r="CL176" t="s">
        <v>109</v>
      </c>
      <c r="CM176" t="s">
        <v>3119</v>
      </c>
      <c r="CN176" t="s">
        <v>113</v>
      </c>
      <c r="CO176" t="s">
        <v>3120</v>
      </c>
      <c r="CP176" t="s">
        <v>3121</v>
      </c>
      <c r="CQ176" t="s">
        <v>3122</v>
      </c>
      <c r="CR176" t="str">
        <f>HYPERLINK("https://nconnect.nicmar.ac.in/public/storage/profile/6997dd43ea14a.png","Download")</f>
        <v>0</v>
      </c>
      <c r="CS176" t="str">
        <f>HYPERLINK("https://nconnect.nicmar.ac.in/pdf/37_resume_1771561472.pdf/Y2FyZWVy","View Resume")</f>
        <v>0</v>
      </c>
    </row>
    <row r="177" spans="1:97">
      <c r="A177" t="s">
        <v>294</v>
      </c>
      <c r="B177" t="s">
        <v>138</v>
      </c>
      <c r="C177" t="s">
        <v>295</v>
      </c>
      <c r="D177" t="s">
        <v>296</v>
      </c>
      <c r="E177" t="s">
        <v>3123</v>
      </c>
      <c r="F177" t="s">
        <v>3124</v>
      </c>
      <c r="G177">
        <v>7204788896</v>
      </c>
      <c r="H177" t="s">
        <v>103</v>
      </c>
      <c r="I177" t="s">
        <v>3125</v>
      </c>
      <c r="J177" t="s">
        <v>105</v>
      </c>
      <c r="K177" t="s">
        <v>3126</v>
      </c>
      <c r="L177" t="s">
        <v>3127</v>
      </c>
      <c r="M177" t="s">
        <v>3128</v>
      </c>
      <c r="N177" t="s">
        <v>109</v>
      </c>
      <c r="AI177" t="s">
        <v>3129</v>
      </c>
      <c r="AJ177" t="s">
        <v>3130</v>
      </c>
      <c r="AK177" t="s">
        <v>3131</v>
      </c>
      <c r="AL177">
        <v>78.24</v>
      </c>
      <c r="AN177">
        <v>2007</v>
      </c>
      <c r="AO177" t="s">
        <v>109</v>
      </c>
      <c r="AV177" t="s">
        <v>113</v>
      </c>
      <c r="AW177" t="s">
        <v>1147</v>
      </c>
      <c r="AX177" t="s">
        <v>3132</v>
      </c>
      <c r="AY177" t="s">
        <v>309</v>
      </c>
      <c r="AZ177">
        <v>86.8</v>
      </c>
      <c r="BB177">
        <v>2010</v>
      </c>
      <c r="BC177" t="s">
        <v>113</v>
      </c>
      <c r="BD177" t="s">
        <v>3133</v>
      </c>
      <c r="BE177" t="s">
        <v>3134</v>
      </c>
      <c r="BF177" t="s">
        <v>3135</v>
      </c>
      <c r="BG177">
        <v>79.94</v>
      </c>
      <c r="BI177">
        <v>2013</v>
      </c>
      <c r="BJ177">
        <v>1</v>
      </c>
      <c r="BL177">
        <v>9</v>
      </c>
      <c r="BN177" t="s">
        <v>113</v>
      </c>
      <c r="BO177" t="s">
        <v>3133</v>
      </c>
      <c r="BP177" t="s">
        <v>3136</v>
      </c>
      <c r="BQ177" t="s">
        <v>140</v>
      </c>
      <c r="BR177">
        <v>73.62</v>
      </c>
      <c r="BT177">
        <v>2015</v>
      </c>
      <c r="BU177">
        <v>14</v>
      </c>
      <c r="BW177">
        <v>47</v>
      </c>
      <c r="BY177" t="s">
        <v>109</v>
      </c>
      <c r="CF177" t="s">
        <v>113</v>
      </c>
      <c r="CG177" t="s">
        <v>3137</v>
      </c>
      <c r="CH177" t="s">
        <v>3136</v>
      </c>
      <c r="CI177" t="s">
        <v>240</v>
      </c>
      <c r="CK177" t="s">
        <v>109</v>
      </c>
      <c r="CL177" t="s">
        <v>113</v>
      </c>
      <c r="CM177" t="s">
        <v>3138</v>
      </c>
      <c r="CN177" t="s">
        <v>113</v>
      </c>
      <c r="CO177" t="s">
        <v>3139</v>
      </c>
      <c r="CP177" t="s">
        <v>3140</v>
      </c>
      <c r="CQ177" t="s">
        <v>3141</v>
      </c>
      <c r="CR177" t="s">
        <v>136</v>
      </c>
      <c r="CS177" t="str">
        <f>HYPERLINK("https://nconnect.nicmar.ac.in/pdf/286_resume_1771561990.pdf/Y2FyZWVy","View Resume")</f>
        <v>0</v>
      </c>
    </row>
    <row r="178" spans="1:97">
      <c r="A178" t="s">
        <v>656</v>
      </c>
      <c r="B178" t="s">
        <v>318</v>
      </c>
      <c r="C178" t="s">
        <v>139</v>
      </c>
      <c r="D178" t="s">
        <v>140</v>
      </c>
      <c r="E178" t="s">
        <v>3142</v>
      </c>
      <c r="F178" t="s">
        <v>3143</v>
      </c>
      <c r="G178">
        <v>9644802998</v>
      </c>
      <c r="H178" t="s">
        <v>103</v>
      </c>
      <c r="I178" t="s">
        <v>3144</v>
      </c>
      <c r="J178" t="s">
        <v>105</v>
      </c>
      <c r="K178" t="s">
        <v>423</v>
      </c>
      <c r="L178" t="s">
        <v>3145</v>
      </c>
      <c r="M178" t="s">
        <v>3146</v>
      </c>
      <c r="N178" t="s">
        <v>109</v>
      </c>
      <c r="AI178" t="s">
        <v>3147</v>
      </c>
      <c r="AJ178" t="s">
        <v>3148</v>
      </c>
      <c r="AK178" t="s">
        <v>782</v>
      </c>
      <c r="AL178">
        <v>80.4</v>
      </c>
      <c r="AN178">
        <v>1996</v>
      </c>
      <c r="AO178" t="s">
        <v>113</v>
      </c>
      <c r="AP178" t="s">
        <v>3147</v>
      </c>
      <c r="AQ178" t="s">
        <v>3148</v>
      </c>
      <c r="AR178" t="s">
        <v>3149</v>
      </c>
      <c r="AS178">
        <v>72.4</v>
      </c>
      <c r="AU178">
        <v>1998</v>
      </c>
      <c r="AV178" t="s">
        <v>109</v>
      </c>
      <c r="BC178" t="s">
        <v>113</v>
      </c>
      <c r="BD178" t="s">
        <v>3150</v>
      </c>
      <c r="BE178" t="s">
        <v>3151</v>
      </c>
      <c r="BF178" t="s">
        <v>309</v>
      </c>
      <c r="BG178">
        <v>72.4</v>
      </c>
      <c r="BI178">
        <v>2002</v>
      </c>
      <c r="BJ178">
        <v>2</v>
      </c>
      <c r="BL178">
        <v>9</v>
      </c>
      <c r="BN178" t="s">
        <v>113</v>
      </c>
      <c r="BO178" t="s">
        <v>3152</v>
      </c>
      <c r="BP178" t="s">
        <v>3153</v>
      </c>
      <c r="BQ178" t="s">
        <v>140</v>
      </c>
      <c r="BR178">
        <v>79.91</v>
      </c>
      <c r="BT178">
        <v>2010</v>
      </c>
      <c r="BU178">
        <v>14</v>
      </c>
      <c r="BW178">
        <v>47</v>
      </c>
      <c r="BY178" t="s">
        <v>109</v>
      </c>
      <c r="CF178" t="s">
        <v>113</v>
      </c>
      <c r="CG178" t="s">
        <v>3154</v>
      </c>
      <c r="CH178" t="s">
        <v>3155</v>
      </c>
      <c r="CI178" t="s">
        <v>132</v>
      </c>
      <c r="CJ178">
        <v>2021</v>
      </c>
      <c r="CL178" t="s">
        <v>113</v>
      </c>
      <c r="CM178" t="s">
        <v>3156</v>
      </c>
      <c r="CN178" t="s">
        <v>113</v>
      </c>
      <c r="CO178" t="s">
        <v>3157</v>
      </c>
      <c r="CP178" t="s">
        <v>3158</v>
      </c>
      <c r="CQ178" t="s">
        <v>3159</v>
      </c>
      <c r="CR178" t="s">
        <v>136</v>
      </c>
      <c r="CS178" t="str">
        <f>HYPERLINK("https://nconnect.nicmar.ac.in/pdf/287_resume_1771562732.pdf/Y2FyZWVy","View Resume")</f>
        <v>0</v>
      </c>
    </row>
    <row r="179" spans="1:97">
      <c r="A179" t="s">
        <v>521</v>
      </c>
      <c r="B179" t="s">
        <v>138</v>
      </c>
      <c r="C179" t="s">
        <v>165</v>
      </c>
      <c r="D179" t="s">
        <v>522</v>
      </c>
      <c r="E179" t="s">
        <v>3160</v>
      </c>
      <c r="F179" t="s">
        <v>3161</v>
      </c>
      <c r="G179">
        <v>9021467941</v>
      </c>
      <c r="H179" t="s">
        <v>103</v>
      </c>
      <c r="I179" t="s">
        <v>3162</v>
      </c>
      <c r="J179" t="s">
        <v>105</v>
      </c>
      <c r="K179" t="s">
        <v>145</v>
      </c>
      <c r="L179" t="s">
        <v>3163</v>
      </c>
      <c r="M179" t="s">
        <v>3164</v>
      </c>
      <c r="N179" t="s">
        <v>109</v>
      </c>
      <c r="AI179" t="s">
        <v>3165</v>
      </c>
      <c r="AJ179" t="s">
        <v>3166</v>
      </c>
      <c r="AK179" t="s">
        <v>3167</v>
      </c>
      <c r="AL179">
        <v>87</v>
      </c>
      <c r="AN179">
        <v>2004</v>
      </c>
      <c r="AO179" t="s">
        <v>113</v>
      </c>
      <c r="AP179" t="s">
        <v>3168</v>
      </c>
      <c r="AQ179" t="s">
        <v>3166</v>
      </c>
      <c r="AR179" t="s">
        <v>3169</v>
      </c>
      <c r="AS179">
        <v>75</v>
      </c>
      <c r="AU179">
        <v>2006</v>
      </c>
      <c r="AV179" t="s">
        <v>109</v>
      </c>
      <c r="BC179" t="s">
        <v>113</v>
      </c>
      <c r="BD179" t="s">
        <v>2744</v>
      </c>
      <c r="BE179" t="s">
        <v>3170</v>
      </c>
      <c r="BF179" t="s">
        <v>258</v>
      </c>
      <c r="BG179">
        <v>63</v>
      </c>
      <c r="BI179">
        <v>2010</v>
      </c>
      <c r="BJ179">
        <v>19</v>
      </c>
      <c r="BK179" t="s">
        <v>3171</v>
      </c>
      <c r="BL179">
        <v>54</v>
      </c>
      <c r="BN179" t="s">
        <v>109</v>
      </c>
      <c r="BY179" t="s">
        <v>109</v>
      </c>
      <c r="CF179" t="s">
        <v>109</v>
      </c>
      <c r="CL179" t="s">
        <v>113</v>
      </c>
      <c r="CM179" t="s">
        <v>3172</v>
      </c>
      <c r="CN179" t="s">
        <v>113</v>
      </c>
      <c r="CO179" t="s">
        <v>3173</v>
      </c>
      <c r="CP179" t="s">
        <v>3174</v>
      </c>
      <c r="CQ179" t="s">
        <v>3175</v>
      </c>
      <c r="CR179" t="s">
        <v>136</v>
      </c>
      <c r="CS179" t="str">
        <f>HYPERLINK("https://nconnect.nicmar.ac.in/pdf/298_resume_1771564557.pdf/Y2FyZWVy","View Resume")</f>
        <v>0</v>
      </c>
    </row>
    <row r="180" spans="1:97">
      <c r="A180" t="s">
        <v>223</v>
      </c>
      <c r="B180" t="s">
        <v>138</v>
      </c>
      <c r="C180" t="s">
        <v>165</v>
      </c>
      <c r="D180" t="s">
        <v>224</v>
      </c>
      <c r="E180" t="s">
        <v>3176</v>
      </c>
      <c r="F180" t="s">
        <v>3177</v>
      </c>
      <c r="G180">
        <v>8454971645</v>
      </c>
      <c r="H180" t="s">
        <v>169</v>
      </c>
      <c r="I180" t="s">
        <v>3178</v>
      </c>
      <c r="J180" t="s">
        <v>144</v>
      </c>
      <c r="K180" t="s">
        <v>1270</v>
      </c>
      <c r="L180" t="s">
        <v>3179</v>
      </c>
      <c r="M180" t="s">
        <v>3180</v>
      </c>
      <c r="N180" t="s">
        <v>109</v>
      </c>
      <c r="AI180" t="s">
        <v>3181</v>
      </c>
      <c r="AJ180" t="s">
        <v>3182</v>
      </c>
      <c r="AK180" t="s">
        <v>3183</v>
      </c>
      <c r="AL180">
        <v>71</v>
      </c>
      <c r="AN180">
        <v>2018</v>
      </c>
      <c r="AO180" t="s">
        <v>113</v>
      </c>
      <c r="AP180" t="s">
        <v>3184</v>
      </c>
      <c r="AQ180" t="s">
        <v>3182</v>
      </c>
      <c r="AR180" t="s">
        <v>3185</v>
      </c>
      <c r="AS180">
        <v>71.2</v>
      </c>
      <c r="AU180">
        <v>2020</v>
      </c>
      <c r="AV180" t="s">
        <v>109</v>
      </c>
      <c r="BC180" t="s">
        <v>113</v>
      </c>
      <c r="BD180" t="s">
        <v>914</v>
      </c>
      <c r="BE180" t="s">
        <v>3186</v>
      </c>
      <c r="BF180" t="s">
        <v>3187</v>
      </c>
      <c r="BG180">
        <v>80</v>
      </c>
      <c r="BI180">
        <v>2023</v>
      </c>
      <c r="BJ180">
        <v>9</v>
      </c>
      <c r="BL180">
        <v>53</v>
      </c>
      <c r="BM180" t="s">
        <v>3188</v>
      </c>
      <c r="BN180" t="s">
        <v>113</v>
      </c>
      <c r="BO180" t="s">
        <v>914</v>
      </c>
      <c r="BP180" t="s">
        <v>3182</v>
      </c>
      <c r="BQ180" t="s">
        <v>3189</v>
      </c>
      <c r="BR180">
        <v>82</v>
      </c>
      <c r="BT180">
        <v>2025</v>
      </c>
      <c r="BU180">
        <v>31</v>
      </c>
      <c r="BV180" t="s">
        <v>3190</v>
      </c>
      <c r="BW180">
        <v>24</v>
      </c>
      <c r="BY180" t="s">
        <v>109</v>
      </c>
      <c r="CF180" t="s">
        <v>109</v>
      </c>
      <c r="CL180" t="s">
        <v>113</v>
      </c>
      <c r="CM180" t="s">
        <v>3191</v>
      </c>
      <c r="CN180" t="s">
        <v>113</v>
      </c>
      <c r="CO180" t="s">
        <v>3192</v>
      </c>
      <c r="CP180" t="s">
        <v>3193</v>
      </c>
      <c r="CQ180" t="s">
        <v>3194</v>
      </c>
      <c r="CR180" t="s">
        <v>136</v>
      </c>
      <c r="CS180" t="str">
        <f>HYPERLINK("https://nconnect.nicmar.ac.in/pdf/99_resume_1771565711.pdf/Y2FyZWVy","View Resume")</f>
        <v>0</v>
      </c>
    </row>
    <row r="181" spans="1:97">
      <c r="A181" t="s">
        <v>1183</v>
      </c>
      <c r="B181" t="s">
        <v>318</v>
      </c>
      <c r="C181" t="s">
        <v>99</v>
      </c>
      <c r="D181" t="s">
        <v>1184</v>
      </c>
      <c r="E181" t="s">
        <v>3195</v>
      </c>
      <c r="F181" t="s">
        <v>3196</v>
      </c>
      <c r="G181">
        <v>9400077230</v>
      </c>
      <c r="H181" t="s">
        <v>103</v>
      </c>
      <c r="I181" t="s">
        <v>3197</v>
      </c>
      <c r="J181" t="s">
        <v>105</v>
      </c>
      <c r="K181" t="s">
        <v>3198</v>
      </c>
      <c r="L181" t="s">
        <v>3199</v>
      </c>
      <c r="M181" t="s">
        <v>3200</v>
      </c>
      <c r="N181" t="s">
        <v>109</v>
      </c>
      <c r="AI181" t="s">
        <v>3201</v>
      </c>
      <c r="AJ181" t="s">
        <v>3202</v>
      </c>
      <c r="AK181" t="s">
        <v>3203</v>
      </c>
      <c r="AL181">
        <v>85</v>
      </c>
      <c r="AN181">
        <v>2005</v>
      </c>
      <c r="AO181" t="s">
        <v>113</v>
      </c>
      <c r="AP181" t="s">
        <v>3204</v>
      </c>
      <c r="AQ181" t="s">
        <v>3202</v>
      </c>
      <c r="AR181" t="s">
        <v>3205</v>
      </c>
      <c r="AS181">
        <v>75</v>
      </c>
      <c r="AU181">
        <v>2007</v>
      </c>
      <c r="AV181" t="s">
        <v>113</v>
      </c>
      <c r="AW181" t="s">
        <v>3206</v>
      </c>
      <c r="AX181" t="s">
        <v>3207</v>
      </c>
      <c r="AY181" t="s">
        <v>3208</v>
      </c>
      <c r="AZ181">
        <v>75</v>
      </c>
      <c r="BB181">
        <v>2010</v>
      </c>
      <c r="BC181" t="s">
        <v>113</v>
      </c>
      <c r="BD181" t="s">
        <v>3209</v>
      </c>
      <c r="BE181" t="s">
        <v>3210</v>
      </c>
      <c r="BF181" t="s">
        <v>3211</v>
      </c>
      <c r="BG181">
        <v>65</v>
      </c>
      <c r="BI181">
        <v>2015</v>
      </c>
      <c r="BJ181">
        <v>8</v>
      </c>
      <c r="BL181">
        <v>2</v>
      </c>
      <c r="BN181" t="s">
        <v>113</v>
      </c>
      <c r="BO181" t="s">
        <v>942</v>
      </c>
      <c r="BP181" t="s">
        <v>3212</v>
      </c>
      <c r="BQ181" t="s">
        <v>3211</v>
      </c>
      <c r="BR181">
        <v>75</v>
      </c>
      <c r="BT181">
        <v>2018</v>
      </c>
      <c r="BU181">
        <v>31</v>
      </c>
      <c r="BW181">
        <v>2</v>
      </c>
      <c r="BY181" t="s">
        <v>109</v>
      </c>
      <c r="CF181" t="s">
        <v>113</v>
      </c>
      <c r="CG181" t="s">
        <v>3213</v>
      </c>
      <c r="CH181" t="s">
        <v>794</v>
      </c>
      <c r="CI181" t="s">
        <v>132</v>
      </c>
      <c r="CJ181">
        <v>2025</v>
      </c>
      <c r="CL181" t="s">
        <v>113</v>
      </c>
      <c r="CM181" t="s">
        <v>3214</v>
      </c>
      <c r="CN181" t="s">
        <v>113</v>
      </c>
      <c r="CO181" t="s">
        <v>3215</v>
      </c>
      <c r="CP181" t="s">
        <v>3203</v>
      </c>
      <c r="CQ181" t="s">
        <v>3216</v>
      </c>
      <c r="CR181" t="str">
        <f>HYPERLINK("https://nconnect.nicmar.ac.in/public/storage/profile/6997eb76d2c45.png","Download")</f>
        <v>0</v>
      </c>
      <c r="CS181" t="str">
        <f>HYPERLINK("https://nconnect.nicmar.ac.in/pdf/301_resume_1771565857.pdf/Y2FyZWVy","View Resume")</f>
        <v>0</v>
      </c>
    </row>
    <row r="182" spans="1:97">
      <c r="A182" t="s">
        <v>1116</v>
      </c>
      <c r="B182" t="s">
        <v>98</v>
      </c>
      <c r="C182" t="s">
        <v>99</v>
      </c>
      <c r="D182" t="s">
        <v>1117</v>
      </c>
      <c r="E182" t="s">
        <v>3217</v>
      </c>
      <c r="F182" t="s">
        <v>3218</v>
      </c>
      <c r="G182">
        <v>8888999119</v>
      </c>
      <c r="H182" t="s">
        <v>169</v>
      </c>
      <c r="I182" t="s">
        <v>3219</v>
      </c>
      <c r="J182" t="s">
        <v>105</v>
      </c>
      <c r="K182" t="s">
        <v>228</v>
      </c>
      <c r="L182" t="s">
        <v>3220</v>
      </c>
      <c r="M182" t="s">
        <v>3221</v>
      </c>
      <c r="N182" t="s">
        <v>109</v>
      </c>
      <c r="AI182" t="s">
        <v>3222</v>
      </c>
      <c r="AJ182" t="s">
        <v>2579</v>
      </c>
      <c r="AK182" t="s">
        <v>3223</v>
      </c>
      <c r="AL182">
        <v>82.3</v>
      </c>
      <c r="AN182">
        <v>2008</v>
      </c>
      <c r="AO182" t="s">
        <v>113</v>
      </c>
      <c r="AP182" t="s">
        <v>3224</v>
      </c>
      <c r="AQ182" t="s">
        <v>3225</v>
      </c>
      <c r="AR182" t="s">
        <v>3226</v>
      </c>
      <c r="AS182">
        <v>68.3</v>
      </c>
      <c r="AU182">
        <v>2010</v>
      </c>
      <c r="AV182" t="s">
        <v>109</v>
      </c>
      <c r="BC182" t="s">
        <v>113</v>
      </c>
      <c r="BD182" t="s">
        <v>2583</v>
      </c>
      <c r="BE182" t="s">
        <v>3227</v>
      </c>
      <c r="BF182" t="s">
        <v>1131</v>
      </c>
      <c r="BG182">
        <v>68.15</v>
      </c>
      <c r="BI182">
        <v>2015</v>
      </c>
      <c r="BJ182">
        <v>8</v>
      </c>
      <c r="BL182">
        <v>2</v>
      </c>
      <c r="BN182" t="s">
        <v>113</v>
      </c>
      <c r="BO182" t="s">
        <v>3228</v>
      </c>
      <c r="BP182" t="s">
        <v>3228</v>
      </c>
      <c r="BQ182" t="s">
        <v>1117</v>
      </c>
      <c r="BR182">
        <v>62</v>
      </c>
      <c r="BT182">
        <v>2018</v>
      </c>
      <c r="BU182">
        <v>31</v>
      </c>
      <c r="BV182" t="s">
        <v>3229</v>
      </c>
      <c r="BW182">
        <v>2</v>
      </c>
      <c r="BY182" t="s">
        <v>109</v>
      </c>
      <c r="CF182" t="s">
        <v>109</v>
      </c>
      <c r="CL182" t="s">
        <v>109</v>
      </c>
      <c r="CN182" t="s">
        <v>109</v>
      </c>
      <c r="CP182" t="s">
        <v>3230</v>
      </c>
      <c r="CQ182" t="s">
        <v>3231</v>
      </c>
      <c r="CR182" t="s">
        <v>136</v>
      </c>
      <c r="CS182" t="str">
        <f>HYPERLINK("https://nconnect.nicmar.ac.in/pdf/309_resume_1771568857.pdf/Y2FyZWVy","View Resume")</f>
        <v>0</v>
      </c>
    </row>
    <row r="183" spans="1:97">
      <c r="A183" t="s">
        <v>137</v>
      </c>
      <c r="B183" t="s">
        <v>138</v>
      </c>
      <c r="C183" t="s">
        <v>139</v>
      </c>
      <c r="D183" t="s">
        <v>140</v>
      </c>
      <c r="E183" t="s">
        <v>3232</v>
      </c>
      <c r="F183" t="s">
        <v>3233</v>
      </c>
      <c r="G183">
        <v>9970161759</v>
      </c>
      <c r="H183" t="s">
        <v>103</v>
      </c>
      <c r="I183" t="s">
        <v>3234</v>
      </c>
      <c r="J183" t="s">
        <v>105</v>
      </c>
      <c r="K183" t="s">
        <v>1536</v>
      </c>
      <c r="L183" t="s">
        <v>3235</v>
      </c>
      <c r="M183" t="s">
        <v>3236</v>
      </c>
      <c r="N183" t="s">
        <v>109</v>
      </c>
      <c r="AI183" t="s">
        <v>3237</v>
      </c>
      <c r="AJ183" t="s">
        <v>3238</v>
      </c>
      <c r="AK183" t="s">
        <v>3239</v>
      </c>
      <c r="AL183">
        <v>82.76</v>
      </c>
      <c r="AN183">
        <v>2007</v>
      </c>
      <c r="AO183" t="s">
        <v>113</v>
      </c>
      <c r="AP183" t="s">
        <v>3240</v>
      </c>
      <c r="AQ183" t="s">
        <v>3238</v>
      </c>
      <c r="AR183" t="s">
        <v>3241</v>
      </c>
      <c r="AS183">
        <v>63.5</v>
      </c>
      <c r="AU183">
        <v>2009</v>
      </c>
      <c r="AV183" t="s">
        <v>109</v>
      </c>
      <c r="BC183" t="s">
        <v>113</v>
      </c>
      <c r="BD183" t="s">
        <v>3242</v>
      </c>
      <c r="BE183" t="s">
        <v>3243</v>
      </c>
      <c r="BF183" t="s">
        <v>3244</v>
      </c>
      <c r="BG183">
        <v>72.23</v>
      </c>
      <c r="BI183">
        <v>2013</v>
      </c>
      <c r="BJ183">
        <v>2</v>
      </c>
      <c r="BL183">
        <v>9</v>
      </c>
      <c r="BN183" t="s">
        <v>113</v>
      </c>
      <c r="BO183" t="s">
        <v>3245</v>
      </c>
      <c r="BP183" t="s">
        <v>3246</v>
      </c>
      <c r="BQ183" t="s">
        <v>3247</v>
      </c>
      <c r="BR183">
        <v>71.43</v>
      </c>
      <c r="BT183">
        <v>2016</v>
      </c>
      <c r="BU183">
        <v>31</v>
      </c>
      <c r="BV183" t="s">
        <v>3248</v>
      </c>
      <c r="BW183">
        <v>47</v>
      </c>
      <c r="BY183" t="s">
        <v>109</v>
      </c>
      <c r="CF183" t="s">
        <v>113</v>
      </c>
      <c r="CG183" t="s">
        <v>3249</v>
      </c>
      <c r="CH183" t="s">
        <v>2371</v>
      </c>
      <c r="CI183" t="s">
        <v>240</v>
      </c>
      <c r="CK183" t="s">
        <v>109</v>
      </c>
      <c r="CL183" t="s">
        <v>109</v>
      </c>
      <c r="CN183" t="s">
        <v>113</v>
      </c>
      <c r="CO183" t="s">
        <v>3250</v>
      </c>
      <c r="CP183" t="s">
        <v>970</v>
      </c>
      <c r="CQ183" t="s">
        <v>3251</v>
      </c>
      <c r="CR183" t="str">
        <f>HYPERLINK("https://nconnect.nicmar.ac.in/public/storage/profile/6998008ad819c.png","Download")</f>
        <v>0</v>
      </c>
      <c r="CS183" t="str">
        <f>HYPERLINK("https://nconnect.nicmar.ac.in/pdf/306_resume_1771568739.pdf/Y2FyZWVy","View Resume")</f>
        <v>0</v>
      </c>
    </row>
    <row r="184" spans="1:97">
      <c r="A184" t="s">
        <v>164</v>
      </c>
      <c r="B184" t="s">
        <v>138</v>
      </c>
      <c r="C184" t="s">
        <v>165</v>
      </c>
      <c r="D184" t="s">
        <v>166</v>
      </c>
      <c r="E184" t="s">
        <v>3252</v>
      </c>
      <c r="F184" t="s">
        <v>3253</v>
      </c>
      <c r="G184">
        <v>8437065412</v>
      </c>
      <c r="H184" t="s">
        <v>103</v>
      </c>
      <c r="I184" t="s">
        <v>3254</v>
      </c>
      <c r="J184" t="s">
        <v>105</v>
      </c>
      <c r="K184" t="s">
        <v>505</v>
      </c>
      <c r="L184" t="s">
        <v>3255</v>
      </c>
      <c r="M184" t="s">
        <v>3256</v>
      </c>
      <c r="N184" t="s">
        <v>109</v>
      </c>
      <c r="AI184" t="s">
        <v>2624</v>
      </c>
      <c r="AJ184" t="s">
        <v>3257</v>
      </c>
      <c r="AK184" t="s">
        <v>3258</v>
      </c>
      <c r="AL184">
        <v>81.6</v>
      </c>
      <c r="AN184">
        <v>2009</v>
      </c>
      <c r="AO184" t="s">
        <v>113</v>
      </c>
      <c r="AP184" t="s">
        <v>3259</v>
      </c>
      <c r="AQ184" t="s">
        <v>3260</v>
      </c>
      <c r="AR184" t="s">
        <v>3261</v>
      </c>
      <c r="AS184">
        <v>86.8</v>
      </c>
      <c r="AU184">
        <v>2011</v>
      </c>
      <c r="AV184" t="s">
        <v>109</v>
      </c>
      <c r="BC184" t="s">
        <v>113</v>
      </c>
      <c r="BD184" t="s">
        <v>1090</v>
      </c>
      <c r="BE184" t="s">
        <v>3262</v>
      </c>
      <c r="BF184" t="s">
        <v>3263</v>
      </c>
      <c r="BG184">
        <v>80.64</v>
      </c>
      <c r="BH184">
        <v>8.96</v>
      </c>
      <c r="BI184">
        <v>2016</v>
      </c>
      <c r="BJ184">
        <v>19</v>
      </c>
      <c r="BK184" t="s">
        <v>3264</v>
      </c>
      <c r="BL184">
        <v>34</v>
      </c>
      <c r="BN184" t="s">
        <v>113</v>
      </c>
      <c r="BO184" t="s">
        <v>1090</v>
      </c>
      <c r="BP184" t="s">
        <v>3262</v>
      </c>
      <c r="BQ184" t="s">
        <v>3265</v>
      </c>
      <c r="BR184">
        <v>80.64</v>
      </c>
      <c r="BS184">
        <v>8.96</v>
      </c>
      <c r="BT184">
        <v>2016</v>
      </c>
      <c r="BU184">
        <v>31</v>
      </c>
      <c r="BV184" t="s">
        <v>3266</v>
      </c>
      <c r="BW184">
        <v>34</v>
      </c>
      <c r="BY184" t="s">
        <v>109</v>
      </c>
      <c r="CF184" t="s">
        <v>113</v>
      </c>
      <c r="CG184" t="s">
        <v>1436</v>
      </c>
      <c r="CH184" t="s">
        <v>3267</v>
      </c>
      <c r="CI184" t="s">
        <v>132</v>
      </c>
      <c r="CJ184">
        <v>2024</v>
      </c>
      <c r="CL184" t="s">
        <v>109</v>
      </c>
      <c r="CN184" t="s">
        <v>113</v>
      </c>
      <c r="CO184" t="s">
        <v>3268</v>
      </c>
      <c r="CP184" t="s">
        <v>3269</v>
      </c>
      <c r="CQ184" t="s">
        <v>3270</v>
      </c>
      <c r="CR184" t="str">
        <f>HYPERLINK("https://nconnect.nicmar.ac.in/public/storage/profile/6997e863a30c3.png","Download")</f>
        <v>0</v>
      </c>
      <c r="CS184" t="str">
        <f>HYPERLINK("https://nconnect.nicmar.ac.in/pdf/300_resume_1771569730.pdf/Y2FyZWVy","View Resume")</f>
        <v>0</v>
      </c>
    </row>
    <row r="185" spans="1:97">
      <c r="A185" t="s">
        <v>372</v>
      </c>
      <c r="B185" t="s">
        <v>98</v>
      </c>
      <c r="C185" t="s">
        <v>165</v>
      </c>
      <c r="D185" t="s">
        <v>224</v>
      </c>
      <c r="E185" t="s">
        <v>3271</v>
      </c>
      <c r="F185" t="s">
        <v>3272</v>
      </c>
      <c r="G185">
        <v>7385604069</v>
      </c>
      <c r="H185" t="s">
        <v>169</v>
      </c>
      <c r="I185" t="s">
        <v>3273</v>
      </c>
      <c r="J185" t="s">
        <v>105</v>
      </c>
      <c r="K185" t="s">
        <v>3274</v>
      </c>
      <c r="L185" t="s">
        <v>3275</v>
      </c>
      <c r="M185" t="s">
        <v>3276</v>
      </c>
      <c r="N185" t="s">
        <v>109</v>
      </c>
      <c r="AI185" t="s">
        <v>3277</v>
      </c>
      <c r="AJ185" t="s">
        <v>3278</v>
      </c>
      <c r="AK185" t="s">
        <v>3279</v>
      </c>
      <c r="AL185">
        <v>75.57</v>
      </c>
      <c r="AN185">
        <v>2000</v>
      </c>
      <c r="AO185" t="s">
        <v>113</v>
      </c>
      <c r="AP185" t="s">
        <v>3280</v>
      </c>
      <c r="AQ185" t="s">
        <v>3281</v>
      </c>
      <c r="AR185" t="s">
        <v>2198</v>
      </c>
      <c r="AS185">
        <v>65.5</v>
      </c>
      <c r="AU185">
        <v>2002</v>
      </c>
      <c r="AV185" t="s">
        <v>109</v>
      </c>
      <c r="BC185" t="s">
        <v>113</v>
      </c>
      <c r="BD185" t="s">
        <v>3282</v>
      </c>
      <c r="BE185" t="s">
        <v>3283</v>
      </c>
      <c r="BF185" t="s">
        <v>3284</v>
      </c>
      <c r="BG185">
        <v>77</v>
      </c>
      <c r="BI185">
        <v>2006</v>
      </c>
      <c r="BJ185">
        <v>19</v>
      </c>
      <c r="BK185" t="s">
        <v>3285</v>
      </c>
      <c r="BL185">
        <v>53</v>
      </c>
      <c r="BM185" t="s">
        <v>3284</v>
      </c>
      <c r="BN185" t="s">
        <v>113</v>
      </c>
      <c r="BO185" t="s">
        <v>3286</v>
      </c>
      <c r="BP185" t="s">
        <v>3287</v>
      </c>
      <c r="BQ185" t="s">
        <v>3288</v>
      </c>
      <c r="BR185">
        <v>68</v>
      </c>
      <c r="BT185">
        <v>2009</v>
      </c>
      <c r="BU185">
        <v>31</v>
      </c>
      <c r="BV185" t="s">
        <v>3289</v>
      </c>
      <c r="BW185">
        <v>53</v>
      </c>
      <c r="BX185" t="s">
        <v>3290</v>
      </c>
      <c r="BY185" t="s">
        <v>113</v>
      </c>
      <c r="BZ185" t="s">
        <v>3291</v>
      </c>
      <c r="CA185" t="s">
        <v>3287</v>
      </c>
      <c r="CB185" t="s">
        <v>263</v>
      </c>
      <c r="CC185">
        <v>64</v>
      </c>
      <c r="CE185">
        <v>2010</v>
      </c>
      <c r="CF185" t="s">
        <v>113</v>
      </c>
      <c r="CG185" t="s">
        <v>263</v>
      </c>
      <c r="CH185" t="s">
        <v>3292</v>
      </c>
      <c r="CI185" t="s">
        <v>132</v>
      </c>
      <c r="CJ185">
        <v>2016</v>
      </c>
      <c r="CL185" t="s">
        <v>113</v>
      </c>
      <c r="CN185" t="s">
        <v>113</v>
      </c>
      <c r="CO185" t="s">
        <v>3293</v>
      </c>
      <c r="CP185" t="s">
        <v>3294</v>
      </c>
      <c r="CQ185" t="s">
        <v>3295</v>
      </c>
      <c r="CR185" t="str">
        <f>HYPERLINK("https://nconnect.nicmar.ac.in/public/storage/profile/6997eb06cf5e8.png","Download")</f>
        <v>0</v>
      </c>
      <c r="CS185" t="str">
        <f>HYPERLINK("https://nconnect.nicmar.ac.in/pdf/303_resume_1771569777.pdf/Y2FyZWVy","View Resume")</f>
        <v>0</v>
      </c>
    </row>
    <row r="186" spans="1:97">
      <c r="A186" t="s">
        <v>317</v>
      </c>
      <c r="B186" t="s">
        <v>318</v>
      </c>
      <c r="C186" t="s">
        <v>165</v>
      </c>
      <c r="D186" t="s">
        <v>319</v>
      </c>
      <c r="E186" t="s">
        <v>3296</v>
      </c>
      <c r="F186" t="s">
        <v>3297</v>
      </c>
      <c r="G186">
        <v>9011067318</v>
      </c>
      <c r="H186" t="s">
        <v>103</v>
      </c>
      <c r="I186" t="s">
        <v>3298</v>
      </c>
      <c r="J186" t="s">
        <v>105</v>
      </c>
      <c r="K186" t="s">
        <v>3299</v>
      </c>
      <c r="L186" t="s">
        <v>3300</v>
      </c>
      <c r="M186" t="s">
        <v>3301</v>
      </c>
      <c r="N186" t="s">
        <v>109</v>
      </c>
      <c r="AI186" t="s">
        <v>3302</v>
      </c>
      <c r="AJ186" t="s">
        <v>3303</v>
      </c>
      <c r="AK186" t="s">
        <v>3304</v>
      </c>
      <c r="AL186">
        <v>37</v>
      </c>
      <c r="AN186">
        <v>1996</v>
      </c>
      <c r="AO186" t="s">
        <v>113</v>
      </c>
      <c r="AP186" t="s">
        <v>3302</v>
      </c>
      <c r="AQ186" t="s">
        <v>3303</v>
      </c>
      <c r="AR186" t="s">
        <v>3305</v>
      </c>
      <c r="AS186">
        <v>61</v>
      </c>
      <c r="AU186">
        <v>2000</v>
      </c>
      <c r="AV186" t="s">
        <v>109</v>
      </c>
      <c r="BC186" t="s">
        <v>113</v>
      </c>
      <c r="BD186" t="s">
        <v>2528</v>
      </c>
      <c r="BE186" t="s">
        <v>3306</v>
      </c>
      <c r="BF186" t="s">
        <v>3307</v>
      </c>
      <c r="BG186">
        <v>47</v>
      </c>
      <c r="BI186">
        <v>2003</v>
      </c>
      <c r="BJ186">
        <v>19</v>
      </c>
      <c r="BL186">
        <v>52</v>
      </c>
      <c r="BN186" t="s">
        <v>113</v>
      </c>
      <c r="BO186" t="s">
        <v>3308</v>
      </c>
      <c r="BP186" t="s">
        <v>3308</v>
      </c>
      <c r="BQ186" t="s">
        <v>3309</v>
      </c>
      <c r="BR186">
        <v>67</v>
      </c>
      <c r="BT186">
        <v>2005</v>
      </c>
      <c r="BU186">
        <v>31</v>
      </c>
      <c r="BV186" t="s">
        <v>2178</v>
      </c>
      <c r="BW186">
        <v>53</v>
      </c>
      <c r="BX186" t="s">
        <v>3310</v>
      </c>
      <c r="BY186" t="s">
        <v>113</v>
      </c>
      <c r="BZ186" t="s">
        <v>3311</v>
      </c>
      <c r="CA186" t="s">
        <v>3312</v>
      </c>
      <c r="CB186" t="s">
        <v>3313</v>
      </c>
      <c r="CC186">
        <v>60</v>
      </c>
      <c r="CE186">
        <v>2007</v>
      </c>
      <c r="CF186" t="s">
        <v>113</v>
      </c>
      <c r="CG186" t="s">
        <v>1526</v>
      </c>
      <c r="CH186" t="s">
        <v>3314</v>
      </c>
      <c r="CI186" t="s">
        <v>132</v>
      </c>
      <c r="CJ186">
        <v>2016</v>
      </c>
      <c r="CL186" t="s">
        <v>109</v>
      </c>
      <c r="CN186" t="s">
        <v>113</v>
      </c>
      <c r="CO186" t="s">
        <v>3315</v>
      </c>
      <c r="CP186" t="s">
        <v>3316</v>
      </c>
      <c r="CQ186" t="s">
        <v>3317</v>
      </c>
      <c r="CR186" t="s">
        <v>136</v>
      </c>
      <c r="CS186" t="str">
        <f>HYPERLINK("https://nconnect.nicmar.ac.in/pdf/304_resume_1771570136.pdf/Y2FyZWVy","View Resume")</f>
        <v>0</v>
      </c>
    </row>
    <row r="187" spans="1:97">
      <c r="A187" t="s">
        <v>294</v>
      </c>
      <c r="B187" t="s">
        <v>138</v>
      </c>
      <c r="C187" t="s">
        <v>295</v>
      </c>
      <c r="D187" t="s">
        <v>296</v>
      </c>
      <c r="E187" t="s">
        <v>3318</v>
      </c>
      <c r="F187" t="s">
        <v>3319</v>
      </c>
      <c r="G187">
        <v>9921239269</v>
      </c>
      <c r="H187" t="s">
        <v>103</v>
      </c>
      <c r="I187" t="s">
        <v>3320</v>
      </c>
      <c r="J187" t="s">
        <v>105</v>
      </c>
      <c r="K187" t="s">
        <v>1536</v>
      </c>
      <c r="L187" t="s">
        <v>3321</v>
      </c>
      <c r="M187" t="s">
        <v>3322</v>
      </c>
      <c r="N187" t="s">
        <v>113</v>
      </c>
      <c r="O187" t="s">
        <v>3323</v>
      </c>
      <c r="P187" t="s">
        <v>3324</v>
      </c>
      <c r="AI187" t="s">
        <v>3325</v>
      </c>
      <c r="AJ187" t="s">
        <v>3326</v>
      </c>
      <c r="AK187" t="s">
        <v>3327</v>
      </c>
      <c r="AL187">
        <v>70.26</v>
      </c>
      <c r="AN187">
        <v>2003</v>
      </c>
      <c r="AO187" t="s">
        <v>109</v>
      </c>
      <c r="AV187" t="s">
        <v>113</v>
      </c>
      <c r="AW187" t="s">
        <v>309</v>
      </c>
      <c r="AX187" t="s">
        <v>3328</v>
      </c>
      <c r="AY187" t="s">
        <v>309</v>
      </c>
      <c r="AZ187">
        <v>75.85</v>
      </c>
      <c r="BB187">
        <v>2006</v>
      </c>
      <c r="BC187" t="s">
        <v>113</v>
      </c>
      <c r="BD187" t="s">
        <v>2744</v>
      </c>
      <c r="BE187" t="s">
        <v>3329</v>
      </c>
      <c r="BF187" t="s">
        <v>309</v>
      </c>
      <c r="BG187">
        <v>73.93</v>
      </c>
      <c r="BI187">
        <v>2009</v>
      </c>
      <c r="BJ187">
        <v>2</v>
      </c>
      <c r="BL187">
        <v>9</v>
      </c>
      <c r="BN187" t="s">
        <v>113</v>
      </c>
      <c r="BO187" t="s">
        <v>2744</v>
      </c>
      <c r="BP187" t="s">
        <v>3329</v>
      </c>
      <c r="BQ187" t="s">
        <v>2649</v>
      </c>
      <c r="BR187">
        <v>8.53</v>
      </c>
      <c r="BS187">
        <v>8.53</v>
      </c>
      <c r="BT187">
        <v>2013</v>
      </c>
      <c r="BU187">
        <v>12</v>
      </c>
      <c r="BW187">
        <v>9</v>
      </c>
      <c r="BY187" t="s">
        <v>109</v>
      </c>
      <c r="CF187" t="s">
        <v>113</v>
      </c>
      <c r="CG187" t="s">
        <v>309</v>
      </c>
      <c r="CH187" t="s">
        <v>3330</v>
      </c>
      <c r="CI187" t="s">
        <v>132</v>
      </c>
      <c r="CJ187">
        <v>2024</v>
      </c>
      <c r="CL187" t="s">
        <v>109</v>
      </c>
      <c r="CN187" t="s">
        <v>113</v>
      </c>
      <c r="CO187" t="s">
        <v>3331</v>
      </c>
      <c r="CP187" t="s">
        <v>3332</v>
      </c>
      <c r="CQ187" t="s">
        <v>3333</v>
      </c>
      <c r="CR187" t="s">
        <v>136</v>
      </c>
      <c r="CS187" t="str">
        <f>HYPERLINK("https://nconnect.nicmar.ac.in/pdf/319_resume_1771570705.pdf/Y2FyZWVy","View Resume")</f>
        <v>0</v>
      </c>
    </row>
    <row r="188" spans="1:97">
      <c r="A188" t="s">
        <v>370</v>
      </c>
      <c r="B188" t="s">
        <v>138</v>
      </c>
      <c r="C188" t="s">
        <v>295</v>
      </c>
      <c r="D188" t="s">
        <v>371</v>
      </c>
      <c r="E188" t="s">
        <v>3318</v>
      </c>
      <c r="F188" t="s">
        <v>3319</v>
      </c>
      <c r="G188">
        <v>9921239269</v>
      </c>
      <c r="H188" t="s">
        <v>103</v>
      </c>
      <c r="I188" t="s">
        <v>3320</v>
      </c>
      <c r="J188" t="s">
        <v>105</v>
      </c>
      <c r="K188" t="s">
        <v>1536</v>
      </c>
      <c r="L188" t="s">
        <v>3321</v>
      </c>
      <c r="M188" t="s">
        <v>3322</v>
      </c>
      <c r="N188" t="s">
        <v>113</v>
      </c>
      <c r="O188" t="s">
        <v>3323</v>
      </c>
      <c r="P188" t="s">
        <v>3324</v>
      </c>
      <c r="AI188" t="s">
        <v>3325</v>
      </c>
      <c r="AJ188" t="s">
        <v>3326</v>
      </c>
      <c r="AK188" t="s">
        <v>3327</v>
      </c>
      <c r="AL188">
        <v>70.26</v>
      </c>
      <c r="AN188">
        <v>2003</v>
      </c>
      <c r="AO188" t="s">
        <v>109</v>
      </c>
      <c r="AV188" t="s">
        <v>113</v>
      </c>
      <c r="AW188" t="s">
        <v>309</v>
      </c>
      <c r="AX188" t="s">
        <v>3328</v>
      </c>
      <c r="AY188" t="s">
        <v>309</v>
      </c>
      <c r="AZ188">
        <v>75.85</v>
      </c>
      <c r="BB188">
        <v>2006</v>
      </c>
      <c r="BC188" t="s">
        <v>113</v>
      </c>
      <c r="BD188" t="s">
        <v>2744</v>
      </c>
      <c r="BE188" t="s">
        <v>3329</v>
      </c>
      <c r="BF188" t="s">
        <v>309</v>
      </c>
      <c r="BG188">
        <v>73.93</v>
      </c>
      <c r="BI188">
        <v>2009</v>
      </c>
      <c r="BJ188">
        <v>2</v>
      </c>
      <c r="BL188">
        <v>9</v>
      </c>
      <c r="BN188" t="s">
        <v>113</v>
      </c>
      <c r="BO188" t="s">
        <v>2744</v>
      </c>
      <c r="BP188" t="s">
        <v>3329</v>
      </c>
      <c r="BQ188" t="s">
        <v>2649</v>
      </c>
      <c r="BR188">
        <v>8.53</v>
      </c>
      <c r="BS188">
        <v>8.53</v>
      </c>
      <c r="BT188">
        <v>2013</v>
      </c>
      <c r="BU188">
        <v>12</v>
      </c>
      <c r="BW188">
        <v>9</v>
      </c>
      <c r="BY188" t="s">
        <v>109</v>
      </c>
      <c r="CF188" t="s">
        <v>113</v>
      </c>
      <c r="CG188" t="s">
        <v>309</v>
      </c>
      <c r="CH188" t="s">
        <v>3330</v>
      </c>
      <c r="CI188" t="s">
        <v>132</v>
      </c>
      <c r="CJ188">
        <v>2024</v>
      </c>
      <c r="CL188" t="s">
        <v>109</v>
      </c>
      <c r="CN188" t="s">
        <v>113</v>
      </c>
      <c r="CO188" t="s">
        <v>3331</v>
      </c>
      <c r="CP188" t="s">
        <v>3332</v>
      </c>
      <c r="CQ188" t="s">
        <v>3334</v>
      </c>
      <c r="CR188" t="s">
        <v>136</v>
      </c>
      <c r="CS188" t="str">
        <f>HYPERLINK("https://nconnect.nicmar.ac.in/pdf/319_resume_1771570705.pdf/Y2FyZWVy","View Resume")</f>
        <v>0</v>
      </c>
    </row>
    <row r="189" spans="1:97">
      <c r="A189" t="s">
        <v>137</v>
      </c>
      <c r="B189" t="s">
        <v>138</v>
      </c>
      <c r="C189" t="s">
        <v>139</v>
      </c>
      <c r="D189" t="s">
        <v>140</v>
      </c>
      <c r="E189" t="s">
        <v>3318</v>
      </c>
      <c r="F189" t="s">
        <v>3319</v>
      </c>
      <c r="G189">
        <v>9921239269</v>
      </c>
      <c r="H189" t="s">
        <v>103</v>
      </c>
      <c r="I189" t="s">
        <v>3320</v>
      </c>
      <c r="J189" t="s">
        <v>105</v>
      </c>
      <c r="K189" t="s">
        <v>1536</v>
      </c>
      <c r="L189" t="s">
        <v>3321</v>
      </c>
      <c r="M189" t="s">
        <v>3322</v>
      </c>
      <c r="N189" t="s">
        <v>113</v>
      </c>
      <c r="O189" t="s">
        <v>3323</v>
      </c>
      <c r="P189" t="s">
        <v>3324</v>
      </c>
      <c r="AI189" t="s">
        <v>3325</v>
      </c>
      <c r="AJ189" t="s">
        <v>3326</v>
      </c>
      <c r="AK189" t="s">
        <v>3327</v>
      </c>
      <c r="AL189">
        <v>70.26</v>
      </c>
      <c r="AN189">
        <v>2003</v>
      </c>
      <c r="AO189" t="s">
        <v>109</v>
      </c>
      <c r="AV189" t="s">
        <v>113</v>
      </c>
      <c r="AW189" t="s">
        <v>309</v>
      </c>
      <c r="AX189" t="s">
        <v>3328</v>
      </c>
      <c r="AY189" t="s">
        <v>309</v>
      </c>
      <c r="AZ189">
        <v>75.85</v>
      </c>
      <c r="BB189">
        <v>2006</v>
      </c>
      <c r="BC189" t="s">
        <v>113</v>
      </c>
      <c r="BD189" t="s">
        <v>2744</v>
      </c>
      <c r="BE189" t="s">
        <v>3329</v>
      </c>
      <c r="BF189" t="s">
        <v>309</v>
      </c>
      <c r="BG189">
        <v>73.93</v>
      </c>
      <c r="BI189">
        <v>2009</v>
      </c>
      <c r="BJ189">
        <v>2</v>
      </c>
      <c r="BL189">
        <v>9</v>
      </c>
      <c r="BN189" t="s">
        <v>113</v>
      </c>
      <c r="BO189" t="s">
        <v>2744</v>
      </c>
      <c r="BP189" t="s">
        <v>3329</v>
      </c>
      <c r="BQ189" t="s">
        <v>2649</v>
      </c>
      <c r="BR189">
        <v>8.53</v>
      </c>
      <c r="BS189">
        <v>8.53</v>
      </c>
      <c r="BT189">
        <v>2013</v>
      </c>
      <c r="BU189">
        <v>12</v>
      </c>
      <c r="BW189">
        <v>9</v>
      </c>
      <c r="BY189" t="s">
        <v>109</v>
      </c>
      <c r="CF189" t="s">
        <v>113</v>
      </c>
      <c r="CG189" t="s">
        <v>309</v>
      </c>
      <c r="CH189" t="s">
        <v>3330</v>
      </c>
      <c r="CI189" t="s">
        <v>132</v>
      </c>
      <c r="CJ189">
        <v>2024</v>
      </c>
      <c r="CL189" t="s">
        <v>109</v>
      </c>
      <c r="CN189" t="s">
        <v>113</v>
      </c>
      <c r="CO189" t="s">
        <v>3331</v>
      </c>
      <c r="CP189" t="s">
        <v>3332</v>
      </c>
      <c r="CQ189" t="s">
        <v>3334</v>
      </c>
      <c r="CR189" t="s">
        <v>136</v>
      </c>
      <c r="CS189" t="str">
        <f>HYPERLINK("https://nconnect.nicmar.ac.in/pdf/319_resume_1771570705.pdf/Y2FyZWVy","View Resume")</f>
        <v>0</v>
      </c>
    </row>
    <row r="190" spans="1:97">
      <c r="A190" t="s">
        <v>926</v>
      </c>
      <c r="B190" t="s">
        <v>318</v>
      </c>
      <c r="C190" t="s">
        <v>139</v>
      </c>
      <c r="D190" t="s">
        <v>927</v>
      </c>
      <c r="E190" t="s">
        <v>3318</v>
      </c>
      <c r="F190" t="s">
        <v>3319</v>
      </c>
      <c r="G190">
        <v>9921239269</v>
      </c>
      <c r="H190" t="s">
        <v>103</v>
      </c>
      <c r="I190" t="s">
        <v>3320</v>
      </c>
      <c r="J190" t="s">
        <v>105</v>
      </c>
      <c r="K190" t="s">
        <v>1536</v>
      </c>
      <c r="L190" t="s">
        <v>3321</v>
      </c>
      <c r="M190" t="s">
        <v>3322</v>
      </c>
      <c r="N190" t="s">
        <v>113</v>
      </c>
      <c r="O190" t="s">
        <v>3323</v>
      </c>
      <c r="P190" t="s">
        <v>3324</v>
      </c>
      <c r="AI190" t="s">
        <v>3325</v>
      </c>
      <c r="AJ190" t="s">
        <v>3326</v>
      </c>
      <c r="AK190" t="s">
        <v>3327</v>
      </c>
      <c r="AL190">
        <v>70.26</v>
      </c>
      <c r="AN190">
        <v>2003</v>
      </c>
      <c r="AO190" t="s">
        <v>109</v>
      </c>
      <c r="AV190" t="s">
        <v>113</v>
      </c>
      <c r="AW190" t="s">
        <v>309</v>
      </c>
      <c r="AX190" t="s">
        <v>3328</v>
      </c>
      <c r="AY190" t="s">
        <v>309</v>
      </c>
      <c r="AZ190">
        <v>75.85</v>
      </c>
      <c r="BB190">
        <v>2006</v>
      </c>
      <c r="BC190" t="s">
        <v>113</v>
      </c>
      <c r="BD190" t="s">
        <v>2744</v>
      </c>
      <c r="BE190" t="s">
        <v>3329</v>
      </c>
      <c r="BF190" t="s">
        <v>309</v>
      </c>
      <c r="BG190">
        <v>73.93</v>
      </c>
      <c r="BI190">
        <v>2009</v>
      </c>
      <c r="BJ190">
        <v>2</v>
      </c>
      <c r="BL190">
        <v>9</v>
      </c>
      <c r="BN190" t="s">
        <v>113</v>
      </c>
      <c r="BO190" t="s">
        <v>2744</v>
      </c>
      <c r="BP190" t="s">
        <v>3329</v>
      </c>
      <c r="BQ190" t="s">
        <v>2649</v>
      </c>
      <c r="BR190">
        <v>8.53</v>
      </c>
      <c r="BS190">
        <v>8.53</v>
      </c>
      <c r="BT190">
        <v>2013</v>
      </c>
      <c r="BU190">
        <v>12</v>
      </c>
      <c r="BW190">
        <v>9</v>
      </c>
      <c r="BY190" t="s">
        <v>109</v>
      </c>
      <c r="CF190" t="s">
        <v>113</v>
      </c>
      <c r="CG190" t="s">
        <v>309</v>
      </c>
      <c r="CH190" t="s">
        <v>3330</v>
      </c>
      <c r="CI190" t="s">
        <v>132</v>
      </c>
      <c r="CJ190">
        <v>2024</v>
      </c>
      <c r="CL190" t="s">
        <v>109</v>
      </c>
      <c r="CN190" t="s">
        <v>113</v>
      </c>
      <c r="CO190" t="s">
        <v>3331</v>
      </c>
      <c r="CP190" t="s">
        <v>3332</v>
      </c>
      <c r="CQ190" t="s">
        <v>3335</v>
      </c>
      <c r="CR190" t="s">
        <v>136</v>
      </c>
      <c r="CS190" t="str">
        <f>HYPERLINK("https://nconnect.nicmar.ac.in/pdf/319_resume_1771570705.pdf/Y2FyZWVy","View Resume")</f>
        <v>0</v>
      </c>
    </row>
    <row r="191" spans="1:97">
      <c r="A191" t="s">
        <v>926</v>
      </c>
      <c r="B191" t="s">
        <v>318</v>
      </c>
      <c r="C191" t="s">
        <v>139</v>
      </c>
      <c r="D191" t="s">
        <v>927</v>
      </c>
      <c r="E191" t="s">
        <v>3336</v>
      </c>
      <c r="F191" t="s">
        <v>3337</v>
      </c>
      <c r="G191">
        <v>9422417577</v>
      </c>
      <c r="H191" t="s">
        <v>103</v>
      </c>
      <c r="I191" t="s">
        <v>3338</v>
      </c>
      <c r="J191" t="s">
        <v>105</v>
      </c>
      <c r="K191" t="s">
        <v>505</v>
      </c>
      <c r="L191" t="s">
        <v>3339</v>
      </c>
      <c r="M191" t="s">
        <v>3340</v>
      </c>
      <c r="N191" t="s">
        <v>109</v>
      </c>
      <c r="AI191" t="s">
        <v>3341</v>
      </c>
      <c r="AJ191" t="s">
        <v>3342</v>
      </c>
      <c r="AK191" t="s">
        <v>281</v>
      </c>
      <c r="AL191">
        <v>79.8</v>
      </c>
      <c r="AN191">
        <v>1999</v>
      </c>
      <c r="AO191" t="s">
        <v>113</v>
      </c>
      <c r="AP191" t="s">
        <v>3343</v>
      </c>
      <c r="AQ191" t="s">
        <v>3344</v>
      </c>
      <c r="AR191" t="s">
        <v>277</v>
      </c>
      <c r="AS191">
        <v>76.5</v>
      </c>
      <c r="AU191">
        <v>2001</v>
      </c>
      <c r="AV191" t="s">
        <v>109</v>
      </c>
      <c r="BC191" t="s">
        <v>113</v>
      </c>
      <c r="BD191" t="s">
        <v>2583</v>
      </c>
      <c r="BE191" t="s">
        <v>3345</v>
      </c>
      <c r="BF191" t="s">
        <v>309</v>
      </c>
      <c r="BG191">
        <v>62.5</v>
      </c>
      <c r="BI191">
        <v>2005</v>
      </c>
      <c r="BJ191">
        <v>2</v>
      </c>
      <c r="BL191">
        <v>9</v>
      </c>
      <c r="BN191" t="s">
        <v>113</v>
      </c>
      <c r="BO191" t="s">
        <v>1215</v>
      </c>
      <c r="BP191" t="s">
        <v>2650</v>
      </c>
      <c r="BQ191" t="s">
        <v>3346</v>
      </c>
      <c r="BR191">
        <v>82</v>
      </c>
      <c r="BS191">
        <v>8.7</v>
      </c>
      <c r="BT191">
        <v>2009</v>
      </c>
      <c r="BU191">
        <v>12</v>
      </c>
      <c r="BW191">
        <v>15</v>
      </c>
      <c r="BY191" t="s">
        <v>109</v>
      </c>
      <c r="CF191" t="s">
        <v>113</v>
      </c>
      <c r="CG191" t="s">
        <v>3347</v>
      </c>
      <c r="CH191" t="s">
        <v>2650</v>
      </c>
      <c r="CI191" t="s">
        <v>132</v>
      </c>
      <c r="CJ191">
        <v>2021</v>
      </c>
      <c r="CL191" t="s">
        <v>113</v>
      </c>
      <c r="CM191" t="s">
        <v>3348</v>
      </c>
      <c r="CN191" t="s">
        <v>113</v>
      </c>
      <c r="CO191" t="s">
        <v>3349</v>
      </c>
      <c r="CP191" t="s">
        <v>3350</v>
      </c>
      <c r="CQ191" t="s">
        <v>3351</v>
      </c>
      <c r="CR191" t="str">
        <f>HYPERLINK("https://nconnect.nicmar.ac.in/public/storage/profile/6997fb5982e64.png","Download")</f>
        <v>0</v>
      </c>
      <c r="CS191" t="str">
        <f>HYPERLINK("https://nconnect.nicmar.ac.in/pdf/318_resume_1771570948.pdf/Y2FyZWVy","View Resume")</f>
        <v>0</v>
      </c>
    </row>
    <row r="192" spans="1:97">
      <c r="A192" t="s">
        <v>656</v>
      </c>
      <c r="B192" t="s">
        <v>318</v>
      </c>
      <c r="C192" t="s">
        <v>139</v>
      </c>
      <c r="D192" t="s">
        <v>140</v>
      </c>
      <c r="E192" t="s">
        <v>3352</v>
      </c>
      <c r="F192" t="s">
        <v>3353</v>
      </c>
      <c r="G192">
        <v>9444471194</v>
      </c>
      <c r="H192" t="s">
        <v>103</v>
      </c>
      <c r="I192" t="s">
        <v>3354</v>
      </c>
      <c r="J192" t="s">
        <v>105</v>
      </c>
      <c r="K192" t="s">
        <v>3355</v>
      </c>
      <c r="L192" t="s">
        <v>3356</v>
      </c>
      <c r="M192" t="s">
        <v>3357</v>
      </c>
      <c r="N192" t="s">
        <v>109</v>
      </c>
      <c r="AI192" t="s">
        <v>3358</v>
      </c>
      <c r="AJ192" t="s">
        <v>3359</v>
      </c>
      <c r="AK192" t="s">
        <v>3360</v>
      </c>
      <c r="AL192">
        <v>68</v>
      </c>
      <c r="AN192">
        <v>1999</v>
      </c>
      <c r="AO192" t="s">
        <v>113</v>
      </c>
      <c r="AP192" t="s">
        <v>3361</v>
      </c>
      <c r="AQ192" t="s">
        <v>3362</v>
      </c>
      <c r="AR192" t="s">
        <v>3363</v>
      </c>
      <c r="AS192">
        <v>74</v>
      </c>
      <c r="AU192">
        <v>2001</v>
      </c>
      <c r="AV192" t="s">
        <v>109</v>
      </c>
      <c r="BC192" t="s">
        <v>113</v>
      </c>
      <c r="BD192" t="s">
        <v>3364</v>
      </c>
      <c r="BE192" t="s">
        <v>3365</v>
      </c>
      <c r="BF192" t="s">
        <v>156</v>
      </c>
      <c r="BG192">
        <v>70</v>
      </c>
      <c r="BI192">
        <v>2006</v>
      </c>
      <c r="BJ192">
        <v>2</v>
      </c>
      <c r="BL192">
        <v>9</v>
      </c>
      <c r="BN192" t="s">
        <v>113</v>
      </c>
      <c r="BO192" t="s">
        <v>3366</v>
      </c>
      <c r="BP192" t="s">
        <v>3366</v>
      </c>
      <c r="BQ192" t="s">
        <v>3367</v>
      </c>
      <c r="BR192">
        <v>67.1</v>
      </c>
      <c r="BS192">
        <v>6.71</v>
      </c>
      <c r="BT192">
        <v>2009</v>
      </c>
      <c r="BU192">
        <v>31</v>
      </c>
      <c r="BV192" t="s">
        <v>3368</v>
      </c>
      <c r="BW192">
        <v>53</v>
      </c>
      <c r="BX192" t="s">
        <v>3369</v>
      </c>
      <c r="BY192" t="s">
        <v>109</v>
      </c>
      <c r="CF192" t="s">
        <v>113</v>
      </c>
      <c r="CG192" t="s">
        <v>3370</v>
      </c>
      <c r="CH192" t="s">
        <v>3371</v>
      </c>
      <c r="CI192" t="s">
        <v>132</v>
      </c>
      <c r="CJ192">
        <v>2018</v>
      </c>
      <c r="CL192" t="s">
        <v>109</v>
      </c>
      <c r="CN192" t="s">
        <v>113</v>
      </c>
      <c r="CO192" t="s">
        <v>3372</v>
      </c>
      <c r="CP192" t="s">
        <v>3373</v>
      </c>
      <c r="CQ192" t="s">
        <v>3351</v>
      </c>
      <c r="CR192" t="str">
        <f>HYPERLINK("https://nconnect.nicmar.ac.in/public/storage/profile/699807cf33e44.png","Download")</f>
        <v>0</v>
      </c>
      <c r="CS192" t="str">
        <f>HYPERLINK("https://nconnect.nicmar.ac.in/pdf/293_resume_1771571043.pdf/Y2FyZWVy","View Resume")</f>
        <v>0</v>
      </c>
    </row>
    <row r="193" spans="1:97">
      <c r="A193" t="s">
        <v>501</v>
      </c>
      <c r="B193" t="s">
        <v>138</v>
      </c>
      <c r="C193" t="s">
        <v>165</v>
      </c>
      <c r="D193" t="s">
        <v>319</v>
      </c>
      <c r="E193" t="s">
        <v>3374</v>
      </c>
      <c r="F193" t="s">
        <v>3375</v>
      </c>
      <c r="G193">
        <v>8329764547</v>
      </c>
      <c r="H193" t="s">
        <v>169</v>
      </c>
      <c r="I193" t="s">
        <v>3376</v>
      </c>
      <c r="J193" t="s">
        <v>105</v>
      </c>
      <c r="K193" t="s">
        <v>3377</v>
      </c>
      <c r="L193" t="s">
        <v>3378</v>
      </c>
      <c r="M193" t="s">
        <v>3379</v>
      </c>
      <c r="N193" t="s">
        <v>109</v>
      </c>
      <c r="AI193" t="s">
        <v>3380</v>
      </c>
      <c r="AJ193" t="s">
        <v>352</v>
      </c>
      <c r="AK193" t="s">
        <v>957</v>
      </c>
      <c r="AL193">
        <v>60</v>
      </c>
      <c r="AN193">
        <v>2001</v>
      </c>
      <c r="AO193" t="s">
        <v>109</v>
      </c>
      <c r="AV193" t="s">
        <v>109</v>
      </c>
      <c r="BC193" t="s">
        <v>109</v>
      </c>
      <c r="BK193" t="s">
        <v>1504</v>
      </c>
      <c r="BM193" t="s">
        <v>3381</v>
      </c>
      <c r="BN193" t="s">
        <v>113</v>
      </c>
      <c r="BO193" t="s">
        <v>3382</v>
      </c>
      <c r="BP193" t="s">
        <v>3383</v>
      </c>
      <c r="BQ193" t="s">
        <v>3384</v>
      </c>
      <c r="BR193">
        <v>68</v>
      </c>
      <c r="BT193">
        <v>2008</v>
      </c>
      <c r="BU193">
        <v>31</v>
      </c>
      <c r="BV193" t="s">
        <v>3385</v>
      </c>
      <c r="BW193">
        <v>23</v>
      </c>
      <c r="BY193" t="s">
        <v>109</v>
      </c>
      <c r="CF193" t="s">
        <v>113</v>
      </c>
      <c r="CG193" t="s">
        <v>3386</v>
      </c>
      <c r="CH193" t="s">
        <v>3387</v>
      </c>
      <c r="CI193" t="s">
        <v>132</v>
      </c>
      <c r="CJ193">
        <v>2025</v>
      </c>
      <c r="CL193" t="s">
        <v>113</v>
      </c>
      <c r="CM193" t="s">
        <v>3388</v>
      </c>
      <c r="CN193" t="s">
        <v>113</v>
      </c>
      <c r="CO193" t="s">
        <v>3389</v>
      </c>
      <c r="CP193" t="s">
        <v>3390</v>
      </c>
      <c r="CQ193" t="s">
        <v>3391</v>
      </c>
      <c r="CR193" t="s">
        <v>136</v>
      </c>
      <c r="CS193" t="str">
        <f>HYPERLINK("https://nconnect.nicmar.ac.in/pdf/320_resume_1771571510.pdf/Y2FyZWVy","View Resume")</f>
        <v>0</v>
      </c>
    </row>
    <row r="194" spans="1:97">
      <c r="A194" t="s">
        <v>137</v>
      </c>
      <c r="B194" t="s">
        <v>138</v>
      </c>
      <c r="C194" t="s">
        <v>139</v>
      </c>
      <c r="D194" t="s">
        <v>140</v>
      </c>
      <c r="E194" t="s">
        <v>3392</v>
      </c>
      <c r="F194" t="s">
        <v>3393</v>
      </c>
      <c r="G194">
        <v>7667869704</v>
      </c>
      <c r="H194" t="s">
        <v>103</v>
      </c>
      <c r="I194" t="s">
        <v>3394</v>
      </c>
      <c r="J194" t="s">
        <v>144</v>
      </c>
      <c r="K194" t="s">
        <v>505</v>
      </c>
      <c r="L194" t="s">
        <v>3395</v>
      </c>
      <c r="M194" t="s">
        <v>3396</v>
      </c>
      <c r="N194" t="s">
        <v>109</v>
      </c>
      <c r="AI194" t="s">
        <v>3397</v>
      </c>
      <c r="AJ194" t="s">
        <v>3398</v>
      </c>
      <c r="AK194" t="s">
        <v>3399</v>
      </c>
      <c r="AL194">
        <v>64.6</v>
      </c>
      <c r="AM194">
        <v>6.8</v>
      </c>
      <c r="AN194">
        <v>2011</v>
      </c>
      <c r="AO194" t="s">
        <v>113</v>
      </c>
      <c r="AP194" t="s">
        <v>3400</v>
      </c>
      <c r="AQ194" t="s">
        <v>3398</v>
      </c>
      <c r="AR194" t="s">
        <v>3401</v>
      </c>
      <c r="AS194">
        <v>73.6</v>
      </c>
      <c r="AU194">
        <v>2013</v>
      </c>
      <c r="AV194" t="s">
        <v>109</v>
      </c>
      <c r="BC194" t="s">
        <v>113</v>
      </c>
      <c r="BD194" t="s">
        <v>3402</v>
      </c>
      <c r="BE194" t="s">
        <v>3403</v>
      </c>
      <c r="BF194" t="s">
        <v>309</v>
      </c>
      <c r="BG194">
        <v>85.3</v>
      </c>
      <c r="BH194">
        <v>8.53</v>
      </c>
      <c r="BI194">
        <v>2018</v>
      </c>
      <c r="BJ194">
        <v>1</v>
      </c>
      <c r="BL194">
        <v>9</v>
      </c>
      <c r="BN194" t="s">
        <v>113</v>
      </c>
      <c r="BO194" t="s">
        <v>3404</v>
      </c>
      <c r="BP194" t="s">
        <v>3398</v>
      </c>
      <c r="BQ194" t="s">
        <v>140</v>
      </c>
      <c r="BR194">
        <v>86.9</v>
      </c>
      <c r="BS194">
        <v>8.69</v>
      </c>
      <c r="BT194">
        <v>2020</v>
      </c>
      <c r="BU194">
        <v>14</v>
      </c>
      <c r="BW194">
        <v>47</v>
      </c>
      <c r="BY194" t="s">
        <v>109</v>
      </c>
      <c r="CF194" t="s">
        <v>113</v>
      </c>
      <c r="CG194" t="s">
        <v>3405</v>
      </c>
      <c r="CH194" t="s">
        <v>3404</v>
      </c>
      <c r="CI194" t="s">
        <v>132</v>
      </c>
      <c r="CJ194">
        <v>2023</v>
      </c>
      <c r="CL194" t="s">
        <v>109</v>
      </c>
      <c r="CN194" t="s">
        <v>113</v>
      </c>
      <c r="CO194" t="s">
        <v>3406</v>
      </c>
      <c r="CP194" t="s">
        <v>3407</v>
      </c>
      <c r="CQ194" t="s">
        <v>3408</v>
      </c>
      <c r="CR194" t="s">
        <v>136</v>
      </c>
      <c r="CS194" t="str">
        <f>HYPERLINK("https://nconnect.nicmar.ac.in/pdf/327_resume_1771572719.pdf/Y2FyZWVy","View Resume")</f>
        <v>0</v>
      </c>
    </row>
    <row r="195" spans="1:97">
      <c r="A195" t="s">
        <v>190</v>
      </c>
      <c r="B195" t="s">
        <v>138</v>
      </c>
      <c r="C195" t="s">
        <v>139</v>
      </c>
      <c r="D195" t="s">
        <v>191</v>
      </c>
      <c r="E195" t="s">
        <v>3409</v>
      </c>
      <c r="F195" t="s">
        <v>3410</v>
      </c>
      <c r="G195">
        <v>9411916462</v>
      </c>
      <c r="H195" t="s">
        <v>169</v>
      </c>
      <c r="I195" t="s">
        <v>3411</v>
      </c>
      <c r="J195" t="s">
        <v>105</v>
      </c>
      <c r="K195" t="s">
        <v>505</v>
      </c>
      <c r="L195" t="s">
        <v>3412</v>
      </c>
      <c r="M195" t="s">
        <v>3413</v>
      </c>
      <c r="N195" t="s">
        <v>109</v>
      </c>
      <c r="AI195" t="s">
        <v>3414</v>
      </c>
      <c r="AJ195" t="s">
        <v>3415</v>
      </c>
      <c r="AK195" t="s">
        <v>3416</v>
      </c>
      <c r="AL195">
        <v>63.66</v>
      </c>
      <c r="AN195">
        <v>1991</v>
      </c>
      <c r="AO195" t="s">
        <v>113</v>
      </c>
      <c r="AP195" t="s">
        <v>3414</v>
      </c>
      <c r="AQ195" t="s">
        <v>3415</v>
      </c>
      <c r="AR195" t="s">
        <v>3417</v>
      </c>
      <c r="AS195">
        <v>51</v>
      </c>
      <c r="AU195">
        <v>1993</v>
      </c>
      <c r="AV195" t="s">
        <v>109</v>
      </c>
      <c r="BC195" t="s">
        <v>113</v>
      </c>
      <c r="BD195" t="s">
        <v>3418</v>
      </c>
      <c r="BE195" t="s">
        <v>3419</v>
      </c>
      <c r="BF195" t="s">
        <v>3420</v>
      </c>
      <c r="BG195">
        <v>59.62</v>
      </c>
      <c r="BI195">
        <v>1996</v>
      </c>
      <c r="BJ195">
        <v>19</v>
      </c>
      <c r="BK195" t="s">
        <v>3421</v>
      </c>
      <c r="BL195">
        <v>53</v>
      </c>
      <c r="BM195" t="s">
        <v>281</v>
      </c>
      <c r="BN195" t="s">
        <v>113</v>
      </c>
      <c r="BO195" t="s">
        <v>3418</v>
      </c>
      <c r="BP195" t="s">
        <v>3422</v>
      </c>
      <c r="BQ195" t="s">
        <v>3423</v>
      </c>
      <c r="BR195">
        <v>74.6</v>
      </c>
      <c r="BT195">
        <v>1998</v>
      </c>
      <c r="BU195">
        <v>31</v>
      </c>
      <c r="BV195" t="s">
        <v>3424</v>
      </c>
      <c r="BW195">
        <v>53</v>
      </c>
      <c r="BX195" t="s">
        <v>3425</v>
      </c>
      <c r="BY195" t="s">
        <v>109</v>
      </c>
      <c r="CF195" t="s">
        <v>113</v>
      </c>
      <c r="CG195" t="s">
        <v>3426</v>
      </c>
      <c r="CH195" t="s">
        <v>3427</v>
      </c>
      <c r="CI195" t="s">
        <v>132</v>
      </c>
      <c r="CJ195">
        <v>2006</v>
      </c>
      <c r="CL195" t="s">
        <v>113</v>
      </c>
      <c r="CM195" t="s">
        <v>2668</v>
      </c>
      <c r="CN195" t="s">
        <v>113</v>
      </c>
      <c r="CO195" t="s">
        <v>3428</v>
      </c>
      <c r="CP195" t="s">
        <v>3429</v>
      </c>
      <c r="CQ195" t="s">
        <v>3430</v>
      </c>
      <c r="CR195" t="s">
        <v>136</v>
      </c>
      <c r="CS195" t="str">
        <f>HYPERLINK("https://nconnect.nicmar.ac.in/pdf/314_resume_1771572868.pdf/Y2FyZWVy","View Resume")</f>
        <v>0</v>
      </c>
    </row>
    <row r="196" spans="1:97">
      <c r="A196" t="s">
        <v>223</v>
      </c>
      <c r="B196" t="s">
        <v>138</v>
      </c>
      <c r="C196" t="s">
        <v>165</v>
      </c>
      <c r="D196" t="s">
        <v>224</v>
      </c>
      <c r="E196" t="s">
        <v>3431</v>
      </c>
      <c r="F196" t="s">
        <v>3432</v>
      </c>
      <c r="G196">
        <v>9763235691</v>
      </c>
      <c r="H196" t="s">
        <v>103</v>
      </c>
      <c r="I196" t="s">
        <v>3433</v>
      </c>
      <c r="J196" t="s">
        <v>144</v>
      </c>
      <c r="K196" t="s">
        <v>1536</v>
      </c>
      <c r="L196" t="s">
        <v>3434</v>
      </c>
      <c r="M196" t="s">
        <v>3435</v>
      </c>
      <c r="N196" t="s">
        <v>109</v>
      </c>
      <c r="AI196" t="s">
        <v>3436</v>
      </c>
      <c r="AJ196" t="s">
        <v>3437</v>
      </c>
      <c r="AK196" t="s">
        <v>3438</v>
      </c>
      <c r="AL196">
        <v>88.8</v>
      </c>
      <c r="AN196">
        <v>2005</v>
      </c>
      <c r="AO196" t="s">
        <v>113</v>
      </c>
      <c r="AP196" t="s">
        <v>3436</v>
      </c>
      <c r="AQ196" t="s">
        <v>3439</v>
      </c>
      <c r="AR196" t="s">
        <v>3440</v>
      </c>
      <c r="AS196">
        <v>65.5</v>
      </c>
      <c r="AU196">
        <v>2007</v>
      </c>
      <c r="AV196" t="s">
        <v>109</v>
      </c>
      <c r="AW196" t="s">
        <v>3441</v>
      </c>
      <c r="AX196" t="s">
        <v>1884</v>
      </c>
      <c r="AY196" t="s">
        <v>3442</v>
      </c>
      <c r="BC196" t="s">
        <v>113</v>
      </c>
      <c r="BD196" t="s">
        <v>3443</v>
      </c>
      <c r="BE196" t="s">
        <v>3444</v>
      </c>
      <c r="BF196" t="s">
        <v>3445</v>
      </c>
      <c r="BG196">
        <v>58.33</v>
      </c>
      <c r="BI196">
        <v>2008</v>
      </c>
      <c r="BJ196">
        <v>19</v>
      </c>
      <c r="BK196" t="s">
        <v>862</v>
      </c>
      <c r="BL196">
        <v>17</v>
      </c>
      <c r="BN196" t="s">
        <v>113</v>
      </c>
      <c r="BO196" t="s">
        <v>3292</v>
      </c>
      <c r="BP196" t="s">
        <v>3446</v>
      </c>
      <c r="BQ196" t="s">
        <v>3447</v>
      </c>
      <c r="BR196">
        <v>63.31</v>
      </c>
      <c r="BT196">
        <v>2013</v>
      </c>
      <c r="BU196">
        <v>31</v>
      </c>
      <c r="BV196" t="s">
        <v>1986</v>
      </c>
      <c r="BW196">
        <v>17</v>
      </c>
      <c r="BY196" t="s">
        <v>113</v>
      </c>
      <c r="BZ196" t="s">
        <v>3292</v>
      </c>
      <c r="CA196" t="s">
        <v>2140</v>
      </c>
      <c r="CB196" t="s">
        <v>3448</v>
      </c>
      <c r="CC196">
        <v>78</v>
      </c>
      <c r="CD196">
        <v>7.8</v>
      </c>
      <c r="CE196">
        <v>2026</v>
      </c>
      <c r="CF196" t="s">
        <v>109</v>
      </c>
      <c r="CL196" t="s">
        <v>113</v>
      </c>
      <c r="CM196" t="s">
        <v>3449</v>
      </c>
      <c r="CN196" t="s">
        <v>109</v>
      </c>
      <c r="CP196" t="s">
        <v>3450</v>
      </c>
      <c r="CQ196" t="s">
        <v>3451</v>
      </c>
      <c r="CR196" t="s">
        <v>136</v>
      </c>
      <c r="CS196" t="str">
        <f>HYPERLINK("https://nconnect.nicmar.ac.in/pdf/324_resume_1771573144.pdf/Y2FyZWVy","View Resume")</f>
        <v>0</v>
      </c>
    </row>
    <row r="197" spans="1:97">
      <c r="A197" t="s">
        <v>137</v>
      </c>
      <c r="B197" t="s">
        <v>138</v>
      </c>
      <c r="C197" t="s">
        <v>139</v>
      </c>
      <c r="D197" t="s">
        <v>140</v>
      </c>
      <c r="E197" t="s">
        <v>3452</v>
      </c>
      <c r="F197" t="s">
        <v>3453</v>
      </c>
      <c r="G197">
        <v>7057210311</v>
      </c>
      <c r="H197" t="s">
        <v>103</v>
      </c>
      <c r="I197" t="s">
        <v>3454</v>
      </c>
      <c r="J197" t="s">
        <v>144</v>
      </c>
      <c r="K197" t="s">
        <v>1536</v>
      </c>
      <c r="L197" t="s">
        <v>3455</v>
      </c>
      <c r="M197" t="s">
        <v>3456</v>
      </c>
      <c r="N197" t="s">
        <v>109</v>
      </c>
      <c r="AI197" t="s">
        <v>3457</v>
      </c>
      <c r="AJ197" t="s">
        <v>3458</v>
      </c>
      <c r="AK197" t="s">
        <v>3459</v>
      </c>
      <c r="AL197">
        <v>85.2</v>
      </c>
      <c r="AN197">
        <v>2015</v>
      </c>
      <c r="AO197" t="s">
        <v>109</v>
      </c>
      <c r="AV197" t="s">
        <v>113</v>
      </c>
      <c r="AW197" t="s">
        <v>3460</v>
      </c>
      <c r="AX197" t="s">
        <v>3461</v>
      </c>
      <c r="AY197" t="s">
        <v>309</v>
      </c>
      <c r="AZ197">
        <v>80.48</v>
      </c>
      <c r="BB197">
        <v>2018</v>
      </c>
      <c r="BC197" t="s">
        <v>113</v>
      </c>
      <c r="BD197" t="s">
        <v>279</v>
      </c>
      <c r="BE197" t="s">
        <v>3462</v>
      </c>
      <c r="BF197" t="s">
        <v>309</v>
      </c>
      <c r="BG197">
        <v>79.56</v>
      </c>
      <c r="BH197">
        <v>8.94</v>
      </c>
      <c r="BI197">
        <v>2021</v>
      </c>
      <c r="BJ197">
        <v>1</v>
      </c>
      <c r="BL197">
        <v>9</v>
      </c>
      <c r="BN197" t="s">
        <v>113</v>
      </c>
      <c r="BO197" t="s">
        <v>279</v>
      </c>
      <c r="BP197" t="s">
        <v>3462</v>
      </c>
      <c r="BQ197" t="s">
        <v>140</v>
      </c>
      <c r="BR197">
        <v>74.31</v>
      </c>
      <c r="BS197">
        <v>8.35</v>
      </c>
      <c r="BT197">
        <v>2023</v>
      </c>
      <c r="BU197">
        <v>14</v>
      </c>
      <c r="BW197">
        <v>47</v>
      </c>
      <c r="BY197" t="s">
        <v>109</v>
      </c>
      <c r="CF197" t="s">
        <v>109</v>
      </c>
      <c r="CJ197">
        <v>2027</v>
      </c>
      <c r="CL197" t="s">
        <v>109</v>
      </c>
      <c r="CN197" t="s">
        <v>109</v>
      </c>
      <c r="CP197" t="s">
        <v>3463</v>
      </c>
      <c r="CQ197" t="s">
        <v>3464</v>
      </c>
      <c r="CR197" t="s">
        <v>136</v>
      </c>
      <c r="CS197" t="str">
        <f>HYPERLINK("https://nconnect.nicmar.ac.in/pdf/333_resume_1771573951.pdf/Y2FyZWVy","View Resume")</f>
        <v>0</v>
      </c>
    </row>
    <row r="198" spans="1:97">
      <c r="A198" t="s">
        <v>702</v>
      </c>
      <c r="B198" t="s">
        <v>138</v>
      </c>
      <c r="C198" t="s">
        <v>703</v>
      </c>
      <c r="D198" t="s">
        <v>704</v>
      </c>
      <c r="E198" t="s">
        <v>3465</v>
      </c>
      <c r="F198" t="s">
        <v>3466</v>
      </c>
      <c r="G198">
        <v>7987842163</v>
      </c>
      <c r="H198" t="s">
        <v>169</v>
      </c>
      <c r="I198" t="s">
        <v>3467</v>
      </c>
      <c r="J198" t="s">
        <v>105</v>
      </c>
      <c r="K198" t="s">
        <v>3468</v>
      </c>
      <c r="L198" t="s">
        <v>3469</v>
      </c>
      <c r="M198" t="s">
        <v>3470</v>
      </c>
      <c r="N198" t="s">
        <v>109</v>
      </c>
      <c r="AI198" t="s">
        <v>3471</v>
      </c>
      <c r="AJ198" t="s">
        <v>3472</v>
      </c>
      <c r="AK198" t="s">
        <v>3473</v>
      </c>
      <c r="AL198">
        <v>76</v>
      </c>
      <c r="AM198">
        <v>8</v>
      </c>
      <c r="AN198">
        <v>2014</v>
      </c>
      <c r="AO198" t="s">
        <v>113</v>
      </c>
      <c r="AP198" t="s">
        <v>3471</v>
      </c>
      <c r="AQ198" t="s">
        <v>3472</v>
      </c>
      <c r="AR198" t="s">
        <v>3474</v>
      </c>
      <c r="AS198">
        <v>65.6</v>
      </c>
      <c r="AU198">
        <v>2016</v>
      </c>
      <c r="AV198" t="s">
        <v>109</v>
      </c>
      <c r="BC198" t="s">
        <v>113</v>
      </c>
      <c r="BD198" t="s">
        <v>3475</v>
      </c>
      <c r="BE198" t="s">
        <v>3476</v>
      </c>
      <c r="BF198" t="s">
        <v>3477</v>
      </c>
      <c r="BG198">
        <v>75.8</v>
      </c>
      <c r="BH198">
        <v>7.58</v>
      </c>
      <c r="BI198">
        <v>2021</v>
      </c>
      <c r="BJ198">
        <v>8</v>
      </c>
      <c r="BL198">
        <v>2</v>
      </c>
      <c r="BN198" t="s">
        <v>113</v>
      </c>
      <c r="BO198" t="s">
        <v>3475</v>
      </c>
      <c r="BP198" t="s">
        <v>3476</v>
      </c>
      <c r="BQ198" t="s">
        <v>3478</v>
      </c>
      <c r="BR198">
        <v>72.1</v>
      </c>
      <c r="BS198">
        <v>7.21</v>
      </c>
      <c r="BT198">
        <v>2023</v>
      </c>
      <c r="BU198">
        <v>24</v>
      </c>
      <c r="BW198">
        <v>53</v>
      </c>
      <c r="BX198" t="s">
        <v>3479</v>
      </c>
      <c r="BY198" t="s">
        <v>113</v>
      </c>
      <c r="BZ198" t="s">
        <v>3480</v>
      </c>
      <c r="CA198" t="s">
        <v>3481</v>
      </c>
      <c r="CB198" t="s">
        <v>3482</v>
      </c>
      <c r="CC198">
        <v>62.21</v>
      </c>
      <c r="CE198">
        <v>2023</v>
      </c>
      <c r="CF198" t="s">
        <v>113</v>
      </c>
      <c r="CG198" t="s">
        <v>3483</v>
      </c>
      <c r="CH198" t="s">
        <v>3484</v>
      </c>
      <c r="CI198" t="s">
        <v>240</v>
      </c>
      <c r="CK198" t="s">
        <v>109</v>
      </c>
      <c r="CL198" t="s">
        <v>113</v>
      </c>
      <c r="CM198" t="s">
        <v>3485</v>
      </c>
      <c r="CN198" t="s">
        <v>113</v>
      </c>
      <c r="CO198" t="s">
        <v>3486</v>
      </c>
      <c r="CP198" t="s">
        <v>3487</v>
      </c>
      <c r="CQ198" t="s">
        <v>3488</v>
      </c>
      <c r="CR198" t="str">
        <f>HYPERLINK("https://nconnect.nicmar.ac.in/public/storage/profile/6997f9caf3d3a.png","Download")</f>
        <v>0</v>
      </c>
      <c r="CS198" t="str">
        <f>HYPERLINK("https://nconnect.nicmar.ac.in/pdf/315_resume_1771574683.pdf/Y2FyZWVy","View Resume")</f>
        <v>0</v>
      </c>
    </row>
    <row r="199" spans="1:97">
      <c r="A199" t="s">
        <v>846</v>
      </c>
      <c r="B199" t="s">
        <v>138</v>
      </c>
      <c r="C199" t="s">
        <v>165</v>
      </c>
      <c r="D199" t="s">
        <v>847</v>
      </c>
      <c r="E199" t="s">
        <v>3489</v>
      </c>
      <c r="F199" t="s">
        <v>3490</v>
      </c>
      <c r="G199">
        <v>8239786882</v>
      </c>
      <c r="H199" t="s">
        <v>103</v>
      </c>
      <c r="I199" t="s">
        <v>3491</v>
      </c>
      <c r="J199" t="s">
        <v>144</v>
      </c>
      <c r="K199" t="s">
        <v>145</v>
      </c>
      <c r="L199" t="s">
        <v>3492</v>
      </c>
      <c r="M199" t="s">
        <v>3493</v>
      </c>
      <c r="N199" t="s">
        <v>109</v>
      </c>
      <c r="AI199" t="s">
        <v>3494</v>
      </c>
      <c r="AJ199" t="s">
        <v>3495</v>
      </c>
      <c r="AK199" t="s">
        <v>3496</v>
      </c>
      <c r="AL199">
        <v>93.1</v>
      </c>
      <c r="AM199">
        <v>9.8</v>
      </c>
      <c r="AN199">
        <v>2014</v>
      </c>
      <c r="AO199" t="s">
        <v>113</v>
      </c>
      <c r="AP199" t="s">
        <v>3494</v>
      </c>
      <c r="AQ199" t="s">
        <v>3495</v>
      </c>
      <c r="AR199" t="s">
        <v>3497</v>
      </c>
      <c r="AS199">
        <v>91</v>
      </c>
      <c r="AU199">
        <v>2016</v>
      </c>
      <c r="AV199" t="s">
        <v>109</v>
      </c>
      <c r="BC199" t="s">
        <v>113</v>
      </c>
      <c r="BD199" t="s">
        <v>3498</v>
      </c>
      <c r="BE199" t="s">
        <v>3499</v>
      </c>
      <c r="BF199" t="s">
        <v>3500</v>
      </c>
      <c r="BG199">
        <v>70.11</v>
      </c>
      <c r="BI199">
        <v>2019</v>
      </c>
      <c r="BJ199">
        <v>19</v>
      </c>
      <c r="BK199" t="s">
        <v>3501</v>
      </c>
      <c r="BL199">
        <v>17</v>
      </c>
      <c r="BN199" t="s">
        <v>113</v>
      </c>
      <c r="BO199" t="s">
        <v>3502</v>
      </c>
      <c r="BP199" t="s">
        <v>3502</v>
      </c>
      <c r="BQ199" t="s">
        <v>3503</v>
      </c>
      <c r="BR199">
        <v>83</v>
      </c>
      <c r="BS199">
        <v>8.8</v>
      </c>
      <c r="BT199">
        <v>2021</v>
      </c>
      <c r="BU199">
        <v>31</v>
      </c>
      <c r="BV199" t="s">
        <v>1986</v>
      </c>
      <c r="BW199">
        <v>53</v>
      </c>
      <c r="BX199" t="s">
        <v>3504</v>
      </c>
      <c r="BY199" t="s">
        <v>109</v>
      </c>
      <c r="CF199" t="s">
        <v>113</v>
      </c>
      <c r="CG199" t="s">
        <v>3505</v>
      </c>
      <c r="CH199" t="s">
        <v>3506</v>
      </c>
      <c r="CI199" t="s">
        <v>240</v>
      </c>
      <c r="CK199" t="s">
        <v>113</v>
      </c>
      <c r="CL199" t="s">
        <v>113</v>
      </c>
      <c r="CM199" t="s">
        <v>3507</v>
      </c>
      <c r="CN199" t="s">
        <v>113</v>
      </c>
      <c r="CO199" t="s">
        <v>3508</v>
      </c>
      <c r="CP199" t="s">
        <v>460</v>
      </c>
      <c r="CQ199" t="s">
        <v>3509</v>
      </c>
      <c r="CR199" t="str">
        <f>HYPERLINK("https://nconnect.nicmar.ac.in/public/storage/profile/699c787c3508c.png","Download")</f>
        <v>0</v>
      </c>
      <c r="CS199" t="str">
        <f>HYPERLINK("https://nconnect.nicmar.ac.in/pdf/335_resume_1771575103.pdf/Y2FyZWVy","View Resume")</f>
        <v>0</v>
      </c>
    </row>
    <row r="200" spans="1:97">
      <c r="A200" t="s">
        <v>702</v>
      </c>
      <c r="B200" t="s">
        <v>138</v>
      </c>
      <c r="C200" t="s">
        <v>703</v>
      </c>
      <c r="D200" t="s">
        <v>704</v>
      </c>
      <c r="E200" t="s">
        <v>3510</v>
      </c>
      <c r="F200" t="s">
        <v>3511</v>
      </c>
      <c r="G200">
        <v>9705147026</v>
      </c>
      <c r="H200" t="s">
        <v>103</v>
      </c>
      <c r="I200" t="s">
        <v>3512</v>
      </c>
      <c r="J200" t="s">
        <v>144</v>
      </c>
      <c r="K200" t="s">
        <v>3513</v>
      </c>
      <c r="L200" t="s">
        <v>3514</v>
      </c>
      <c r="M200" t="s">
        <v>3515</v>
      </c>
      <c r="N200" t="s">
        <v>109</v>
      </c>
      <c r="AI200" t="s">
        <v>3516</v>
      </c>
      <c r="AJ200" t="s">
        <v>3517</v>
      </c>
      <c r="AK200" t="s">
        <v>3518</v>
      </c>
      <c r="AL200">
        <v>95</v>
      </c>
      <c r="AM200">
        <v>9.5</v>
      </c>
      <c r="AN200">
        <v>2015</v>
      </c>
      <c r="AO200" t="s">
        <v>113</v>
      </c>
      <c r="AP200" t="s">
        <v>3519</v>
      </c>
      <c r="AQ200" t="s">
        <v>3520</v>
      </c>
      <c r="AR200" t="s">
        <v>1068</v>
      </c>
      <c r="AS200">
        <v>95.6</v>
      </c>
      <c r="AT200">
        <v>9.56</v>
      </c>
      <c r="AU200">
        <v>2017</v>
      </c>
      <c r="AV200" t="s">
        <v>109</v>
      </c>
      <c r="BC200" t="s">
        <v>113</v>
      </c>
      <c r="BD200" t="s">
        <v>3521</v>
      </c>
      <c r="BE200" t="s">
        <v>3521</v>
      </c>
      <c r="BF200" t="s">
        <v>3522</v>
      </c>
      <c r="BG200">
        <v>71.5</v>
      </c>
      <c r="BH200">
        <v>7.15</v>
      </c>
      <c r="BI200">
        <v>2021</v>
      </c>
      <c r="BJ200">
        <v>10</v>
      </c>
      <c r="BL200">
        <v>35</v>
      </c>
      <c r="BN200" t="s">
        <v>113</v>
      </c>
      <c r="BO200" t="s">
        <v>3521</v>
      </c>
      <c r="BP200" t="s">
        <v>3521</v>
      </c>
      <c r="BQ200" t="s">
        <v>3523</v>
      </c>
      <c r="BR200">
        <v>88.8</v>
      </c>
      <c r="BS200">
        <v>8.8</v>
      </c>
      <c r="BT200">
        <v>2023</v>
      </c>
      <c r="BU200">
        <v>24</v>
      </c>
      <c r="BW200">
        <v>35</v>
      </c>
      <c r="BY200" t="s">
        <v>109</v>
      </c>
      <c r="CF200" t="s">
        <v>109</v>
      </c>
      <c r="CL200" t="s">
        <v>113</v>
      </c>
      <c r="CM200" t="s">
        <v>3524</v>
      </c>
      <c r="CN200" t="s">
        <v>113</v>
      </c>
      <c r="CO200" t="s">
        <v>3525</v>
      </c>
      <c r="CP200" t="s">
        <v>3526</v>
      </c>
      <c r="CQ200" t="s">
        <v>3527</v>
      </c>
      <c r="CR200" t="s">
        <v>136</v>
      </c>
      <c r="CS200" t="str">
        <f>HYPERLINK("https://nconnect.nicmar.ac.in/pdf/342_resume_1771576868.pdf/Y2FyZWVy","View Resume")</f>
        <v>0</v>
      </c>
    </row>
    <row r="201" spans="1:97">
      <c r="A201" t="s">
        <v>3528</v>
      </c>
      <c r="B201" t="s">
        <v>318</v>
      </c>
      <c r="C201" t="s">
        <v>99</v>
      </c>
      <c r="D201" t="s">
        <v>3529</v>
      </c>
      <c r="E201" t="s">
        <v>3510</v>
      </c>
      <c r="F201" t="s">
        <v>3511</v>
      </c>
      <c r="G201">
        <v>9705147026</v>
      </c>
      <c r="H201" t="s">
        <v>103</v>
      </c>
      <c r="I201" t="s">
        <v>3512</v>
      </c>
      <c r="J201" t="s">
        <v>144</v>
      </c>
      <c r="K201" t="s">
        <v>3513</v>
      </c>
      <c r="L201" t="s">
        <v>3514</v>
      </c>
      <c r="M201" t="s">
        <v>3515</v>
      </c>
      <c r="N201" t="s">
        <v>109</v>
      </c>
      <c r="AI201" t="s">
        <v>3516</v>
      </c>
      <c r="AJ201" t="s">
        <v>3517</v>
      </c>
      <c r="AK201" t="s">
        <v>3518</v>
      </c>
      <c r="AL201">
        <v>95</v>
      </c>
      <c r="AM201">
        <v>9.5</v>
      </c>
      <c r="AN201">
        <v>2015</v>
      </c>
      <c r="AO201" t="s">
        <v>113</v>
      </c>
      <c r="AP201" t="s">
        <v>3519</v>
      </c>
      <c r="AQ201" t="s">
        <v>3520</v>
      </c>
      <c r="AR201" t="s">
        <v>1068</v>
      </c>
      <c r="AS201">
        <v>95.6</v>
      </c>
      <c r="AT201">
        <v>9.56</v>
      </c>
      <c r="AU201">
        <v>2017</v>
      </c>
      <c r="AV201" t="s">
        <v>109</v>
      </c>
      <c r="BC201" t="s">
        <v>113</v>
      </c>
      <c r="BD201" t="s">
        <v>3521</v>
      </c>
      <c r="BE201" t="s">
        <v>3521</v>
      </c>
      <c r="BF201" t="s">
        <v>3522</v>
      </c>
      <c r="BG201">
        <v>71.5</v>
      </c>
      <c r="BH201">
        <v>7.15</v>
      </c>
      <c r="BI201">
        <v>2021</v>
      </c>
      <c r="BJ201">
        <v>10</v>
      </c>
      <c r="BL201">
        <v>35</v>
      </c>
      <c r="BN201" t="s">
        <v>113</v>
      </c>
      <c r="BO201" t="s">
        <v>3521</v>
      </c>
      <c r="BP201" t="s">
        <v>3521</v>
      </c>
      <c r="BQ201" t="s">
        <v>3523</v>
      </c>
      <c r="BR201">
        <v>88.8</v>
      </c>
      <c r="BS201">
        <v>8.8</v>
      </c>
      <c r="BT201">
        <v>2023</v>
      </c>
      <c r="BU201">
        <v>24</v>
      </c>
      <c r="BW201">
        <v>35</v>
      </c>
      <c r="BY201" t="s">
        <v>109</v>
      </c>
      <c r="CF201" t="s">
        <v>109</v>
      </c>
      <c r="CL201" t="s">
        <v>113</v>
      </c>
      <c r="CM201" t="s">
        <v>3524</v>
      </c>
      <c r="CN201" t="s">
        <v>113</v>
      </c>
      <c r="CO201" t="s">
        <v>3525</v>
      </c>
      <c r="CP201" t="s">
        <v>3526</v>
      </c>
      <c r="CQ201" t="s">
        <v>3530</v>
      </c>
      <c r="CR201" t="s">
        <v>136</v>
      </c>
      <c r="CS201" t="str">
        <f>HYPERLINK("https://nconnect.nicmar.ac.in/pdf/342_resume_1771576868.pdf/Y2FyZWVy","View Resume")</f>
        <v>0</v>
      </c>
    </row>
    <row r="202" spans="1:97">
      <c r="A202" t="s">
        <v>317</v>
      </c>
      <c r="B202" t="s">
        <v>318</v>
      </c>
      <c r="C202" t="s">
        <v>165</v>
      </c>
      <c r="D202" t="s">
        <v>319</v>
      </c>
      <c r="E202" t="s">
        <v>3531</v>
      </c>
      <c r="F202" t="s">
        <v>3532</v>
      </c>
      <c r="G202">
        <v>7621904363</v>
      </c>
      <c r="H202" t="s">
        <v>169</v>
      </c>
      <c r="I202" t="s">
        <v>3533</v>
      </c>
      <c r="J202" t="s">
        <v>105</v>
      </c>
      <c r="K202" t="s">
        <v>3534</v>
      </c>
      <c r="L202" t="s">
        <v>3535</v>
      </c>
      <c r="M202" t="s">
        <v>3536</v>
      </c>
      <c r="N202" t="s">
        <v>109</v>
      </c>
      <c r="AI202" t="s">
        <v>3537</v>
      </c>
      <c r="AJ202" t="s">
        <v>1231</v>
      </c>
      <c r="AK202" t="s">
        <v>3538</v>
      </c>
      <c r="AL202">
        <v>61</v>
      </c>
      <c r="AN202">
        <v>1999</v>
      </c>
      <c r="AO202" t="s">
        <v>113</v>
      </c>
      <c r="AP202" t="s">
        <v>3537</v>
      </c>
      <c r="AQ202" t="s">
        <v>1231</v>
      </c>
      <c r="AR202" t="s">
        <v>3539</v>
      </c>
      <c r="AS202">
        <v>86.4</v>
      </c>
      <c r="AU202">
        <v>2001</v>
      </c>
      <c r="AV202" t="s">
        <v>109</v>
      </c>
      <c r="BC202" t="s">
        <v>113</v>
      </c>
      <c r="BD202" t="s">
        <v>3540</v>
      </c>
      <c r="BE202" t="s">
        <v>3541</v>
      </c>
      <c r="BF202" t="s">
        <v>1518</v>
      </c>
      <c r="BG202">
        <v>59</v>
      </c>
      <c r="BI202">
        <v>2004</v>
      </c>
      <c r="BJ202">
        <v>19</v>
      </c>
      <c r="BK202" t="s">
        <v>3542</v>
      </c>
      <c r="BL202">
        <v>53</v>
      </c>
      <c r="BM202" t="s">
        <v>3543</v>
      </c>
      <c r="BN202" t="s">
        <v>113</v>
      </c>
      <c r="BO202" t="s">
        <v>3540</v>
      </c>
      <c r="BP202" t="s">
        <v>3541</v>
      </c>
      <c r="BQ202" t="s">
        <v>1518</v>
      </c>
      <c r="BR202">
        <v>58</v>
      </c>
      <c r="BT202">
        <v>2006</v>
      </c>
      <c r="BU202">
        <v>31</v>
      </c>
      <c r="BV202" t="s">
        <v>3544</v>
      </c>
      <c r="BW202">
        <v>53</v>
      </c>
      <c r="BX202" t="s">
        <v>3545</v>
      </c>
      <c r="BY202" t="s">
        <v>113</v>
      </c>
      <c r="BZ202" t="s">
        <v>3546</v>
      </c>
      <c r="CA202" t="s">
        <v>3546</v>
      </c>
      <c r="CB202" t="s">
        <v>3547</v>
      </c>
      <c r="CC202">
        <v>56.25</v>
      </c>
      <c r="CE202">
        <v>2008</v>
      </c>
      <c r="CF202" t="s">
        <v>113</v>
      </c>
      <c r="CG202" t="s">
        <v>1518</v>
      </c>
      <c r="CH202" t="s">
        <v>3540</v>
      </c>
      <c r="CI202" t="s">
        <v>132</v>
      </c>
      <c r="CJ202">
        <v>2019</v>
      </c>
      <c r="CL202" t="s">
        <v>113</v>
      </c>
      <c r="CM202" t="s">
        <v>3548</v>
      </c>
      <c r="CN202" t="s">
        <v>113</v>
      </c>
      <c r="CO202" t="s">
        <v>3549</v>
      </c>
      <c r="CP202" t="s">
        <v>3550</v>
      </c>
      <c r="CQ202" t="s">
        <v>3551</v>
      </c>
      <c r="CR202" t="s">
        <v>136</v>
      </c>
      <c r="CS202" t="str">
        <f>HYPERLINK("https://nconnect.nicmar.ac.in/pdf/316_resume_1771577271.pdf/Y2FyZWVy","View Resume")</f>
        <v>0</v>
      </c>
    </row>
    <row r="203" spans="1:97">
      <c r="A203" t="s">
        <v>164</v>
      </c>
      <c r="B203" t="s">
        <v>138</v>
      </c>
      <c r="C203" t="s">
        <v>165</v>
      </c>
      <c r="D203" t="s">
        <v>166</v>
      </c>
      <c r="E203" t="s">
        <v>3552</v>
      </c>
      <c r="F203" t="s">
        <v>3553</v>
      </c>
      <c r="G203">
        <v>9163772344</v>
      </c>
      <c r="H203" t="s">
        <v>103</v>
      </c>
      <c r="I203" t="s">
        <v>3554</v>
      </c>
      <c r="J203" t="s">
        <v>105</v>
      </c>
      <c r="K203" t="s">
        <v>247</v>
      </c>
      <c r="L203" t="s">
        <v>3555</v>
      </c>
      <c r="M203" t="s">
        <v>3556</v>
      </c>
      <c r="N203" t="s">
        <v>109</v>
      </c>
      <c r="AI203" t="s">
        <v>3557</v>
      </c>
      <c r="AJ203" t="s">
        <v>1231</v>
      </c>
      <c r="AK203" t="s">
        <v>3558</v>
      </c>
      <c r="AL203">
        <v>83.2</v>
      </c>
      <c r="AN203">
        <v>2008</v>
      </c>
      <c r="AO203" t="s">
        <v>113</v>
      </c>
      <c r="AP203" t="s">
        <v>3557</v>
      </c>
      <c r="AQ203" t="s">
        <v>1231</v>
      </c>
      <c r="AR203" t="s">
        <v>3559</v>
      </c>
      <c r="AS203">
        <v>75.6</v>
      </c>
      <c r="AU203">
        <v>2010</v>
      </c>
      <c r="AV203" t="s">
        <v>109</v>
      </c>
      <c r="BC203" t="s">
        <v>113</v>
      </c>
      <c r="BD203" t="s">
        <v>256</v>
      </c>
      <c r="BE203" t="s">
        <v>3560</v>
      </c>
      <c r="BF203" t="s">
        <v>537</v>
      </c>
      <c r="BG203">
        <v>72.7</v>
      </c>
      <c r="BH203">
        <v>8.02</v>
      </c>
      <c r="BI203">
        <v>2014</v>
      </c>
      <c r="BJ203">
        <v>19</v>
      </c>
      <c r="BK203" t="s">
        <v>3561</v>
      </c>
      <c r="BL203">
        <v>53</v>
      </c>
      <c r="BM203" t="s">
        <v>537</v>
      </c>
      <c r="BN203" t="s">
        <v>113</v>
      </c>
      <c r="BO203" t="s">
        <v>3562</v>
      </c>
      <c r="BP203" t="s">
        <v>3563</v>
      </c>
      <c r="BQ203" t="s">
        <v>3564</v>
      </c>
      <c r="BR203">
        <v>83</v>
      </c>
      <c r="BS203">
        <v>9.07</v>
      </c>
      <c r="BT203">
        <v>2016</v>
      </c>
      <c r="BU203">
        <v>31</v>
      </c>
      <c r="BV203" t="s">
        <v>339</v>
      </c>
      <c r="BW203">
        <v>23</v>
      </c>
      <c r="BY203" t="s">
        <v>109</v>
      </c>
      <c r="CF203" t="s">
        <v>109</v>
      </c>
      <c r="CL203" t="s">
        <v>109</v>
      </c>
      <c r="CN203" t="s">
        <v>113</v>
      </c>
      <c r="CO203" t="s">
        <v>3565</v>
      </c>
      <c r="CP203" t="s">
        <v>460</v>
      </c>
      <c r="CQ203" t="s">
        <v>3566</v>
      </c>
      <c r="CR203" t="s">
        <v>136</v>
      </c>
      <c r="CS203" t="str">
        <f>HYPERLINK("https://nconnect.nicmar.ac.in/pdf/346_resume_1771577745.pdf/Y2FyZWVy","View Resume")</f>
        <v>0</v>
      </c>
    </row>
    <row r="204" spans="1:97">
      <c r="A204" t="s">
        <v>367</v>
      </c>
      <c r="B204" t="s">
        <v>138</v>
      </c>
      <c r="C204" t="s">
        <v>295</v>
      </c>
      <c r="D204" t="s">
        <v>368</v>
      </c>
      <c r="E204" t="s">
        <v>3567</v>
      </c>
      <c r="F204" t="s">
        <v>3568</v>
      </c>
      <c r="G204">
        <v>9010915282</v>
      </c>
      <c r="H204" t="s">
        <v>103</v>
      </c>
      <c r="I204" t="s">
        <v>3569</v>
      </c>
      <c r="J204" t="s">
        <v>105</v>
      </c>
      <c r="K204" t="s">
        <v>3570</v>
      </c>
      <c r="L204" t="s">
        <v>3571</v>
      </c>
      <c r="M204" t="s">
        <v>3572</v>
      </c>
      <c r="N204" t="s">
        <v>109</v>
      </c>
      <c r="AI204" t="s">
        <v>3573</v>
      </c>
      <c r="AJ204" t="s">
        <v>3574</v>
      </c>
      <c r="AK204" t="s">
        <v>3575</v>
      </c>
      <c r="AL204">
        <v>61</v>
      </c>
      <c r="AN204">
        <v>2000</v>
      </c>
      <c r="AO204" t="s">
        <v>109</v>
      </c>
      <c r="AV204" t="s">
        <v>113</v>
      </c>
      <c r="AW204" t="s">
        <v>3576</v>
      </c>
      <c r="AX204" t="s">
        <v>3577</v>
      </c>
      <c r="AY204" t="s">
        <v>3578</v>
      </c>
      <c r="AZ204">
        <v>64.67</v>
      </c>
      <c r="BB204">
        <v>2009</v>
      </c>
      <c r="BC204" t="s">
        <v>113</v>
      </c>
      <c r="BD204" t="s">
        <v>3579</v>
      </c>
      <c r="BE204" t="s">
        <v>3580</v>
      </c>
      <c r="BF204" t="s">
        <v>3581</v>
      </c>
      <c r="BG204">
        <v>66.19</v>
      </c>
      <c r="BI204">
        <v>2014</v>
      </c>
      <c r="BJ204">
        <v>1</v>
      </c>
      <c r="BL204">
        <v>9</v>
      </c>
      <c r="BN204" t="s">
        <v>113</v>
      </c>
      <c r="BO204" t="s">
        <v>3579</v>
      </c>
      <c r="BP204" t="s">
        <v>3580</v>
      </c>
      <c r="BQ204" t="s">
        <v>3582</v>
      </c>
      <c r="BR204">
        <v>71</v>
      </c>
      <c r="BT204">
        <v>2016</v>
      </c>
      <c r="BU204">
        <v>14</v>
      </c>
      <c r="BW204">
        <v>47</v>
      </c>
      <c r="BY204" t="s">
        <v>109</v>
      </c>
      <c r="CF204" t="s">
        <v>113</v>
      </c>
      <c r="CG204" t="s">
        <v>156</v>
      </c>
      <c r="CH204" t="s">
        <v>3583</v>
      </c>
      <c r="CI204" t="s">
        <v>132</v>
      </c>
      <c r="CJ204">
        <v>2026</v>
      </c>
      <c r="CL204" t="s">
        <v>109</v>
      </c>
      <c r="CN204" t="s">
        <v>113</v>
      </c>
      <c r="CO204" t="s">
        <v>3584</v>
      </c>
      <c r="CP204" t="s">
        <v>3585</v>
      </c>
      <c r="CQ204" t="s">
        <v>3586</v>
      </c>
      <c r="CR204" t="str">
        <f>HYPERLINK("https://nconnect.nicmar.ac.in/public/storage/profile/6998086fc2e16.png","Download")</f>
        <v>0</v>
      </c>
      <c r="CS204" t="str">
        <f>HYPERLINK("https://nconnect.nicmar.ac.in/pdf/339_resume_1771577913.pdf/Y2FyZWVy","View Resume")</f>
        <v>0</v>
      </c>
    </row>
    <row r="205" spans="1:97">
      <c r="A205" t="s">
        <v>370</v>
      </c>
      <c r="B205" t="s">
        <v>138</v>
      </c>
      <c r="C205" t="s">
        <v>295</v>
      </c>
      <c r="D205" t="s">
        <v>371</v>
      </c>
      <c r="E205" t="s">
        <v>3587</v>
      </c>
      <c r="F205" t="s">
        <v>3588</v>
      </c>
      <c r="G205">
        <v>9818478573</v>
      </c>
      <c r="H205" t="s">
        <v>103</v>
      </c>
      <c r="I205" t="s">
        <v>3589</v>
      </c>
      <c r="J205" t="s">
        <v>105</v>
      </c>
      <c r="K205" t="s">
        <v>228</v>
      </c>
      <c r="L205" t="s">
        <v>3590</v>
      </c>
      <c r="M205" t="s">
        <v>3591</v>
      </c>
      <c r="N205" t="s">
        <v>109</v>
      </c>
      <c r="AI205" t="s">
        <v>3592</v>
      </c>
      <c r="AJ205" t="s">
        <v>3593</v>
      </c>
      <c r="AK205" t="s">
        <v>3594</v>
      </c>
      <c r="AL205">
        <v>73</v>
      </c>
      <c r="AN205">
        <v>1987</v>
      </c>
      <c r="AO205" t="s">
        <v>113</v>
      </c>
      <c r="AP205" t="s">
        <v>3595</v>
      </c>
      <c r="AQ205" t="s">
        <v>3596</v>
      </c>
      <c r="AR205" t="s">
        <v>3597</v>
      </c>
      <c r="AS205">
        <v>73</v>
      </c>
      <c r="AU205">
        <v>1989</v>
      </c>
      <c r="AV205" t="s">
        <v>109</v>
      </c>
      <c r="BC205" t="s">
        <v>113</v>
      </c>
      <c r="BD205" t="s">
        <v>1215</v>
      </c>
      <c r="BE205" t="s">
        <v>3598</v>
      </c>
      <c r="BF205" t="s">
        <v>3599</v>
      </c>
      <c r="BG205">
        <v>52</v>
      </c>
      <c r="BI205">
        <v>1994</v>
      </c>
      <c r="BJ205">
        <v>19</v>
      </c>
      <c r="BK205" t="s">
        <v>3600</v>
      </c>
      <c r="BL205">
        <v>18</v>
      </c>
      <c r="BN205" t="s">
        <v>113</v>
      </c>
      <c r="BO205" t="s">
        <v>3601</v>
      </c>
      <c r="BP205" t="s">
        <v>3601</v>
      </c>
      <c r="BQ205" t="s">
        <v>3602</v>
      </c>
      <c r="BR205">
        <v>80</v>
      </c>
      <c r="BT205">
        <v>2003</v>
      </c>
      <c r="BU205">
        <v>31</v>
      </c>
      <c r="BV205" t="s">
        <v>641</v>
      </c>
      <c r="BW205">
        <v>53</v>
      </c>
      <c r="BX205" t="s">
        <v>2887</v>
      </c>
      <c r="BY205" t="s">
        <v>109</v>
      </c>
      <c r="BZ205" t="s">
        <v>3603</v>
      </c>
      <c r="CA205" t="s">
        <v>3604</v>
      </c>
      <c r="CB205" t="s">
        <v>3605</v>
      </c>
      <c r="CC205">
        <v>80</v>
      </c>
      <c r="CE205">
        <v>2023</v>
      </c>
      <c r="CF205" t="s">
        <v>109</v>
      </c>
      <c r="CL205" t="s">
        <v>109</v>
      </c>
      <c r="CN205" t="s">
        <v>113</v>
      </c>
      <c r="CO205" t="s">
        <v>3606</v>
      </c>
      <c r="CP205" t="s">
        <v>3607</v>
      </c>
      <c r="CQ205" t="s">
        <v>3608</v>
      </c>
      <c r="CR205" t="s">
        <v>136</v>
      </c>
      <c r="CS205" t="str">
        <f>HYPERLINK("https://nconnect.nicmar.ac.in/pdf/343_resume_1771578274.pdf/Y2FyZWVy","View Resume")</f>
        <v>0</v>
      </c>
    </row>
    <row r="206" spans="1:97">
      <c r="A206" t="s">
        <v>772</v>
      </c>
      <c r="B206" t="s">
        <v>98</v>
      </c>
      <c r="C206" t="s">
        <v>703</v>
      </c>
      <c r="D206" t="s">
        <v>773</v>
      </c>
      <c r="E206" t="s">
        <v>3587</v>
      </c>
      <c r="F206" t="s">
        <v>3588</v>
      </c>
      <c r="G206">
        <v>9818478573</v>
      </c>
      <c r="H206" t="s">
        <v>103</v>
      </c>
      <c r="I206" t="s">
        <v>3589</v>
      </c>
      <c r="J206" t="s">
        <v>105</v>
      </c>
      <c r="K206" t="s">
        <v>228</v>
      </c>
      <c r="L206" t="s">
        <v>3590</v>
      </c>
      <c r="M206" t="s">
        <v>3591</v>
      </c>
      <c r="N206" t="s">
        <v>109</v>
      </c>
      <c r="AI206" t="s">
        <v>3592</v>
      </c>
      <c r="AJ206" t="s">
        <v>3593</v>
      </c>
      <c r="AK206" t="s">
        <v>3594</v>
      </c>
      <c r="AL206">
        <v>73</v>
      </c>
      <c r="AN206">
        <v>1987</v>
      </c>
      <c r="AO206" t="s">
        <v>113</v>
      </c>
      <c r="AP206" t="s">
        <v>3595</v>
      </c>
      <c r="AQ206" t="s">
        <v>3596</v>
      </c>
      <c r="AR206" t="s">
        <v>3597</v>
      </c>
      <c r="AS206">
        <v>73</v>
      </c>
      <c r="AU206">
        <v>1989</v>
      </c>
      <c r="AV206" t="s">
        <v>109</v>
      </c>
      <c r="BC206" t="s">
        <v>113</v>
      </c>
      <c r="BD206" t="s">
        <v>1215</v>
      </c>
      <c r="BE206" t="s">
        <v>3598</v>
      </c>
      <c r="BF206" t="s">
        <v>3599</v>
      </c>
      <c r="BG206">
        <v>52</v>
      </c>
      <c r="BI206">
        <v>1994</v>
      </c>
      <c r="BJ206">
        <v>19</v>
      </c>
      <c r="BK206" t="s">
        <v>3600</v>
      </c>
      <c r="BL206">
        <v>18</v>
      </c>
      <c r="BN206" t="s">
        <v>113</v>
      </c>
      <c r="BO206" t="s">
        <v>3601</v>
      </c>
      <c r="BP206" t="s">
        <v>3601</v>
      </c>
      <c r="BQ206" t="s">
        <v>3602</v>
      </c>
      <c r="BR206">
        <v>80</v>
      </c>
      <c r="BT206">
        <v>2003</v>
      </c>
      <c r="BU206">
        <v>31</v>
      </c>
      <c r="BV206" t="s">
        <v>641</v>
      </c>
      <c r="BW206">
        <v>53</v>
      </c>
      <c r="BX206" t="s">
        <v>2887</v>
      </c>
      <c r="BY206" t="s">
        <v>109</v>
      </c>
      <c r="BZ206" t="s">
        <v>3603</v>
      </c>
      <c r="CA206" t="s">
        <v>3604</v>
      </c>
      <c r="CB206" t="s">
        <v>3605</v>
      </c>
      <c r="CC206">
        <v>80</v>
      </c>
      <c r="CE206">
        <v>2023</v>
      </c>
      <c r="CF206" t="s">
        <v>109</v>
      </c>
      <c r="CL206" t="s">
        <v>109</v>
      </c>
      <c r="CN206" t="s">
        <v>113</v>
      </c>
      <c r="CO206" t="s">
        <v>3606</v>
      </c>
      <c r="CP206" t="s">
        <v>3607</v>
      </c>
      <c r="CQ206" t="s">
        <v>3609</v>
      </c>
      <c r="CR206" t="s">
        <v>136</v>
      </c>
      <c r="CS206" t="str">
        <f>HYPERLINK("https://nconnect.nicmar.ac.in/pdf/343_resume_1771578274.pdf/Y2FyZWVy","View Resume")</f>
        <v>0</v>
      </c>
    </row>
    <row r="207" spans="1:97">
      <c r="A207" t="s">
        <v>3610</v>
      </c>
      <c r="B207" t="s">
        <v>3611</v>
      </c>
      <c r="C207" t="s">
        <v>295</v>
      </c>
      <c r="D207" t="s">
        <v>296</v>
      </c>
      <c r="E207" t="s">
        <v>3587</v>
      </c>
      <c r="F207" t="s">
        <v>3588</v>
      </c>
      <c r="G207">
        <v>9818478573</v>
      </c>
      <c r="H207" t="s">
        <v>103</v>
      </c>
      <c r="I207" t="s">
        <v>3589</v>
      </c>
      <c r="J207" t="s">
        <v>105</v>
      </c>
      <c r="K207" t="s">
        <v>228</v>
      </c>
      <c r="L207" t="s">
        <v>3590</v>
      </c>
      <c r="M207" t="s">
        <v>3591</v>
      </c>
      <c r="N207" t="s">
        <v>109</v>
      </c>
      <c r="AI207" t="s">
        <v>3592</v>
      </c>
      <c r="AJ207" t="s">
        <v>3593</v>
      </c>
      <c r="AK207" t="s">
        <v>3594</v>
      </c>
      <c r="AL207">
        <v>73</v>
      </c>
      <c r="AN207">
        <v>1987</v>
      </c>
      <c r="AO207" t="s">
        <v>113</v>
      </c>
      <c r="AP207" t="s">
        <v>3595</v>
      </c>
      <c r="AQ207" t="s">
        <v>3596</v>
      </c>
      <c r="AR207" t="s">
        <v>3597</v>
      </c>
      <c r="AS207">
        <v>73</v>
      </c>
      <c r="AU207">
        <v>1989</v>
      </c>
      <c r="AV207" t="s">
        <v>109</v>
      </c>
      <c r="BC207" t="s">
        <v>113</v>
      </c>
      <c r="BD207" t="s">
        <v>1215</v>
      </c>
      <c r="BE207" t="s">
        <v>3598</v>
      </c>
      <c r="BF207" t="s">
        <v>3599</v>
      </c>
      <c r="BG207">
        <v>52</v>
      </c>
      <c r="BI207">
        <v>1994</v>
      </c>
      <c r="BJ207">
        <v>19</v>
      </c>
      <c r="BK207" t="s">
        <v>3600</v>
      </c>
      <c r="BL207">
        <v>18</v>
      </c>
      <c r="BN207" t="s">
        <v>113</v>
      </c>
      <c r="BO207" t="s">
        <v>3601</v>
      </c>
      <c r="BP207" t="s">
        <v>3601</v>
      </c>
      <c r="BQ207" t="s">
        <v>3602</v>
      </c>
      <c r="BR207">
        <v>80</v>
      </c>
      <c r="BT207">
        <v>2003</v>
      </c>
      <c r="BU207">
        <v>31</v>
      </c>
      <c r="BV207" t="s">
        <v>641</v>
      </c>
      <c r="BW207">
        <v>53</v>
      </c>
      <c r="BX207" t="s">
        <v>2887</v>
      </c>
      <c r="BY207" t="s">
        <v>109</v>
      </c>
      <c r="BZ207" t="s">
        <v>3603</v>
      </c>
      <c r="CA207" t="s">
        <v>3604</v>
      </c>
      <c r="CB207" t="s">
        <v>3605</v>
      </c>
      <c r="CC207">
        <v>80</v>
      </c>
      <c r="CE207">
        <v>2023</v>
      </c>
      <c r="CF207" t="s">
        <v>109</v>
      </c>
      <c r="CL207" t="s">
        <v>109</v>
      </c>
      <c r="CN207" t="s">
        <v>113</v>
      </c>
      <c r="CO207" t="s">
        <v>3606</v>
      </c>
      <c r="CP207" t="s">
        <v>3607</v>
      </c>
      <c r="CQ207" t="s">
        <v>3609</v>
      </c>
      <c r="CR207" t="s">
        <v>136</v>
      </c>
      <c r="CS207" t="str">
        <f>HYPERLINK("https://nconnect.nicmar.ac.in/pdf/343_resume_1771578274.pdf/Y2FyZWVy","View Resume")</f>
        <v>0</v>
      </c>
    </row>
    <row r="208" spans="1:97">
      <c r="A208" t="s">
        <v>501</v>
      </c>
      <c r="B208" t="s">
        <v>138</v>
      </c>
      <c r="C208" t="s">
        <v>165</v>
      </c>
      <c r="D208" t="s">
        <v>319</v>
      </c>
      <c r="E208" t="s">
        <v>3612</v>
      </c>
      <c r="F208" t="s">
        <v>3613</v>
      </c>
      <c r="G208">
        <v>7417342642</v>
      </c>
      <c r="H208" t="s">
        <v>103</v>
      </c>
      <c r="I208" t="s">
        <v>1039</v>
      </c>
      <c r="J208" t="s">
        <v>144</v>
      </c>
      <c r="K208" t="s">
        <v>423</v>
      </c>
      <c r="L208" t="s">
        <v>3614</v>
      </c>
      <c r="M208" t="s">
        <v>3615</v>
      </c>
      <c r="N208" t="s">
        <v>109</v>
      </c>
      <c r="AI208" t="s">
        <v>3616</v>
      </c>
      <c r="AJ208" t="s">
        <v>3617</v>
      </c>
      <c r="AK208" t="s">
        <v>277</v>
      </c>
      <c r="AL208">
        <v>53</v>
      </c>
      <c r="AN208">
        <v>2008</v>
      </c>
      <c r="AO208" t="s">
        <v>113</v>
      </c>
      <c r="AP208" t="s">
        <v>3618</v>
      </c>
      <c r="AQ208" t="s">
        <v>3617</v>
      </c>
      <c r="AR208" t="s">
        <v>839</v>
      </c>
      <c r="AS208">
        <v>71.8</v>
      </c>
      <c r="AU208">
        <v>2010</v>
      </c>
      <c r="AV208" t="s">
        <v>109</v>
      </c>
      <c r="BC208" t="s">
        <v>113</v>
      </c>
      <c r="BD208" t="s">
        <v>3619</v>
      </c>
      <c r="BE208" t="s">
        <v>3620</v>
      </c>
      <c r="BF208" t="s">
        <v>1071</v>
      </c>
      <c r="BG208">
        <v>62.67</v>
      </c>
      <c r="BI208">
        <v>2013</v>
      </c>
      <c r="BJ208">
        <v>19</v>
      </c>
      <c r="BK208" t="s">
        <v>3621</v>
      </c>
      <c r="BL208">
        <v>17</v>
      </c>
      <c r="BN208" t="s">
        <v>113</v>
      </c>
      <c r="BO208" t="s">
        <v>3619</v>
      </c>
      <c r="BP208" t="s">
        <v>3620</v>
      </c>
      <c r="BQ208" t="s">
        <v>1526</v>
      </c>
      <c r="BR208">
        <v>74</v>
      </c>
      <c r="BS208">
        <v>7.4</v>
      </c>
      <c r="BT208">
        <v>2017</v>
      </c>
      <c r="BU208">
        <v>31</v>
      </c>
      <c r="BV208" t="s">
        <v>339</v>
      </c>
      <c r="BW208">
        <v>23</v>
      </c>
      <c r="BY208" t="s">
        <v>113</v>
      </c>
      <c r="BZ208" t="s">
        <v>3619</v>
      </c>
      <c r="CA208" t="s">
        <v>3620</v>
      </c>
      <c r="CB208" t="s">
        <v>1071</v>
      </c>
      <c r="CC208">
        <v>65.67</v>
      </c>
      <c r="CE208">
        <v>2015</v>
      </c>
      <c r="CF208" t="s">
        <v>113</v>
      </c>
      <c r="CG208" t="s">
        <v>3622</v>
      </c>
      <c r="CH208" t="s">
        <v>3619</v>
      </c>
      <c r="CI208" t="s">
        <v>132</v>
      </c>
      <c r="CJ208">
        <v>2025</v>
      </c>
      <c r="CL208" t="s">
        <v>109</v>
      </c>
      <c r="CN208" t="s">
        <v>109</v>
      </c>
      <c r="CP208" t="s">
        <v>3623</v>
      </c>
      <c r="CQ208" t="s">
        <v>3624</v>
      </c>
      <c r="CR208" t="s">
        <v>136</v>
      </c>
      <c r="CS208" t="str">
        <f>HYPERLINK("https://nconnect.nicmar.ac.in/pdf/345_resume_1771578470.pdf/Y2FyZWVy","View Resume")</f>
        <v>0</v>
      </c>
    </row>
    <row r="209" spans="1:97">
      <c r="A209" t="s">
        <v>2108</v>
      </c>
      <c r="B209" t="s">
        <v>138</v>
      </c>
      <c r="C209" t="s">
        <v>99</v>
      </c>
      <c r="D209" t="s">
        <v>2109</v>
      </c>
      <c r="E209" t="s">
        <v>3625</v>
      </c>
      <c r="F209" t="s">
        <v>3626</v>
      </c>
      <c r="G209">
        <v>7835965623</v>
      </c>
      <c r="H209" t="s">
        <v>103</v>
      </c>
      <c r="I209" t="s">
        <v>3627</v>
      </c>
      <c r="J209" t="s">
        <v>144</v>
      </c>
      <c r="K209" t="s">
        <v>3628</v>
      </c>
      <c r="L209" t="s">
        <v>3629</v>
      </c>
      <c r="M209" t="s">
        <v>3630</v>
      </c>
      <c r="N209" t="s">
        <v>109</v>
      </c>
      <c r="AI209" t="s">
        <v>3631</v>
      </c>
      <c r="AJ209" t="s">
        <v>3632</v>
      </c>
      <c r="AK209" t="s">
        <v>3633</v>
      </c>
      <c r="AL209">
        <v>89.4</v>
      </c>
      <c r="AN209">
        <v>2010</v>
      </c>
      <c r="AO209" t="s">
        <v>113</v>
      </c>
      <c r="AP209" t="s">
        <v>3634</v>
      </c>
      <c r="AQ209" t="s">
        <v>3635</v>
      </c>
      <c r="AR209" t="s">
        <v>581</v>
      </c>
      <c r="AS209">
        <v>92.6</v>
      </c>
      <c r="AU209">
        <v>2012</v>
      </c>
      <c r="AV209" t="s">
        <v>109</v>
      </c>
      <c r="BC209" t="s">
        <v>113</v>
      </c>
      <c r="BD209" t="s">
        <v>1149</v>
      </c>
      <c r="BE209" t="s">
        <v>3636</v>
      </c>
      <c r="BF209" t="s">
        <v>156</v>
      </c>
      <c r="BG209">
        <v>67.2</v>
      </c>
      <c r="BI209">
        <v>2016</v>
      </c>
      <c r="BJ209">
        <v>1</v>
      </c>
      <c r="BL209">
        <v>9</v>
      </c>
      <c r="BN209" t="s">
        <v>113</v>
      </c>
      <c r="BO209" t="s">
        <v>3637</v>
      </c>
      <c r="BP209" t="s">
        <v>1300</v>
      </c>
      <c r="BQ209" t="s">
        <v>2242</v>
      </c>
      <c r="BR209">
        <v>75.6</v>
      </c>
      <c r="BS209">
        <v>7.99</v>
      </c>
      <c r="BT209">
        <v>2019</v>
      </c>
      <c r="BU209">
        <v>31</v>
      </c>
      <c r="BW209">
        <v>52</v>
      </c>
      <c r="BY209" t="s">
        <v>109</v>
      </c>
      <c r="CF209" t="s">
        <v>113</v>
      </c>
      <c r="CG209" t="s">
        <v>2242</v>
      </c>
      <c r="CH209" t="s">
        <v>3637</v>
      </c>
      <c r="CI209" t="s">
        <v>132</v>
      </c>
      <c r="CJ209">
        <v>2023</v>
      </c>
      <c r="CL209" t="s">
        <v>113</v>
      </c>
      <c r="CM209" t="s">
        <v>3638</v>
      </c>
      <c r="CN209" t="s">
        <v>113</v>
      </c>
      <c r="CO209" t="s">
        <v>3639</v>
      </c>
      <c r="CP209" t="s">
        <v>3640</v>
      </c>
      <c r="CQ209" t="s">
        <v>3641</v>
      </c>
      <c r="CR209" t="str">
        <f>HYPERLINK("https://nconnect.nicmar.ac.in/public/storage/profile/69970f650c892.png","Download")</f>
        <v>0</v>
      </c>
      <c r="CS209" t="str">
        <f>HYPERLINK("https://nconnect.nicmar.ac.in/pdf/243_resume_1771578089.pdf/Y2FyZWVy","View Resume")</f>
        <v>0</v>
      </c>
    </row>
    <row r="210" spans="1:97">
      <c r="A210" t="s">
        <v>164</v>
      </c>
      <c r="B210" t="s">
        <v>138</v>
      </c>
      <c r="C210" t="s">
        <v>165</v>
      </c>
      <c r="D210" t="s">
        <v>166</v>
      </c>
      <c r="E210" t="s">
        <v>3642</v>
      </c>
      <c r="F210" t="s">
        <v>3643</v>
      </c>
      <c r="G210">
        <v>7994224685</v>
      </c>
      <c r="H210" t="s">
        <v>169</v>
      </c>
      <c r="I210" t="s">
        <v>3644</v>
      </c>
      <c r="J210" t="s">
        <v>105</v>
      </c>
      <c r="K210" t="s">
        <v>423</v>
      </c>
      <c r="L210" t="s">
        <v>3645</v>
      </c>
      <c r="M210" t="s">
        <v>3646</v>
      </c>
      <c r="N210" t="s">
        <v>113</v>
      </c>
      <c r="O210" t="s">
        <v>3647</v>
      </c>
      <c r="P210" t="s">
        <v>3648</v>
      </c>
      <c r="AI210" t="s">
        <v>3649</v>
      </c>
      <c r="AJ210" t="s">
        <v>3650</v>
      </c>
      <c r="AK210" t="s">
        <v>3651</v>
      </c>
      <c r="AL210">
        <v>83</v>
      </c>
      <c r="AN210">
        <v>1998</v>
      </c>
      <c r="AO210" t="s">
        <v>113</v>
      </c>
      <c r="AP210" t="s">
        <v>3649</v>
      </c>
      <c r="AQ210" t="s">
        <v>3650</v>
      </c>
      <c r="AR210" t="s">
        <v>3652</v>
      </c>
      <c r="AS210">
        <v>82</v>
      </c>
      <c r="AU210">
        <v>2000</v>
      </c>
      <c r="AV210" t="s">
        <v>109</v>
      </c>
      <c r="BC210" t="s">
        <v>113</v>
      </c>
      <c r="BD210" t="s">
        <v>3653</v>
      </c>
      <c r="BE210" t="s">
        <v>3654</v>
      </c>
      <c r="BF210" t="s">
        <v>3655</v>
      </c>
      <c r="BG210">
        <v>88</v>
      </c>
      <c r="BH210">
        <v>8.86</v>
      </c>
      <c r="BI210">
        <v>2007</v>
      </c>
      <c r="BJ210">
        <v>19</v>
      </c>
      <c r="BL210">
        <v>53</v>
      </c>
      <c r="BM210" t="s">
        <v>3656</v>
      </c>
      <c r="BN210" t="s">
        <v>113</v>
      </c>
      <c r="BO210" t="s">
        <v>914</v>
      </c>
      <c r="BP210" t="s">
        <v>3657</v>
      </c>
      <c r="BQ210" t="s">
        <v>3658</v>
      </c>
      <c r="BR210">
        <v>56</v>
      </c>
      <c r="BT210">
        <v>2009</v>
      </c>
      <c r="BU210">
        <v>31</v>
      </c>
      <c r="BW210">
        <v>53</v>
      </c>
      <c r="BX210" t="s">
        <v>3659</v>
      </c>
      <c r="BY210" t="s">
        <v>109</v>
      </c>
      <c r="CF210" t="s">
        <v>113</v>
      </c>
      <c r="CG210" t="s">
        <v>3660</v>
      </c>
      <c r="CH210" t="s">
        <v>3661</v>
      </c>
      <c r="CI210" t="s">
        <v>132</v>
      </c>
      <c r="CJ210">
        <v>2022</v>
      </c>
      <c r="CL210" t="s">
        <v>113</v>
      </c>
      <c r="CM210" t="s">
        <v>3662</v>
      </c>
      <c r="CN210" t="s">
        <v>113</v>
      </c>
      <c r="CO210" t="s">
        <v>3663</v>
      </c>
      <c r="CP210" t="s">
        <v>3664</v>
      </c>
      <c r="CQ210" t="s">
        <v>3665</v>
      </c>
      <c r="CR210" t="str">
        <f>HYPERLINK("https://nconnect.nicmar.ac.in/public/storage/profile/69981746e583f.png","Download")</f>
        <v>0</v>
      </c>
      <c r="CS210" t="str">
        <f>HYPERLINK("https://nconnect.nicmar.ac.in/pdf/340_resume_1771578564.pdf/Y2FyZWVy","View Resume")</f>
        <v>0</v>
      </c>
    </row>
    <row r="211" spans="1:97">
      <c r="A211" t="s">
        <v>137</v>
      </c>
      <c r="B211" t="s">
        <v>138</v>
      </c>
      <c r="C211" t="s">
        <v>139</v>
      </c>
      <c r="D211" t="s">
        <v>140</v>
      </c>
      <c r="E211" t="s">
        <v>3666</v>
      </c>
      <c r="F211" t="s">
        <v>3667</v>
      </c>
      <c r="G211">
        <v>9874060499</v>
      </c>
      <c r="H211" t="s">
        <v>103</v>
      </c>
      <c r="I211" t="s">
        <v>3668</v>
      </c>
      <c r="J211" t="s">
        <v>105</v>
      </c>
      <c r="K211" t="s">
        <v>3669</v>
      </c>
      <c r="L211" t="s">
        <v>3670</v>
      </c>
      <c r="M211" t="s">
        <v>3671</v>
      </c>
      <c r="N211" t="s">
        <v>109</v>
      </c>
      <c r="AI211" t="s">
        <v>3672</v>
      </c>
      <c r="AJ211" t="s">
        <v>530</v>
      </c>
      <c r="AK211" t="s">
        <v>3673</v>
      </c>
      <c r="AL211">
        <v>84</v>
      </c>
      <c r="AN211">
        <v>2009</v>
      </c>
      <c r="AO211" t="s">
        <v>113</v>
      </c>
      <c r="AP211" t="s">
        <v>3672</v>
      </c>
      <c r="AQ211" t="s">
        <v>533</v>
      </c>
      <c r="AR211" t="s">
        <v>1543</v>
      </c>
      <c r="AS211">
        <v>77.2</v>
      </c>
      <c r="AU211">
        <v>2011</v>
      </c>
      <c r="AV211" t="s">
        <v>109</v>
      </c>
      <c r="BC211" t="s">
        <v>113</v>
      </c>
      <c r="BD211" t="s">
        <v>3674</v>
      </c>
      <c r="BE211" t="s">
        <v>3675</v>
      </c>
      <c r="BF211" t="s">
        <v>309</v>
      </c>
      <c r="BG211">
        <v>76.6</v>
      </c>
      <c r="BH211">
        <v>8.41</v>
      </c>
      <c r="BI211">
        <v>2015</v>
      </c>
      <c r="BJ211">
        <v>1</v>
      </c>
      <c r="BL211">
        <v>9</v>
      </c>
      <c r="BN211" t="s">
        <v>113</v>
      </c>
      <c r="BO211" t="s">
        <v>3676</v>
      </c>
      <c r="BP211" t="s">
        <v>3676</v>
      </c>
      <c r="BQ211" t="s">
        <v>140</v>
      </c>
      <c r="BR211">
        <v>93.8</v>
      </c>
      <c r="BS211">
        <v>9.38</v>
      </c>
      <c r="BT211">
        <v>2017</v>
      </c>
      <c r="BU211">
        <v>14</v>
      </c>
      <c r="BW211">
        <v>47</v>
      </c>
      <c r="BY211" t="s">
        <v>109</v>
      </c>
      <c r="CF211" t="s">
        <v>113</v>
      </c>
      <c r="CG211" t="s">
        <v>3677</v>
      </c>
      <c r="CH211" t="s">
        <v>3678</v>
      </c>
      <c r="CI211" t="s">
        <v>132</v>
      </c>
      <c r="CJ211">
        <v>2025</v>
      </c>
      <c r="CL211" t="s">
        <v>113</v>
      </c>
      <c r="CM211" t="s">
        <v>3679</v>
      </c>
      <c r="CN211" t="s">
        <v>113</v>
      </c>
      <c r="CO211" t="s">
        <v>3680</v>
      </c>
      <c r="CP211" t="s">
        <v>3681</v>
      </c>
      <c r="CQ211" t="s">
        <v>3682</v>
      </c>
      <c r="CR211" t="str">
        <f>HYPERLINK("https://nconnect.nicmar.ac.in/public/storage/profile/6998175b262eb.png","Download")</f>
        <v>0</v>
      </c>
      <c r="CS211" t="str">
        <f>HYPERLINK("https://nconnect.nicmar.ac.in/pdf/341_resume_1771578771.pdf/Y2FyZWVy","View Resume")</f>
        <v>0</v>
      </c>
    </row>
    <row r="212" spans="1:97">
      <c r="A212" t="s">
        <v>926</v>
      </c>
      <c r="B212" t="s">
        <v>318</v>
      </c>
      <c r="C212" t="s">
        <v>139</v>
      </c>
      <c r="D212" t="s">
        <v>927</v>
      </c>
      <c r="E212" t="s">
        <v>3683</v>
      </c>
      <c r="F212" t="s">
        <v>3684</v>
      </c>
      <c r="G212">
        <v>6375598209</v>
      </c>
      <c r="H212" t="s">
        <v>103</v>
      </c>
      <c r="I212" t="s">
        <v>3685</v>
      </c>
      <c r="J212" t="s">
        <v>105</v>
      </c>
      <c r="K212" t="s">
        <v>1494</v>
      </c>
      <c r="L212" t="s">
        <v>3686</v>
      </c>
      <c r="M212" t="s">
        <v>3687</v>
      </c>
      <c r="N212" t="s">
        <v>109</v>
      </c>
      <c r="AI212" t="s">
        <v>3688</v>
      </c>
      <c r="AJ212" t="s">
        <v>1231</v>
      </c>
      <c r="AK212" t="s">
        <v>3689</v>
      </c>
      <c r="AL212">
        <v>81.6</v>
      </c>
      <c r="AN212">
        <v>2007</v>
      </c>
      <c r="AO212" t="s">
        <v>113</v>
      </c>
      <c r="AP212" t="s">
        <v>3690</v>
      </c>
      <c r="AQ212" t="s">
        <v>1231</v>
      </c>
      <c r="AR212" t="s">
        <v>3691</v>
      </c>
      <c r="AS212">
        <v>72.2</v>
      </c>
      <c r="AU212">
        <v>2009</v>
      </c>
      <c r="AV212" t="s">
        <v>109</v>
      </c>
      <c r="BC212" t="s">
        <v>113</v>
      </c>
      <c r="BD212" t="s">
        <v>3692</v>
      </c>
      <c r="BE212" t="s">
        <v>3692</v>
      </c>
      <c r="BF212" t="s">
        <v>309</v>
      </c>
      <c r="BG212">
        <v>91.57</v>
      </c>
      <c r="BI212">
        <v>2013</v>
      </c>
      <c r="BJ212">
        <v>1</v>
      </c>
      <c r="BL212">
        <v>9</v>
      </c>
      <c r="BN212" t="s">
        <v>113</v>
      </c>
      <c r="BO212" t="s">
        <v>3693</v>
      </c>
      <c r="BP212" t="s">
        <v>3693</v>
      </c>
      <c r="BQ212" t="s">
        <v>1350</v>
      </c>
      <c r="BR212">
        <v>86.23</v>
      </c>
      <c r="BT212">
        <v>2015</v>
      </c>
      <c r="BU212">
        <v>12</v>
      </c>
      <c r="BW212">
        <v>15</v>
      </c>
      <c r="BY212" t="s">
        <v>109</v>
      </c>
      <c r="CF212" t="s">
        <v>113</v>
      </c>
      <c r="CG212" t="s">
        <v>3694</v>
      </c>
      <c r="CH212" t="s">
        <v>3695</v>
      </c>
      <c r="CI212" t="s">
        <v>132</v>
      </c>
      <c r="CJ212">
        <v>2024</v>
      </c>
      <c r="CL212" t="s">
        <v>113</v>
      </c>
      <c r="CM212" t="s">
        <v>3696</v>
      </c>
      <c r="CN212" t="s">
        <v>113</v>
      </c>
      <c r="CO212" t="s">
        <v>3697</v>
      </c>
      <c r="CP212" t="s">
        <v>3698</v>
      </c>
      <c r="CQ212" t="s">
        <v>3699</v>
      </c>
      <c r="CR212" t="str">
        <f>HYPERLINK("https://nconnect.nicmar.ac.in/public/storage/profile/6997e2da858de.png","Download")</f>
        <v>0</v>
      </c>
      <c r="CS212" t="str">
        <f>HYPERLINK("https://nconnect.nicmar.ac.in/pdf/51_resume_1771426906.pdf/Y2FyZWVy","View Resume")</f>
        <v>0</v>
      </c>
    </row>
    <row r="213" spans="1:97">
      <c r="A213" t="s">
        <v>192</v>
      </c>
      <c r="B213" t="s">
        <v>138</v>
      </c>
      <c r="C213" t="s">
        <v>165</v>
      </c>
      <c r="D213" t="s">
        <v>193</v>
      </c>
      <c r="E213" t="s">
        <v>3700</v>
      </c>
      <c r="F213" t="s">
        <v>3701</v>
      </c>
      <c r="G213">
        <v>9690032450</v>
      </c>
      <c r="H213" t="s">
        <v>169</v>
      </c>
      <c r="I213" t="s">
        <v>3702</v>
      </c>
      <c r="J213" t="s">
        <v>105</v>
      </c>
      <c r="K213" t="s">
        <v>3703</v>
      </c>
      <c r="L213" t="s">
        <v>3704</v>
      </c>
      <c r="M213" t="s">
        <v>3705</v>
      </c>
      <c r="N213" t="s">
        <v>109</v>
      </c>
      <c r="AI213" t="s">
        <v>3706</v>
      </c>
      <c r="AJ213" t="s">
        <v>3707</v>
      </c>
      <c r="AK213" t="s">
        <v>3708</v>
      </c>
      <c r="AL213">
        <v>87.2</v>
      </c>
      <c r="AN213">
        <v>2009</v>
      </c>
      <c r="AO213" t="s">
        <v>113</v>
      </c>
      <c r="AP213" t="s">
        <v>3706</v>
      </c>
      <c r="AQ213" t="s">
        <v>3707</v>
      </c>
      <c r="AR213" t="s">
        <v>3709</v>
      </c>
      <c r="AS213">
        <v>66.2</v>
      </c>
      <c r="AU213">
        <v>2011</v>
      </c>
      <c r="AV213" t="s">
        <v>109</v>
      </c>
      <c r="BC213" t="s">
        <v>113</v>
      </c>
      <c r="BD213" t="s">
        <v>3710</v>
      </c>
      <c r="BE213" t="s">
        <v>3711</v>
      </c>
      <c r="BF213" t="s">
        <v>3712</v>
      </c>
      <c r="BG213">
        <v>69</v>
      </c>
      <c r="BI213">
        <v>2014</v>
      </c>
      <c r="BJ213">
        <v>19</v>
      </c>
      <c r="BK213" t="s">
        <v>515</v>
      </c>
      <c r="BL213">
        <v>52</v>
      </c>
      <c r="BN213" t="s">
        <v>113</v>
      </c>
      <c r="BO213" t="s">
        <v>3710</v>
      </c>
      <c r="BP213" t="s">
        <v>3713</v>
      </c>
      <c r="BQ213" t="s">
        <v>3714</v>
      </c>
      <c r="BR213">
        <v>77.25</v>
      </c>
      <c r="BT213">
        <v>2016</v>
      </c>
      <c r="BU213">
        <v>31</v>
      </c>
      <c r="BV213" t="s">
        <v>518</v>
      </c>
      <c r="BW213">
        <v>33</v>
      </c>
      <c r="BY213" t="s">
        <v>113</v>
      </c>
      <c r="BZ213" t="s">
        <v>3715</v>
      </c>
      <c r="CA213" t="s">
        <v>3713</v>
      </c>
      <c r="CB213" t="s">
        <v>3447</v>
      </c>
      <c r="CC213">
        <v>71.3</v>
      </c>
      <c r="CE213">
        <v>2016</v>
      </c>
      <c r="CF213" t="s">
        <v>113</v>
      </c>
      <c r="CG213" t="s">
        <v>3716</v>
      </c>
      <c r="CH213" t="s">
        <v>3717</v>
      </c>
      <c r="CI213" t="s">
        <v>132</v>
      </c>
      <c r="CJ213">
        <v>2021</v>
      </c>
      <c r="CL213" t="s">
        <v>113</v>
      </c>
      <c r="CM213" t="s">
        <v>3718</v>
      </c>
      <c r="CN213" t="s">
        <v>113</v>
      </c>
      <c r="CO213" t="s">
        <v>3719</v>
      </c>
      <c r="CP213" t="s">
        <v>3708</v>
      </c>
      <c r="CQ213" t="s">
        <v>3720</v>
      </c>
      <c r="CR213" t="s">
        <v>136</v>
      </c>
      <c r="CS213" t="str">
        <f>HYPERLINK("https://nconnect.nicmar.ac.in/pdf/262_resume_1771580297.pdf/Y2FyZWVy","View Resume")</f>
        <v>0</v>
      </c>
    </row>
    <row r="214" spans="1:97">
      <c r="A214" t="s">
        <v>192</v>
      </c>
      <c r="B214" t="s">
        <v>138</v>
      </c>
      <c r="C214" t="s">
        <v>165</v>
      </c>
      <c r="D214" t="s">
        <v>193</v>
      </c>
      <c r="E214" t="s">
        <v>3721</v>
      </c>
      <c r="F214" t="s">
        <v>3722</v>
      </c>
      <c r="G214">
        <v>9666848000</v>
      </c>
      <c r="H214" t="s">
        <v>103</v>
      </c>
      <c r="I214" t="s">
        <v>3723</v>
      </c>
      <c r="J214" t="s">
        <v>105</v>
      </c>
      <c r="K214" t="s">
        <v>3724</v>
      </c>
      <c r="L214" t="s">
        <v>3725</v>
      </c>
      <c r="M214" t="s">
        <v>3726</v>
      </c>
      <c r="N214" t="s">
        <v>109</v>
      </c>
      <c r="AI214" t="s">
        <v>3727</v>
      </c>
      <c r="AJ214" t="s">
        <v>3728</v>
      </c>
      <c r="AK214" t="s">
        <v>3729</v>
      </c>
      <c r="AL214">
        <v>82</v>
      </c>
      <c r="AN214">
        <v>2004</v>
      </c>
      <c r="AO214" t="s">
        <v>113</v>
      </c>
      <c r="AP214" t="s">
        <v>3730</v>
      </c>
      <c r="AQ214" t="s">
        <v>3731</v>
      </c>
      <c r="AR214" t="s">
        <v>981</v>
      </c>
      <c r="AS214">
        <v>87.7</v>
      </c>
      <c r="AU214">
        <v>2006</v>
      </c>
      <c r="AV214" t="s">
        <v>109</v>
      </c>
      <c r="BC214" t="s">
        <v>113</v>
      </c>
      <c r="BD214" t="s">
        <v>3732</v>
      </c>
      <c r="BE214" t="s">
        <v>3733</v>
      </c>
      <c r="BF214" t="s">
        <v>3734</v>
      </c>
      <c r="BG214">
        <v>63.75</v>
      </c>
      <c r="BI214">
        <v>2010</v>
      </c>
      <c r="BJ214">
        <v>19</v>
      </c>
      <c r="BK214" t="s">
        <v>3735</v>
      </c>
      <c r="BL214">
        <v>18</v>
      </c>
      <c r="BN214" t="s">
        <v>113</v>
      </c>
      <c r="BO214" t="s">
        <v>3736</v>
      </c>
      <c r="BP214" t="s">
        <v>3737</v>
      </c>
      <c r="BQ214" t="s">
        <v>3738</v>
      </c>
      <c r="BR214">
        <v>80.4</v>
      </c>
      <c r="BS214">
        <v>8.04</v>
      </c>
      <c r="BT214">
        <v>2015</v>
      </c>
      <c r="BU214">
        <v>31</v>
      </c>
      <c r="BV214" t="s">
        <v>339</v>
      </c>
      <c r="BW214">
        <v>33</v>
      </c>
      <c r="BY214" t="s">
        <v>113</v>
      </c>
      <c r="BZ214" t="s">
        <v>3739</v>
      </c>
      <c r="CA214" t="s">
        <v>3739</v>
      </c>
      <c r="CB214" t="s">
        <v>3740</v>
      </c>
      <c r="CC214">
        <v>100</v>
      </c>
      <c r="CD214">
        <v>10</v>
      </c>
      <c r="CE214">
        <v>2021</v>
      </c>
      <c r="CF214" t="s">
        <v>113</v>
      </c>
      <c r="CG214" t="s">
        <v>746</v>
      </c>
      <c r="CH214" t="s">
        <v>3741</v>
      </c>
      <c r="CI214" t="s">
        <v>132</v>
      </c>
      <c r="CJ214">
        <v>2023</v>
      </c>
      <c r="CL214" t="s">
        <v>113</v>
      </c>
      <c r="CM214" t="s">
        <v>3742</v>
      </c>
      <c r="CN214" t="s">
        <v>113</v>
      </c>
      <c r="CO214" t="s">
        <v>3743</v>
      </c>
      <c r="CP214" t="s">
        <v>3729</v>
      </c>
      <c r="CQ214" t="s">
        <v>3744</v>
      </c>
      <c r="CR214" t="s">
        <v>136</v>
      </c>
      <c r="CS214" t="str">
        <f>HYPERLINK("https://nconnect.nicmar.ac.in/pdf/321_resume_1771579873.pdf/Y2FyZWVy","View Resume")</f>
        <v>0</v>
      </c>
    </row>
    <row r="215" spans="1:97">
      <c r="A215" t="s">
        <v>164</v>
      </c>
      <c r="B215" t="s">
        <v>138</v>
      </c>
      <c r="C215" t="s">
        <v>165</v>
      </c>
      <c r="D215" t="s">
        <v>166</v>
      </c>
      <c r="E215" t="s">
        <v>3721</v>
      </c>
      <c r="F215" t="s">
        <v>3722</v>
      </c>
      <c r="G215">
        <v>9666848000</v>
      </c>
      <c r="H215" t="s">
        <v>103</v>
      </c>
      <c r="I215" t="s">
        <v>3723</v>
      </c>
      <c r="J215" t="s">
        <v>105</v>
      </c>
      <c r="K215" t="s">
        <v>3724</v>
      </c>
      <c r="L215" t="s">
        <v>3725</v>
      </c>
      <c r="M215" t="s">
        <v>3726</v>
      </c>
      <c r="N215" t="s">
        <v>109</v>
      </c>
      <c r="AI215" t="s">
        <v>3727</v>
      </c>
      <c r="AJ215" t="s">
        <v>3728</v>
      </c>
      <c r="AK215" t="s">
        <v>3729</v>
      </c>
      <c r="AL215">
        <v>82</v>
      </c>
      <c r="AN215">
        <v>2004</v>
      </c>
      <c r="AO215" t="s">
        <v>113</v>
      </c>
      <c r="AP215" t="s">
        <v>3730</v>
      </c>
      <c r="AQ215" t="s">
        <v>3731</v>
      </c>
      <c r="AR215" t="s">
        <v>981</v>
      </c>
      <c r="AS215">
        <v>87.7</v>
      </c>
      <c r="AU215">
        <v>2006</v>
      </c>
      <c r="AV215" t="s">
        <v>109</v>
      </c>
      <c r="BC215" t="s">
        <v>113</v>
      </c>
      <c r="BD215" t="s">
        <v>3732</v>
      </c>
      <c r="BE215" t="s">
        <v>3733</v>
      </c>
      <c r="BF215" t="s">
        <v>3734</v>
      </c>
      <c r="BG215">
        <v>63.75</v>
      </c>
      <c r="BI215">
        <v>2010</v>
      </c>
      <c r="BJ215">
        <v>19</v>
      </c>
      <c r="BK215" t="s">
        <v>3735</v>
      </c>
      <c r="BL215">
        <v>18</v>
      </c>
      <c r="BN215" t="s">
        <v>113</v>
      </c>
      <c r="BO215" t="s">
        <v>3736</v>
      </c>
      <c r="BP215" t="s">
        <v>3737</v>
      </c>
      <c r="BQ215" t="s">
        <v>3738</v>
      </c>
      <c r="BR215">
        <v>80.4</v>
      </c>
      <c r="BS215">
        <v>8.04</v>
      </c>
      <c r="BT215">
        <v>2015</v>
      </c>
      <c r="BU215">
        <v>31</v>
      </c>
      <c r="BV215" t="s">
        <v>339</v>
      </c>
      <c r="BW215">
        <v>33</v>
      </c>
      <c r="BY215" t="s">
        <v>113</v>
      </c>
      <c r="BZ215" t="s">
        <v>3739</v>
      </c>
      <c r="CA215" t="s">
        <v>3739</v>
      </c>
      <c r="CB215" t="s">
        <v>3740</v>
      </c>
      <c r="CC215">
        <v>100</v>
      </c>
      <c r="CD215">
        <v>10</v>
      </c>
      <c r="CE215">
        <v>2021</v>
      </c>
      <c r="CF215" t="s">
        <v>113</v>
      </c>
      <c r="CG215" t="s">
        <v>746</v>
      </c>
      <c r="CH215" t="s">
        <v>3741</v>
      </c>
      <c r="CI215" t="s">
        <v>132</v>
      </c>
      <c r="CJ215">
        <v>2023</v>
      </c>
      <c r="CL215" t="s">
        <v>113</v>
      </c>
      <c r="CM215" t="s">
        <v>3742</v>
      </c>
      <c r="CN215" t="s">
        <v>113</v>
      </c>
      <c r="CO215" t="s">
        <v>3743</v>
      </c>
      <c r="CP215" t="s">
        <v>3729</v>
      </c>
      <c r="CQ215" t="s">
        <v>3744</v>
      </c>
      <c r="CR215" t="s">
        <v>136</v>
      </c>
      <c r="CS215" t="str">
        <f>HYPERLINK("https://nconnect.nicmar.ac.in/pdf/321_resume_1771579873.pdf/Y2FyZWVy","View Resume")</f>
        <v>0</v>
      </c>
    </row>
    <row r="216" spans="1:97">
      <c r="A216" t="s">
        <v>192</v>
      </c>
      <c r="B216" t="s">
        <v>138</v>
      </c>
      <c r="C216" t="s">
        <v>165</v>
      </c>
      <c r="D216" t="s">
        <v>193</v>
      </c>
      <c r="E216" t="s">
        <v>3745</v>
      </c>
      <c r="F216" t="s">
        <v>3746</v>
      </c>
      <c r="G216">
        <v>9923561976</v>
      </c>
      <c r="H216" t="s">
        <v>169</v>
      </c>
      <c r="I216" t="s">
        <v>3747</v>
      </c>
      <c r="J216" t="s">
        <v>105</v>
      </c>
      <c r="K216" t="s">
        <v>526</v>
      </c>
      <c r="L216" t="s">
        <v>3748</v>
      </c>
      <c r="M216" t="s">
        <v>3749</v>
      </c>
      <c r="N216" t="s">
        <v>109</v>
      </c>
      <c r="AI216" t="s">
        <v>3750</v>
      </c>
      <c r="AJ216" t="s">
        <v>1542</v>
      </c>
      <c r="AK216" t="s">
        <v>3751</v>
      </c>
      <c r="AL216">
        <v>83.71</v>
      </c>
      <c r="AN216">
        <v>1992</v>
      </c>
      <c r="AO216" t="s">
        <v>113</v>
      </c>
      <c r="AP216" t="s">
        <v>3752</v>
      </c>
      <c r="AQ216" t="s">
        <v>1542</v>
      </c>
      <c r="AR216" t="s">
        <v>3753</v>
      </c>
      <c r="AS216">
        <v>83.83</v>
      </c>
      <c r="AU216">
        <v>1994</v>
      </c>
      <c r="AV216" t="s">
        <v>109</v>
      </c>
      <c r="BC216" t="s">
        <v>113</v>
      </c>
      <c r="BD216" t="s">
        <v>279</v>
      </c>
      <c r="BE216" t="s">
        <v>3752</v>
      </c>
      <c r="BF216" t="s">
        <v>3754</v>
      </c>
      <c r="BG216">
        <v>62</v>
      </c>
      <c r="BI216">
        <v>1997</v>
      </c>
      <c r="BJ216">
        <v>19</v>
      </c>
      <c r="BK216" t="s">
        <v>3755</v>
      </c>
      <c r="BL216">
        <v>24</v>
      </c>
      <c r="BN216" t="s">
        <v>113</v>
      </c>
      <c r="BO216" t="s">
        <v>279</v>
      </c>
      <c r="BP216" t="s">
        <v>3756</v>
      </c>
      <c r="BQ216" t="s">
        <v>193</v>
      </c>
      <c r="BR216">
        <v>64</v>
      </c>
      <c r="BT216">
        <v>2009</v>
      </c>
      <c r="BU216">
        <v>31</v>
      </c>
      <c r="BV216" t="s">
        <v>3757</v>
      </c>
      <c r="BW216">
        <v>33</v>
      </c>
      <c r="BY216" t="s">
        <v>113</v>
      </c>
      <c r="BZ216" t="s">
        <v>279</v>
      </c>
      <c r="CA216" t="s">
        <v>279</v>
      </c>
      <c r="CB216" t="s">
        <v>3758</v>
      </c>
      <c r="CC216">
        <v>65.6</v>
      </c>
      <c r="CE216">
        <v>1999</v>
      </c>
      <c r="CF216" t="s">
        <v>113</v>
      </c>
      <c r="CG216" t="s">
        <v>193</v>
      </c>
      <c r="CH216" t="s">
        <v>3759</v>
      </c>
      <c r="CI216" t="s">
        <v>132</v>
      </c>
      <c r="CJ216">
        <v>2023</v>
      </c>
      <c r="CL216" t="s">
        <v>113</v>
      </c>
      <c r="CN216" t="s">
        <v>109</v>
      </c>
      <c r="CP216" t="s">
        <v>460</v>
      </c>
      <c r="CQ216" t="s">
        <v>3760</v>
      </c>
      <c r="CR216" t="s">
        <v>136</v>
      </c>
      <c r="CS216" t="str">
        <f>HYPERLINK("https://nconnect.nicmar.ac.in/pdf/348_resume_1771582847.pdf/Y2FyZWVy","View Resume")</f>
        <v>0</v>
      </c>
    </row>
    <row r="217" spans="1:97">
      <c r="A217" t="s">
        <v>846</v>
      </c>
      <c r="B217" t="s">
        <v>138</v>
      </c>
      <c r="C217" t="s">
        <v>165</v>
      </c>
      <c r="D217" t="s">
        <v>847</v>
      </c>
      <c r="E217" t="s">
        <v>3761</v>
      </c>
      <c r="F217" t="s">
        <v>3762</v>
      </c>
      <c r="G217">
        <v>9400655875</v>
      </c>
      <c r="H217" t="s">
        <v>103</v>
      </c>
      <c r="I217" t="s">
        <v>3763</v>
      </c>
      <c r="J217" t="s">
        <v>144</v>
      </c>
      <c r="K217" t="s">
        <v>3764</v>
      </c>
      <c r="L217" t="s">
        <v>1843</v>
      </c>
      <c r="M217" t="s">
        <v>3765</v>
      </c>
      <c r="N217" t="s">
        <v>109</v>
      </c>
      <c r="AI217" t="s">
        <v>3766</v>
      </c>
      <c r="AJ217" t="s">
        <v>3767</v>
      </c>
      <c r="AK217" t="s">
        <v>3768</v>
      </c>
      <c r="AL217">
        <v>80</v>
      </c>
      <c r="AM217">
        <v>8.9</v>
      </c>
      <c r="AN217">
        <v>2010</v>
      </c>
      <c r="AO217" t="s">
        <v>113</v>
      </c>
      <c r="AP217" t="s">
        <v>3769</v>
      </c>
      <c r="AQ217" t="s">
        <v>3770</v>
      </c>
      <c r="AR217" t="s">
        <v>3771</v>
      </c>
      <c r="AS217">
        <v>75</v>
      </c>
      <c r="AT217">
        <v>7.5</v>
      </c>
      <c r="AU217">
        <v>2012</v>
      </c>
      <c r="AV217" t="s">
        <v>109</v>
      </c>
      <c r="BC217" t="s">
        <v>113</v>
      </c>
      <c r="BD217" t="s">
        <v>3772</v>
      </c>
      <c r="BE217" t="s">
        <v>3773</v>
      </c>
      <c r="BF217" t="s">
        <v>3774</v>
      </c>
      <c r="BG217">
        <v>65</v>
      </c>
      <c r="BH217">
        <v>6.5</v>
      </c>
      <c r="BI217">
        <v>2015</v>
      </c>
      <c r="BJ217">
        <v>19</v>
      </c>
      <c r="BK217" t="s">
        <v>3775</v>
      </c>
      <c r="BL217">
        <v>53</v>
      </c>
      <c r="BM217" t="s">
        <v>3776</v>
      </c>
      <c r="BN217" t="s">
        <v>113</v>
      </c>
      <c r="BO217" t="s">
        <v>3777</v>
      </c>
      <c r="BP217" t="s">
        <v>3778</v>
      </c>
      <c r="BQ217" t="s">
        <v>3779</v>
      </c>
      <c r="BR217">
        <v>76</v>
      </c>
      <c r="BS217">
        <v>7.6</v>
      </c>
      <c r="BT217">
        <v>2021</v>
      </c>
      <c r="BU217">
        <v>31</v>
      </c>
      <c r="BV217" t="s">
        <v>3780</v>
      </c>
      <c r="BW217">
        <v>53</v>
      </c>
      <c r="BX217" t="s">
        <v>3781</v>
      </c>
      <c r="BY217" t="s">
        <v>113</v>
      </c>
      <c r="BZ217" t="s">
        <v>3782</v>
      </c>
      <c r="CA217" t="s">
        <v>3783</v>
      </c>
      <c r="CB217" t="s">
        <v>3784</v>
      </c>
      <c r="CC217">
        <v>62</v>
      </c>
      <c r="CD217">
        <v>6.2</v>
      </c>
      <c r="CE217">
        <v>2017</v>
      </c>
      <c r="CF217" t="s">
        <v>113</v>
      </c>
      <c r="CG217" t="s">
        <v>3781</v>
      </c>
      <c r="CH217" t="s">
        <v>3785</v>
      </c>
      <c r="CI217" t="s">
        <v>240</v>
      </c>
      <c r="CK217" t="s">
        <v>113</v>
      </c>
      <c r="CL217" t="s">
        <v>113</v>
      </c>
      <c r="CM217" t="s">
        <v>3786</v>
      </c>
      <c r="CN217" t="s">
        <v>113</v>
      </c>
      <c r="CO217" t="s">
        <v>3787</v>
      </c>
      <c r="CP217" t="s">
        <v>3788</v>
      </c>
      <c r="CQ217" t="s">
        <v>3760</v>
      </c>
      <c r="CR217" t="str">
        <f>HYPERLINK("https://nconnect.nicmar.ac.in/public/storage/profile/699826990c20c.png","Download")</f>
        <v>0</v>
      </c>
      <c r="CS217" t="str">
        <f>HYPERLINK("https://nconnect.nicmar.ac.in/pdf/360_resume_1771582876.pdf/Y2FyZWVy","View Resume")</f>
        <v>0</v>
      </c>
    </row>
    <row r="218" spans="1:97">
      <c r="A218" t="s">
        <v>137</v>
      </c>
      <c r="B218" t="s">
        <v>138</v>
      </c>
      <c r="C218" t="s">
        <v>139</v>
      </c>
      <c r="D218" t="s">
        <v>140</v>
      </c>
      <c r="E218" t="s">
        <v>3567</v>
      </c>
      <c r="F218" t="s">
        <v>3568</v>
      </c>
      <c r="G218">
        <v>9010915282</v>
      </c>
      <c r="H218" t="s">
        <v>103</v>
      </c>
      <c r="I218" t="s">
        <v>3569</v>
      </c>
      <c r="J218" t="s">
        <v>105</v>
      </c>
      <c r="K218" t="s">
        <v>3570</v>
      </c>
      <c r="L218" t="s">
        <v>3571</v>
      </c>
      <c r="M218" t="s">
        <v>3572</v>
      </c>
      <c r="N218" t="s">
        <v>109</v>
      </c>
      <c r="AI218" t="s">
        <v>3573</v>
      </c>
      <c r="AJ218" t="s">
        <v>3574</v>
      </c>
      <c r="AK218" t="s">
        <v>3575</v>
      </c>
      <c r="AL218">
        <v>61</v>
      </c>
      <c r="AN218">
        <v>2000</v>
      </c>
      <c r="AO218" t="s">
        <v>109</v>
      </c>
      <c r="AV218" t="s">
        <v>113</v>
      </c>
      <c r="AW218" t="s">
        <v>3576</v>
      </c>
      <c r="AX218" t="s">
        <v>3577</v>
      </c>
      <c r="AY218" t="s">
        <v>3578</v>
      </c>
      <c r="AZ218">
        <v>64.67</v>
      </c>
      <c r="BB218">
        <v>2009</v>
      </c>
      <c r="BC218" t="s">
        <v>113</v>
      </c>
      <c r="BD218" t="s">
        <v>3579</v>
      </c>
      <c r="BE218" t="s">
        <v>3580</v>
      </c>
      <c r="BF218" t="s">
        <v>3581</v>
      </c>
      <c r="BG218">
        <v>66.19</v>
      </c>
      <c r="BI218">
        <v>2014</v>
      </c>
      <c r="BJ218">
        <v>1</v>
      </c>
      <c r="BL218">
        <v>9</v>
      </c>
      <c r="BN218" t="s">
        <v>113</v>
      </c>
      <c r="BO218" t="s">
        <v>3579</v>
      </c>
      <c r="BP218" t="s">
        <v>3580</v>
      </c>
      <c r="BQ218" t="s">
        <v>3582</v>
      </c>
      <c r="BR218">
        <v>71</v>
      </c>
      <c r="BT218">
        <v>2016</v>
      </c>
      <c r="BU218">
        <v>14</v>
      </c>
      <c r="BW218">
        <v>47</v>
      </c>
      <c r="BY218" t="s">
        <v>109</v>
      </c>
      <c r="CF218" t="s">
        <v>113</v>
      </c>
      <c r="CG218" t="s">
        <v>156</v>
      </c>
      <c r="CH218" t="s">
        <v>3583</v>
      </c>
      <c r="CI218" t="s">
        <v>132</v>
      </c>
      <c r="CJ218">
        <v>2026</v>
      </c>
      <c r="CL218" t="s">
        <v>109</v>
      </c>
      <c r="CN218" t="s">
        <v>113</v>
      </c>
      <c r="CO218" t="s">
        <v>3584</v>
      </c>
      <c r="CP218" t="s">
        <v>3585</v>
      </c>
      <c r="CQ218" t="s">
        <v>3789</v>
      </c>
      <c r="CR218" t="str">
        <f>HYPERLINK("https://nconnect.nicmar.ac.in/public/storage/profile/6998086fc2e16.png","Download")</f>
        <v>0</v>
      </c>
      <c r="CS218" t="str">
        <f>HYPERLINK("https://nconnect.nicmar.ac.in/pdf/339_resume_1771577913.pdf/Y2FyZWVy","View Resume")</f>
        <v>0</v>
      </c>
    </row>
    <row r="219" spans="1:97">
      <c r="A219" t="s">
        <v>501</v>
      </c>
      <c r="B219" t="s">
        <v>138</v>
      </c>
      <c r="C219" t="s">
        <v>165</v>
      </c>
      <c r="D219" t="s">
        <v>319</v>
      </c>
      <c r="E219" t="s">
        <v>3790</v>
      </c>
      <c r="F219" t="s">
        <v>3791</v>
      </c>
      <c r="G219">
        <v>6386295597</v>
      </c>
      <c r="H219" t="s">
        <v>169</v>
      </c>
      <c r="I219" t="s">
        <v>3792</v>
      </c>
      <c r="J219" t="s">
        <v>144</v>
      </c>
      <c r="K219" t="s">
        <v>505</v>
      </c>
      <c r="L219" t="s">
        <v>3793</v>
      </c>
      <c r="M219" t="s">
        <v>3794</v>
      </c>
      <c r="N219" t="s">
        <v>109</v>
      </c>
      <c r="AI219" t="s">
        <v>3795</v>
      </c>
      <c r="AJ219" t="s">
        <v>3796</v>
      </c>
      <c r="AK219" t="s">
        <v>3797</v>
      </c>
      <c r="AL219">
        <v>78</v>
      </c>
      <c r="AN219">
        <v>2012</v>
      </c>
      <c r="AO219" t="s">
        <v>113</v>
      </c>
      <c r="AP219" t="s">
        <v>3795</v>
      </c>
      <c r="AQ219" t="s">
        <v>3796</v>
      </c>
      <c r="AR219" t="s">
        <v>839</v>
      </c>
      <c r="AS219">
        <v>76</v>
      </c>
      <c r="AU219">
        <v>2014</v>
      </c>
      <c r="AV219" t="s">
        <v>113</v>
      </c>
      <c r="AW219" t="s">
        <v>3798</v>
      </c>
      <c r="AX219" t="s">
        <v>1593</v>
      </c>
      <c r="AY219" t="s">
        <v>3799</v>
      </c>
      <c r="AZ219">
        <v>74</v>
      </c>
      <c r="BB219">
        <v>2018</v>
      </c>
      <c r="BC219" t="s">
        <v>113</v>
      </c>
      <c r="BD219" t="s">
        <v>1593</v>
      </c>
      <c r="BE219" t="s">
        <v>3800</v>
      </c>
      <c r="BF219" t="s">
        <v>3801</v>
      </c>
      <c r="BG219">
        <v>78</v>
      </c>
      <c r="BH219">
        <v>8.19</v>
      </c>
      <c r="BI219">
        <v>2017</v>
      </c>
      <c r="BJ219">
        <v>19</v>
      </c>
      <c r="BK219" t="s">
        <v>3802</v>
      </c>
      <c r="BL219">
        <v>23</v>
      </c>
      <c r="BN219" t="s">
        <v>113</v>
      </c>
      <c r="BO219" t="s">
        <v>124</v>
      </c>
      <c r="BP219" t="s">
        <v>3803</v>
      </c>
      <c r="BQ219" t="s">
        <v>1330</v>
      </c>
      <c r="BR219">
        <v>65</v>
      </c>
      <c r="BT219">
        <v>2020</v>
      </c>
      <c r="BU219">
        <v>31</v>
      </c>
      <c r="BV219" t="s">
        <v>3382</v>
      </c>
      <c r="BW219">
        <v>23</v>
      </c>
      <c r="BY219" t="s">
        <v>109</v>
      </c>
      <c r="CF219" t="s">
        <v>113</v>
      </c>
      <c r="CG219" t="s">
        <v>338</v>
      </c>
      <c r="CH219" t="s">
        <v>3804</v>
      </c>
      <c r="CI219" t="s">
        <v>240</v>
      </c>
      <c r="CK219" t="s">
        <v>109</v>
      </c>
      <c r="CL219" t="s">
        <v>113</v>
      </c>
      <c r="CM219" t="s">
        <v>3805</v>
      </c>
      <c r="CN219" t="s">
        <v>113</v>
      </c>
      <c r="CO219" t="s">
        <v>3806</v>
      </c>
      <c r="CP219" t="s">
        <v>460</v>
      </c>
      <c r="CQ219" t="s">
        <v>3807</v>
      </c>
      <c r="CR219" t="s">
        <v>136</v>
      </c>
      <c r="CS219" t="str">
        <f>HYPERLINK("https://nconnect.nicmar.ac.in/pdf/347_resume_1771583543.pdf/Y2FyZWVy","View Resume")</f>
        <v>0</v>
      </c>
    </row>
    <row r="220" spans="1:97">
      <c r="A220" t="s">
        <v>192</v>
      </c>
      <c r="B220" t="s">
        <v>138</v>
      </c>
      <c r="C220" t="s">
        <v>165</v>
      </c>
      <c r="D220" t="s">
        <v>193</v>
      </c>
      <c r="E220" t="s">
        <v>3808</v>
      </c>
      <c r="F220" t="s">
        <v>3809</v>
      </c>
      <c r="G220">
        <v>9028043691</v>
      </c>
      <c r="H220" t="s">
        <v>103</v>
      </c>
      <c r="I220" t="s">
        <v>3810</v>
      </c>
      <c r="J220" t="s">
        <v>105</v>
      </c>
      <c r="K220" t="s">
        <v>3811</v>
      </c>
      <c r="L220" t="s">
        <v>3812</v>
      </c>
      <c r="M220" t="s">
        <v>3813</v>
      </c>
      <c r="N220" t="s">
        <v>109</v>
      </c>
      <c r="AI220" t="s">
        <v>3814</v>
      </c>
      <c r="AJ220" t="s">
        <v>3815</v>
      </c>
      <c r="AK220" t="s">
        <v>3816</v>
      </c>
      <c r="AL220">
        <v>46.93</v>
      </c>
      <c r="AN220">
        <v>1997</v>
      </c>
      <c r="AO220" t="s">
        <v>113</v>
      </c>
      <c r="AP220" t="s">
        <v>3817</v>
      </c>
      <c r="AQ220" t="s">
        <v>3818</v>
      </c>
      <c r="AR220" t="s">
        <v>3819</v>
      </c>
      <c r="AS220">
        <v>63.67</v>
      </c>
      <c r="AU220">
        <v>1999</v>
      </c>
      <c r="AV220" t="s">
        <v>109</v>
      </c>
      <c r="BC220" t="s">
        <v>113</v>
      </c>
      <c r="BD220" t="s">
        <v>2744</v>
      </c>
      <c r="BE220" t="s">
        <v>3820</v>
      </c>
      <c r="BF220" t="s">
        <v>3821</v>
      </c>
      <c r="BG220">
        <v>62</v>
      </c>
      <c r="BI220">
        <v>2003</v>
      </c>
      <c r="BJ220">
        <v>19</v>
      </c>
      <c r="BK220" t="s">
        <v>3822</v>
      </c>
      <c r="BL220">
        <v>52</v>
      </c>
      <c r="BN220" t="s">
        <v>113</v>
      </c>
      <c r="BO220" t="s">
        <v>2744</v>
      </c>
      <c r="BP220" t="s">
        <v>3823</v>
      </c>
      <c r="BQ220" t="s">
        <v>3824</v>
      </c>
      <c r="BR220">
        <v>64.35</v>
      </c>
      <c r="BT220">
        <v>2005</v>
      </c>
      <c r="BU220">
        <v>31</v>
      </c>
      <c r="BV220" t="s">
        <v>3825</v>
      </c>
      <c r="BW220">
        <v>33</v>
      </c>
      <c r="BY220" t="s">
        <v>109</v>
      </c>
      <c r="BZ220" t="s">
        <v>3826</v>
      </c>
      <c r="CF220" t="s">
        <v>113</v>
      </c>
      <c r="CG220" t="s">
        <v>193</v>
      </c>
      <c r="CH220" t="s">
        <v>3827</v>
      </c>
      <c r="CI220" t="s">
        <v>132</v>
      </c>
      <c r="CJ220">
        <v>2018</v>
      </c>
      <c r="CL220" t="s">
        <v>113</v>
      </c>
      <c r="CM220" t="s">
        <v>3828</v>
      </c>
      <c r="CN220" t="s">
        <v>113</v>
      </c>
      <c r="CO220" t="s">
        <v>3829</v>
      </c>
      <c r="CP220" t="s">
        <v>3830</v>
      </c>
      <c r="CQ220" t="s">
        <v>3831</v>
      </c>
      <c r="CR220" t="s">
        <v>136</v>
      </c>
      <c r="CS220" t="str">
        <f>HYPERLINK("https://nconnect.nicmar.ac.in/pdf/355_resume_1771583791.pdf/Y2FyZWVy","View Resume")</f>
        <v>0</v>
      </c>
    </row>
    <row r="221" spans="1:97">
      <c r="A221" t="s">
        <v>367</v>
      </c>
      <c r="B221" t="s">
        <v>138</v>
      </c>
      <c r="C221" t="s">
        <v>295</v>
      </c>
      <c r="D221" t="s">
        <v>368</v>
      </c>
      <c r="E221" t="s">
        <v>3832</v>
      </c>
      <c r="F221" t="s">
        <v>3833</v>
      </c>
      <c r="G221">
        <v>9706725181</v>
      </c>
      <c r="H221" t="s">
        <v>103</v>
      </c>
      <c r="I221" t="s">
        <v>347</v>
      </c>
      <c r="J221" t="s">
        <v>105</v>
      </c>
      <c r="K221" t="s">
        <v>3834</v>
      </c>
      <c r="L221" t="s">
        <v>3835</v>
      </c>
      <c r="M221" t="s">
        <v>3836</v>
      </c>
      <c r="N221" t="s">
        <v>109</v>
      </c>
      <c r="AI221" t="s">
        <v>3837</v>
      </c>
      <c r="AJ221" t="s">
        <v>759</v>
      </c>
      <c r="AK221" t="s">
        <v>3838</v>
      </c>
      <c r="AL221">
        <v>75.83</v>
      </c>
      <c r="AN221">
        <v>2007</v>
      </c>
      <c r="AO221" t="s">
        <v>113</v>
      </c>
      <c r="AP221" t="s">
        <v>3006</v>
      </c>
      <c r="AQ221" t="s">
        <v>762</v>
      </c>
      <c r="AR221" t="s">
        <v>3839</v>
      </c>
      <c r="AS221">
        <v>86.6</v>
      </c>
      <c r="AU221">
        <v>2009</v>
      </c>
      <c r="AV221" t="s">
        <v>109</v>
      </c>
      <c r="BC221" t="s">
        <v>113</v>
      </c>
      <c r="BD221" t="s">
        <v>3840</v>
      </c>
      <c r="BE221" t="s">
        <v>3841</v>
      </c>
      <c r="BF221" t="s">
        <v>354</v>
      </c>
      <c r="BG221">
        <v>59.7</v>
      </c>
      <c r="BH221">
        <v>5.97</v>
      </c>
      <c r="BI221">
        <v>2013</v>
      </c>
      <c r="BJ221">
        <v>1</v>
      </c>
      <c r="BL221">
        <v>52</v>
      </c>
      <c r="BN221" t="s">
        <v>113</v>
      </c>
      <c r="BO221" t="s">
        <v>3842</v>
      </c>
      <c r="BP221" t="s">
        <v>3843</v>
      </c>
      <c r="BQ221" t="s">
        <v>3844</v>
      </c>
      <c r="BR221">
        <v>85.1</v>
      </c>
      <c r="BS221">
        <v>8.51</v>
      </c>
      <c r="BT221">
        <v>2013</v>
      </c>
      <c r="BU221">
        <v>15</v>
      </c>
      <c r="BW221">
        <v>21</v>
      </c>
      <c r="BY221" t="s">
        <v>109</v>
      </c>
      <c r="CF221" t="s">
        <v>113</v>
      </c>
      <c r="CG221" t="s">
        <v>3845</v>
      </c>
      <c r="CH221" t="s">
        <v>3678</v>
      </c>
      <c r="CI221" t="s">
        <v>132</v>
      </c>
      <c r="CJ221">
        <v>2022</v>
      </c>
      <c r="CL221" t="s">
        <v>109</v>
      </c>
      <c r="CN221" t="s">
        <v>113</v>
      </c>
      <c r="CO221" t="s">
        <v>3846</v>
      </c>
      <c r="CP221" t="s">
        <v>3847</v>
      </c>
      <c r="CQ221" t="s">
        <v>3848</v>
      </c>
      <c r="CR221" t="str">
        <f>HYPERLINK("https://nconnect.nicmar.ac.in/public/storage/profile/699813257e4d9.png","Download")</f>
        <v>0</v>
      </c>
      <c r="CS221" t="str">
        <f>HYPERLINK("https://nconnect.nicmar.ac.in/pdf/351_resume_1771584018.pdf/Y2FyZWVy","View Resume")</f>
        <v>0</v>
      </c>
    </row>
    <row r="222" spans="1:97">
      <c r="A222" t="s">
        <v>294</v>
      </c>
      <c r="B222" t="s">
        <v>138</v>
      </c>
      <c r="C222" t="s">
        <v>295</v>
      </c>
      <c r="D222" t="s">
        <v>296</v>
      </c>
      <c r="E222" t="s">
        <v>3849</v>
      </c>
      <c r="F222" t="s">
        <v>3850</v>
      </c>
      <c r="G222">
        <v>8319549794</v>
      </c>
      <c r="H222" t="s">
        <v>169</v>
      </c>
      <c r="I222" t="s">
        <v>3851</v>
      </c>
      <c r="J222" t="s">
        <v>105</v>
      </c>
      <c r="K222" t="s">
        <v>3852</v>
      </c>
      <c r="L222" t="s">
        <v>3853</v>
      </c>
      <c r="M222" t="s">
        <v>3854</v>
      </c>
      <c r="N222" t="s">
        <v>109</v>
      </c>
      <c r="AI222" t="s">
        <v>3855</v>
      </c>
      <c r="AJ222" t="s">
        <v>3856</v>
      </c>
      <c r="AK222" t="s">
        <v>782</v>
      </c>
      <c r="AL222">
        <v>72.3</v>
      </c>
      <c r="AN222">
        <v>2011</v>
      </c>
      <c r="AO222" t="s">
        <v>113</v>
      </c>
      <c r="AP222" t="s">
        <v>3857</v>
      </c>
      <c r="AQ222" t="s">
        <v>3858</v>
      </c>
      <c r="AR222" t="s">
        <v>668</v>
      </c>
      <c r="AS222">
        <v>54.0</v>
      </c>
      <c r="AU222">
        <v>2013</v>
      </c>
      <c r="AV222" t="s">
        <v>109</v>
      </c>
      <c r="BC222" t="s">
        <v>113</v>
      </c>
      <c r="BD222" t="s">
        <v>3859</v>
      </c>
      <c r="BE222" t="s">
        <v>3860</v>
      </c>
      <c r="BF222" t="s">
        <v>3861</v>
      </c>
      <c r="BG222">
        <v>82.8</v>
      </c>
      <c r="BI222">
        <v>2017</v>
      </c>
      <c r="BJ222">
        <v>2</v>
      </c>
      <c r="BL222">
        <v>9</v>
      </c>
      <c r="BN222" t="s">
        <v>113</v>
      </c>
      <c r="BO222" t="s">
        <v>3862</v>
      </c>
      <c r="BP222" t="s">
        <v>3863</v>
      </c>
      <c r="BQ222" t="s">
        <v>3864</v>
      </c>
      <c r="BR222">
        <v>61</v>
      </c>
      <c r="BT222">
        <v>2019</v>
      </c>
      <c r="BU222">
        <v>9</v>
      </c>
      <c r="BW222">
        <v>53</v>
      </c>
      <c r="BX222" t="s">
        <v>3864</v>
      </c>
      <c r="BY222" t="s">
        <v>113</v>
      </c>
      <c r="BZ222" t="s">
        <v>3865</v>
      </c>
      <c r="CA222" t="s">
        <v>3866</v>
      </c>
      <c r="CB222" t="s">
        <v>3867</v>
      </c>
      <c r="CC222">
        <v>90</v>
      </c>
      <c r="CE222">
        <v>2021</v>
      </c>
      <c r="CF222" t="s">
        <v>109</v>
      </c>
      <c r="CL222" t="s">
        <v>109</v>
      </c>
      <c r="CN222" t="s">
        <v>109</v>
      </c>
      <c r="CP222" t="s">
        <v>782</v>
      </c>
      <c r="CQ222" t="s">
        <v>3868</v>
      </c>
      <c r="CR222" t="s">
        <v>136</v>
      </c>
      <c r="CS222" t="str">
        <f>HYPERLINK("https://nconnect.nicmar.ac.in/pdf/371_resume_1771586122.pdf/Y2FyZWVy","View Resume")</f>
        <v>0</v>
      </c>
    </row>
    <row r="223" spans="1:97">
      <c r="A223" t="s">
        <v>190</v>
      </c>
      <c r="B223" t="s">
        <v>138</v>
      </c>
      <c r="C223" t="s">
        <v>139</v>
      </c>
      <c r="D223" t="s">
        <v>191</v>
      </c>
      <c r="E223" t="s">
        <v>3869</v>
      </c>
      <c r="F223" t="s">
        <v>3870</v>
      </c>
      <c r="G223">
        <v>7030678022</v>
      </c>
      <c r="H223" t="s">
        <v>103</v>
      </c>
      <c r="I223" t="s">
        <v>3871</v>
      </c>
      <c r="J223" t="s">
        <v>105</v>
      </c>
      <c r="K223" t="s">
        <v>3872</v>
      </c>
      <c r="L223" t="s">
        <v>3873</v>
      </c>
      <c r="M223" t="s">
        <v>3874</v>
      </c>
      <c r="N223" t="s">
        <v>109</v>
      </c>
      <c r="AI223" t="s">
        <v>3875</v>
      </c>
      <c r="AJ223" t="s">
        <v>1542</v>
      </c>
      <c r="AK223" t="s">
        <v>3876</v>
      </c>
      <c r="AL223">
        <v>89.27</v>
      </c>
      <c r="AN223">
        <v>2011</v>
      </c>
      <c r="AO223" t="s">
        <v>113</v>
      </c>
      <c r="AP223" t="s">
        <v>3877</v>
      </c>
      <c r="AQ223" t="s">
        <v>1542</v>
      </c>
      <c r="AR223" t="s">
        <v>277</v>
      </c>
      <c r="AS223">
        <v>73.0</v>
      </c>
      <c r="AU223">
        <v>2013</v>
      </c>
      <c r="AV223" t="s">
        <v>109</v>
      </c>
      <c r="BC223" t="s">
        <v>113</v>
      </c>
      <c r="BD223" t="s">
        <v>3878</v>
      </c>
      <c r="BE223" t="s">
        <v>3879</v>
      </c>
      <c r="BF223" t="s">
        <v>2191</v>
      </c>
      <c r="BG223">
        <v>73.15</v>
      </c>
      <c r="BI223">
        <v>2016</v>
      </c>
      <c r="BJ223">
        <v>19</v>
      </c>
      <c r="BK223" t="s">
        <v>3880</v>
      </c>
      <c r="BL223">
        <v>24</v>
      </c>
      <c r="BN223" t="s">
        <v>113</v>
      </c>
      <c r="BO223" t="s">
        <v>3881</v>
      </c>
      <c r="BP223" t="s">
        <v>3882</v>
      </c>
      <c r="BQ223" t="s">
        <v>2198</v>
      </c>
      <c r="BR223">
        <v>87.36</v>
      </c>
      <c r="BT223">
        <v>2018</v>
      </c>
      <c r="BU223">
        <v>31</v>
      </c>
      <c r="BV223" t="s">
        <v>285</v>
      </c>
      <c r="BW223">
        <v>53</v>
      </c>
      <c r="BX223" t="s">
        <v>281</v>
      </c>
      <c r="BY223" t="s">
        <v>109</v>
      </c>
      <c r="CF223" t="s">
        <v>113</v>
      </c>
      <c r="CG223" t="s">
        <v>3883</v>
      </c>
      <c r="CH223" t="s">
        <v>3884</v>
      </c>
      <c r="CI223" t="s">
        <v>240</v>
      </c>
      <c r="CK223" t="s">
        <v>109</v>
      </c>
      <c r="CL223" t="s">
        <v>109</v>
      </c>
      <c r="CN223" t="s">
        <v>113</v>
      </c>
      <c r="CO223" t="s">
        <v>3885</v>
      </c>
      <c r="CP223" t="s">
        <v>3886</v>
      </c>
      <c r="CQ223" t="s">
        <v>3887</v>
      </c>
      <c r="CR223" t="str">
        <f>HYPERLINK("https://nconnect.nicmar.ac.in/public/storage/profile/6998389e020b1.png","Download")</f>
        <v>0</v>
      </c>
      <c r="CS223" t="str">
        <f>HYPERLINK("https://nconnect.nicmar.ac.in/pdf/369_resume_1771586659.pdf/Y2FyZWVy","View Resume")</f>
        <v>0</v>
      </c>
    </row>
    <row r="224" spans="1:97">
      <c r="A224" t="s">
        <v>137</v>
      </c>
      <c r="B224" t="s">
        <v>138</v>
      </c>
      <c r="C224" t="s">
        <v>139</v>
      </c>
      <c r="D224" t="s">
        <v>140</v>
      </c>
      <c r="E224" t="s">
        <v>3888</v>
      </c>
      <c r="F224" t="s">
        <v>3889</v>
      </c>
      <c r="G224">
        <v>9075908710</v>
      </c>
      <c r="H224" t="s">
        <v>169</v>
      </c>
      <c r="I224" t="s">
        <v>3890</v>
      </c>
      <c r="J224" t="s">
        <v>144</v>
      </c>
      <c r="K224" t="s">
        <v>3891</v>
      </c>
      <c r="L224" t="s">
        <v>3892</v>
      </c>
      <c r="M224" t="s">
        <v>3893</v>
      </c>
      <c r="N224" t="s">
        <v>109</v>
      </c>
      <c r="AI224" t="s">
        <v>3894</v>
      </c>
      <c r="AJ224" t="s">
        <v>3895</v>
      </c>
      <c r="AK224" t="s">
        <v>3896</v>
      </c>
      <c r="AL224">
        <v>87.09</v>
      </c>
      <c r="AN224">
        <v>2011</v>
      </c>
      <c r="AO224" t="s">
        <v>113</v>
      </c>
      <c r="AP224" t="s">
        <v>3897</v>
      </c>
      <c r="AQ224" t="s">
        <v>3225</v>
      </c>
      <c r="AR224" t="s">
        <v>3898</v>
      </c>
      <c r="AS224">
        <v>67.17</v>
      </c>
      <c r="AU224">
        <v>2013</v>
      </c>
      <c r="AV224" t="s">
        <v>109</v>
      </c>
      <c r="BC224" t="s">
        <v>113</v>
      </c>
      <c r="BD224" t="s">
        <v>358</v>
      </c>
      <c r="BE224" t="s">
        <v>3899</v>
      </c>
      <c r="BF224" t="s">
        <v>3861</v>
      </c>
      <c r="BG224">
        <v>70.6</v>
      </c>
      <c r="BI224">
        <v>2017</v>
      </c>
      <c r="BJ224">
        <v>2</v>
      </c>
      <c r="BL224">
        <v>9</v>
      </c>
      <c r="BN224" t="s">
        <v>113</v>
      </c>
      <c r="BO224" t="s">
        <v>358</v>
      </c>
      <c r="BP224" t="s">
        <v>3900</v>
      </c>
      <c r="BQ224" t="s">
        <v>3901</v>
      </c>
      <c r="BR224">
        <v>92</v>
      </c>
      <c r="BS224">
        <v>9.21</v>
      </c>
      <c r="BT224">
        <v>2021</v>
      </c>
      <c r="BU224">
        <v>14</v>
      </c>
      <c r="BW224">
        <v>7</v>
      </c>
      <c r="BY224" t="s">
        <v>109</v>
      </c>
      <c r="BZ224" t="s">
        <v>358</v>
      </c>
      <c r="CA224" t="s">
        <v>3902</v>
      </c>
      <c r="CF224" t="s">
        <v>113</v>
      </c>
      <c r="CG224" t="s">
        <v>3903</v>
      </c>
      <c r="CH224" t="s">
        <v>3904</v>
      </c>
      <c r="CI224" t="s">
        <v>240</v>
      </c>
      <c r="CK224" t="s">
        <v>109</v>
      </c>
      <c r="CL224" t="s">
        <v>113</v>
      </c>
      <c r="CM224" t="s">
        <v>3905</v>
      </c>
      <c r="CN224" t="s">
        <v>113</v>
      </c>
      <c r="CO224" t="s">
        <v>3906</v>
      </c>
      <c r="CP224" t="s">
        <v>3907</v>
      </c>
      <c r="CQ224" t="s">
        <v>3908</v>
      </c>
      <c r="CR224" t="s">
        <v>136</v>
      </c>
      <c r="CS224" t="str">
        <f>HYPERLINK("https://nconnect.nicmar.ac.in/pdf/370_resume_1771855626.jpg/Y2FyZWVy","View Resume")</f>
        <v>0</v>
      </c>
    </row>
    <row r="225" spans="1:97">
      <c r="A225" t="s">
        <v>1442</v>
      </c>
      <c r="B225" t="s">
        <v>98</v>
      </c>
      <c r="C225" t="s">
        <v>139</v>
      </c>
      <c r="D225" t="s">
        <v>1443</v>
      </c>
      <c r="E225" t="s">
        <v>3909</v>
      </c>
      <c r="F225" t="s">
        <v>3910</v>
      </c>
      <c r="G225">
        <v>9881258914</v>
      </c>
      <c r="H225" t="s">
        <v>103</v>
      </c>
      <c r="I225" t="s">
        <v>3911</v>
      </c>
      <c r="J225" t="s">
        <v>105</v>
      </c>
      <c r="K225" t="s">
        <v>145</v>
      </c>
      <c r="L225" t="s">
        <v>3912</v>
      </c>
      <c r="M225" t="s">
        <v>3913</v>
      </c>
      <c r="N225" t="s">
        <v>109</v>
      </c>
      <c r="AI225" t="s">
        <v>3914</v>
      </c>
      <c r="AJ225" t="s">
        <v>3915</v>
      </c>
      <c r="AK225" t="s">
        <v>3916</v>
      </c>
      <c r="AL225">
        <v>56</v>
      </c>
      <c r="AN225">
        <v>1985</v>
      </c>
      <c r="AO225" t="s">
        <v>113</v>
      </c>
      <c r="AP225" t="s">
        <v>3917</v>
      </c>
      <c r="AQ225" t="s">
        <v>3918</v>
      </c>
      <c r="AR225" t="s">
        <v>3919</v>
      </c>
      <c r="AS225">
        <v>49.6</v>
      </c>
      <c r="AU225">
        <v>1987</v>
      </c>
      <c r="AV225" t="s">
        <v>109</v>
      </c>
      <c r="BC225" t="s">
        <v>113</v>
      </c>
      <c r="BD225" t="s">
        <v>3245</v>
      </c>
      <c r="BE225" t="s">
        <v>3920</v>
      </c>
      <c r="BF225" t="s">
        <v>309</v>
      </c>
      <c r="BG225">
        <v>65.6</v>
      </c>
      <c r="BI225">
        <v>1993</v>
      </c>
      <c r="BJ225">
        <v>2</v>
      </c>
      <c r="BL225">
        <v>9</v>
      </c>
      <c r="BN225" t="s">
        <v>113</v>
      </c>
      <c r="BO225" t="s">
        <v>3921</v>
      </c>
      <c r="BP225" t="s">
        <v>3922</v>
      </c>
      <c r="BQ225" t="s">
        <v>3923</v>
      </c>
      <c r="BR225">
        <v>66.9</v>
      </c>
      <c r="BT225">
        <v>2011</v>
      </c>
      <c r="BU225">
        <v>31</v>
      </c>
      <c r="BV225" t="s">
        <v>3924</v>
      </c>
      <c r="BW225">
        <v>9</v>
      </c>
      <c r="BY225" t="s">
        <v>109</v>
      </c>
      <c r="CF225" t="s">
        <v>113</v>
      </c>
      <c r="CG225" t="s">
        <v>3925</v>
      </c>
      <c r="CH225" t="s">
        <v>3926</v>
      </c>
      <c r="CI225" t="s">
        <v>132</v>
      </c>
      <c r="CJ225">
        <v>2019</v>
      </c>
      <c r="CL225" t="s">
        <v>109</v>
      </c>
      <c r="CN225" t="s">
        <v>113</v>
      </c>
      <c r="CO225" t="s">
        <v>3927</v>
      </c>
      <c r="CP225" t="s">
        <v>3928</v>
      </c>
      <c r="CQ225" t="s">
        <v>3929</v>
      </c>
      <c r="CR225" t="str">
        <f>HYPERLINK("https://nconnect.nicmar.ac.in/public/storage/profile/6998234228cc1.png","Download")</f>
        <v>0</v>
      </c>
      <c r="CS225" t="str">
        <f>HYPERLINK("https://nconnect.nicmar.ac.in/pdf/356_resume_1771588442.pdf/Y2FyZWVy","View Resume")</f>
        <v>0</v>
      </c>
    </row>
    <row r="226" spans="1:97">
      <c r="A226" t="s">
        <v>1116</v>
      </c>
      <c r="B226" t="s">
        <v>98</v>
      </c>
      <c r="C226" t="s">
        <v>99</v>
      </c>
      <c r="D226" t="s">
        <v>1117</v>
      </c>
      <c r="E226" t="s">
        <v>3930</v>
      </c>
      <c r="F226" t="s">
        <v>3931</v>
      </c>
      <c r="G226">
        <v>9405103574</v>
      </c>
      <c r="H226" t="s">
        <v>169</v>
      </c>
      <c r="I226" t="s">
        <v>3932</v>
      </c>
      <c r="J226" t="s">
        <v>105</v>
      </c>
      <c r="K226" t="s">
        <v>526</v>
      </c>
      <c r="L226" t="s">
        <v>3933</v>
      </c>
      <c r="M226" t="s">
        <v>3934</v>
      </c>
      <c r="N226" t="s">
        <v>109</v>
      </c>
      <c r="AI226" t="s">
        <v>3935</v>
      </c>
      <c r="AJ226" t="s">
        <v>3936</v>
      </c>
      <c r="AK226" t="s">
        <v>3937</v>
      </c>
      <c r="AL226">
        <v>73.46</v>
      </c>
      <c r="AN226">
        <v>2000</v>
      </c>
      <c r="AO226" t="s">
        <v>113</v>
      </c>
      <c r="AP226" t="s">
        <v>3938</v>
      </c>
      <c r="AQ226" t="s">
        <v>3936</v>
      </c>
      <c r="AR226" t="s">
        <v>3939</v>
      </c>
      <c r="AS226">
        <v>54.5</v>
      </c>
      <c r="AU226">
        <v>2002</v>
      </c>
      <c r="AV226" t="s">
        <v>109</v>
      </c>
      <c r="BC226" t="s">
        <v>113</v>
      </c>
      <c r="BD226" t="s">
        <v>3940</v>
      </c>
      <c r="BE226" t="s">
        <v>3941</v>
      </c>
      <c r="BF226" t="s">
        <v>3942</v>
      </c>
      <c r="BG226">
        <v>61.81</v>
      </c>
      <c r="BI226">
        <v>2008</v>
      </c>
      <c r="BJ226">
        <v>8</v>
      </c>
      <c r="BL226">
        <v>2</v>
      </c>
      <c r="BN226" t="s">
        <v>113</v>
      </c>
      <c r="BO226" t="s">
        <v>3943</v>
      </c>
      <c r="BP226" t="s">
        <v>3944</v>
      </c>
      <c r="BQ226" t="s">
        <v>3945</v>
      </c>
      <c r="BR226">
        <v>78.5</v>
      </c>
      <c r="BS226">
        <v>7.85</v>
      </c>
      <c r="BT226">
        <v>2010</v>
      </c>
      <c r="BU226">
        <v>24</v>
      </c>
      <c r="BW226">
        <v>53</v>
      </c>
      <c r="BX226" t="s">
        <v>3479</v>
      </c>
      <c r="BY226" t="s">
        <v>109</v>
      </c>
      <c r="CF226" t="s">
        <v>109</v>
      </c>
      <c r="CL226" t="s">
        <v>109</v>
      </c>
      <c r="CN226" t="s">
        <v>113</v>
      </c>
      <c r="CO226" t="s">
        <v>3946</v>
      </c>
      <c r="CP226" t="s">
        <v>3947</v>
      </c>
      <c r="CQ226" t="s">
        <v>3929</v>
      </c>
      <c r="CR226" t="s">
        <v>136</v>
      </c>
      <c r="CS226" t="str">
        <f>HYPERLINK("https://nconnect.nicmar.ac.in/pdf/350_resume_1771588570.pdf/Y2FyZWVy","View Resume")</f>
        <v>0</v>
      </c>
    </row>
    <row r="227" spans="1:97">
      <c r="A227" t="s">
        <v>137</v>
      </c>
      <c r="B227" t="s">
        <v>138</v>
      </c>
      <c r="C227" t="s">
        <v>139</v>
      </c>
      <c r="D227" t="s">
        <v>140</v>
      </c>
      <c r="E227" t="s">
        <v>3948</v>
      </c>
      <c r="F227" t="s">
        <v>3949</v>
      </c>
      <c r="G227">
        <v>9401947128</v>
      </c>
      <c r="H227" t="s">
        <v>103</v>
      </c>
      <c r="I227" t="s">
        <v>3950</v>
      </c>
      <c r="J227" t="s">
        <v>105</v>
      </c>
      <c r="K227" t="s">
        <v>3951</v>
      </c>
      <c r="L227" t="s">
        <v>3952</v>
      </c>
      <c r="M227" t="s">
        <v>3953</v>
      </c>
      <c r="N227" t="s">
        <v>109</v>
      </c>
      <c r="AI227" t="s">
        <v>2877</v>
      </c>
      <c r="AJ227" t="s">
        <v>1231</v>
      </c>
      <c r="AK227" t="s">
        <v>3954</v>
      </c>
      <c r="AL227">
        <v>85.8</v>
      </c>
      <c r="AN227">
        <v>2009</v>
      </c>
      <c r="AO227" t="s">
        <v>113</v>
      </c>
      <c r="AP227" t="s">
        <v>2877</v>
      </c>
      <c r="AQ227" t="s">
        <v>1231</v>
      </c>
      <c r="AR227" t="s">
        <v>3261</v>
      </c>
      <c r="AS227">
        <v>75</v>
      </c>
      <c r="AU227">
        <v>2011</v>
      </c>
      <c r="AV227" t="s">
        <v>109</v>
      </c>
      <c r="BC227" t="s">
        <v>113</v>
      </c>
      <c r="BD227" t="s">
        <v>3955</v>
      </c>
      <c r="BE227" t="s">
        <v>3956</v>
      </c>
      <c r="BF227" t="s">
        <v>309</v>
      </c>
      <c r="BG227">
        <v>66.3</v>
      </c>
      <c r="BI227">
        <v>2015</v>
      </c>
      <c r="BJ227">
        <v>2</v>
      </c>
      <c r="BL227">
        <v>9</v>
      </c>
      <c r="BN227" t="s">
        <v>113</v>
      </c>
      <c r="BO227" t="s">
        <v>3957</v>
      </c>
      <c r="BP227" t="s">
        <v>3957</v>
      </c>
      <c r="BQ227" t="s">
        <v>3958</v>
      </c>
      <c r="BR227">
        <v>87.8</v>
      </c>
      <c r="BS227">
        <v>8.78</v>
      </c>
      <c r="BT227">
        <v>2018</v>
      </c>
      <c r="BU227">
        <v>31</v>
      </c>
      <c r="BV227" t="s">
        <v>3959</v>
      </c>
      <c r="BW227">
        <v>47</v>
      </c>
      <c r="BY227" t="s">
        <v>109</v>
      </c>
      <c r="BZ227" t="s">
        <v>3957</v>
      </c>
      <c r="CA227" t="s">
        <v>3957</v>
      </c>
      <c r="CB227" t="s">
        <v>140</v>
      </c>
      <c r="CC227">
        <v>83.0</v>
      </c>
      <c r="CD227">
        <v>8.3</v>
      </c>
      <c r="CE227">
        <v>2024</v>
      </c>
      <c r="CF227" t="s">
        <v>113</v>
      </c>
      <c r="CG227" t="s">
        <v>140</v>
      </c>
      <c r="CH227" t="s">
        <v>3957</v>
      </c>
      <c r="CI227" t="s">
        <v>132</v>
      </c>
      <c r="CJ227">
        <v>2024</v>
      </c>
      <c r="CL227" t="s">
        <v>109</v>
      </c>
      <c r="CN227" t="s">
        <v>113</v>
      </c>
      <c r="CO227" t="s">
        <v>3960</v>
      </c>
      <c r="CP227" t="s">
        <v>3961</v>
      </c>
      <c r="CQ227" t="s">
        <v>3962</v>
      </c>
      <c r="CR227" t="str">
        <f>HYPERLINK("https://nconnect.nicmar.ac.in/public/storage/profile/6998404fc8015.png","Download")</f>
        <v>0</v>
      </c>
      <c r="CS227" t="str">
        <f>HYPERLINK("https://nconnect.nicmar.ac.in/pdf/368_resume_1771589382.pdf/Y2FyZWVy","View Resume")</f>
        <v>0</v>
      </c>
    </row>
    <row r="228" spans="1:97">
      <c r="A228" t="s">
        <v>223</v>
      </c>
      <c r="B228" t="s">
        <v>138</v>
      </c>
      <c r="C228" t="s">
        <v>165</v>
      </c>
      <c r="D228" t="s">
        <v>224</v>
      </c>
      <c r="E228" t="s">
        <v>3963</v>
      </c>
      <c r="F228" t="s">
        <v>3964</v>
      </c>
      <c r="G228">
        <v>8960130769</v>
      </c>
      <c r="H228" t="s">
        <v>169</v>
      </c>
      <c r="I228" t="s">
        <v>3965</v>
      </c>
      <c r="J228" t="s">
        <v>105</v>
      </c>
      <c r="K228" t="s">
        <v>3966</v>
      </c>
      <c r="L228" t="s">
        <v>3967</v>
      </c>
      <c r="M228" t="s">
        <v>3968</v>
      </c>
      <c r="N228" t="s">
        <v>109</v>
      </c>
      <c r="AI228" t="s">
        <v>3969</v>
      </c>
      <c r="AJ228" t="s">
        <v>3970</v>
      </c>
      <c r="AK228" t="s">
        <v>3971</v>
      </c>
      <c r="AL228">
        <v>95</v>
      </c>
      <c r="AN228">
        <v>2009</v>
      </c>
      <c r="AO228" t="s">
        <v>113</v>
      </c>
      <c r="AP228" t="s">
        <v>3969</v>
      </c>
      <c r="AQ228" t="s">
        <v>3970</v>
      </c>
      <c r="AR228" t="s">
        <v>3972</v>
      </c>
      <c r="AS228">
        <v>78.6</v>
      </c>
      <c r="AU228">
        <v>2011</v>
      </c>
      <c r="AV228" t="s">
        <v>109</v>
      </c>
      <c r="BC228" t="s">
        <v>113</v>
      </c>
      <c r="BD228" t="s">
        <v>1593</v>
      </c>
      <c r="BE228" t="s">
        <v>3973</v>
      </c>
      <c r="BF228" t="s">
        <v>3974</v>
      </c>
      <c r="BG228">
        <v>78</v>
      </c>
      <c r="BH228">
        <v>8.25</v>
      </c>
      <c r="BI228">
        <v>2015</v>
      </c>
      <c r="BJ228">
        <v>19</v>
      </c>
      <c r="BK228" t="s">
        <v>3975</v>
      </c>
      <c r="BL228">
        <v>27</v>
      </c>
      <c r="BN228" t="s">
        <v>113</v>
      </c>
      <c r="BO228" t="s">
        <v>1299</v>
      </c>
      <c r="BP228" t="s">
        <v>3976</v>
      </c>
      <c r="BQ228" t="s">
        <v>3977</v>
      </c>
      <c r="BR228">
        <v>75.6</v>
      </c>
      <c r="BT228">
        <v>2015</v>
      </c>
      <c r="BU228">
        <v>31</v>
      </c>
      <c r="BV228" t="s">
        <v>1387</v>
      </c>
      <c r="BW228">
        <v>53</v>
      </c>
      <c r="BX228" t="s">
        <v>3977</v>
      </c>
      <c r="BY228" t="s">
        <v>109</v>
      </c>
      <c r="CF228" t="s">
        <v>113</v>
      </c>
      <c r="CG228" t="s">
        <v>841</v>
      </c>
      <c r="CH228" t="s">
        <v>3978</v>
      </c>
      <c r="CI228" t="s">
        <v>240</v>
      </c>
      <c r="CK228" t="s">
        <v>113</v>
      </c>
      <c r="CL228" t="s">
        <v>109</v>
      </c>
      <c r="CN228" t="s">
        <v>113</v>
      </c>
      <c r="CO228" t="s">
        <v>3979</v>
      </c>
      <c r="CP228" t="s">
        <v>3980</v>
      </c>
      <c r="CQ228" t="s">
        <v>3981</v>
      </c>
      <c r="CR228" t="s">
        <v>136</v>
      </c>
      <c r="CS228" t="str">
        <f>HYPERLINK("https://nconnect.nicmar.ac.in/pdf/139_resume_1771591790.pdf/Y2FyZWVy","View Resume")</f>
        <v>0</v>
      </c>
    </row>
    <row r="229" spans="1:97">
      <c r="A229" t="s">
        <v>192</v>
      </c>
      <c r="B229" t="s">
        <v>138</v>
      </c>
      <c r="C229" t="s">
        <v>165</v>
      </c>
      <c r="D229" t="s">
        <v>193</v>
      </c>
      <c r="E229" t="s">
        <v>3982</v>
      </c>
      <c r="F229" t="s">
        <v>3983</v>
      </c>
      <c r="G229">
        <v>9960520677</v>
      </c>
      <c r="H229" t="s">
        <v>169</v>
      </c>
      <c r="I229" t="s">
        <v>3984</v>
      </c>
      <c r="J229" t="s">
        <v>144</v>
      </c>
      <c r="K229" t="s">
        <v>484</v>
      </c>
      <c r="L229" t="s">
        <v>3985</v>
      </c>
      <c r="M229" t="s">
        <v>3986</v>
      </c>
      <c r="N229" t="s">
        <v>109</v>
      </c>
      <c r="AI229" t="s">
        <v>3987</v>
      </c>
      <c r="AJ229" t="s">
        <v>3988</v>
      </c>
      <c r="AK229" t="s">
        <v>3989</v>
      </c>
      <c r="AL229">
        <v>54</v>
      </c>
      <c r="AN229">
        <v>1999</v>
      </c>
      <c r="AO229" t="s">
        <v>113</v>
      </c>
      <c r="AP229" t="s">
        <v>3990</v>
      </c>
      <c r="AQ229" t="s">
        <v>3991</v>
      </c>
      <c r="AR229" t="s">
        <v>277</v>
      </c>
      <c r="AS229">
        <v>46</v>
      </c>
      <c r="AU229">
        <v>2002</v>
      </c>
      <c r="AV229" t="s">
        <v>109</v>
      </c>
      <c r="AW229" t="s">
        <v>1281</v>
      </c>
      <c r="AX229" t="s">
        <v>3992</v>
      </c>
      <c r="AY229" t="s">
        <v>3993</v>
      </c>
      <c r="AZ229">
        <v>49</v>
      </c>
      <c r="BB229">
        <v>2008</v>
      </c>
      <c r="BC229" t="s">
        <v>113</v>
      </c>
      <c r="BD229" t="s">
        <v>3994</v>
      </c>
      <c r="BE229" t="s">
        <v>3992</v>
      </c>
      <c r="BF229" t="s">
        <v>3995</v>
      </c>
      <c r="BG229">
        <v>49</v>
      </c>
      <c r="BI229">
        <v>2008</v>
      </c>
      <c r="BJ229">
        <v>19</v>
      </c>
      <c r="BK229" t="s">
        <v>1281</v>
      </c>
      <c r="BL229">
        <v>53</v>
      </c>
      <c r="BM229" t="s">
        <v>2726</v>
      </c>
      <c r="BN229" t="s">
        <v>113</v>
      </c>
      <c r="BO229" t="s">
        <v>3996</v>
      </c>
      <c r="BP229" t="s">
        <v>3997</v>
      </c>
      <c r="BQ229" t="s">
        <v>3998</v>
      </c>
      <c r="BR229">
        <v>75.86</v>
      </c>
      <c r="BT229">
        <v>2010</v>
      </c>
      <c r="BU229">
        <v>31</v>
      </c>
      <c r="BV229" t="s">
        <v>339</v>
      </c>
      <c r="BW229">
        <v>33</v>
      </c>
      <c r="BY229" t="s">
        <v>109</v>
      </c>
      <c r="CF229" t="s">
        <v>113</v>
      </c>
      <c r="CG229" t="s">
        <v>1242</v>
      </c>
      <c r="CH229" t="s">
        <v>3999</v>
      </c>
      <c r="CI229" t="s">
        <v>132</v>
      </c>
      <c r="CJ229">
        <v>2018</v>
      </c>
      <c r="CL229" t="s">
        <v>109</v>
      </c>
      <c r="CN229" t="s">
        <v>113</v>
      </c>
      <c r="CO229" t="s">
        <v>4000</v>
      </c>
      <c r="CP229" t="s">
        <v>4001</v>
      </c>
      <c r="CQ229" t="s">
        <v>4002</v>
      </c>
      <c r="CR229" t="str">
        <f>HYPERLINK("https://nconnect.nicmar.ac.in/public/storage/profile/6998215660cf9.png","Download")</f>
        <v>0</v>
      </c>
      <c r="CS229" t="str">
        <f>HYPERLINK("https://nconnect.nicmar.ac.in/pdf/363_resume_1771591635.pdf/Y2FyZWVy","View Resume")</f>
        <v>0</v>
      </c>
    </row>
    <row r="230" spans="1:97">
      <c r="A230" t="s">
        <v>1183</v>
      </c>
      <c r="B230" t="s">
        <v>318</v>
      </c>
      <c r="C230" t="s">
        <v>99</v>
      </c>
      <c r="D230" t="s">
        <v>1184</v>
      </c>
      <c r="E230" t="s">
        <v>4003</v>
      </c>
      <c r="F230" t="s">
        <v>4004</v>
      </c>
      <c r="G230">
        <v>9819001025</v>
      </c>
      <c r="H230" t="s">
        <v>169</v>
      </c>
      <c r="I230" t="s">
        <v>4005</v>
      </c>
      <c r="J230" t="s">
        <v>105</v>
      </c>
      <c r="K230" t="s">
        <v>4006</v>
      </c>
      <c r="L230" t="s">
        <v>4007</v>
      </c>
      <c r="M230" t="s">
        <v>4008</v>
      </c>
      <c r="N230" t="s">
        <v>109</v>
      </c>
      <c r="AI230" t="s">
        <v>4009</v>
      </c>
      <c r="AJ230" t="s">
        <v>4010</v>
      </c>
      <c r="AK230" t="s">
        <v>4011</v>
      </c>
      <c r="AL230">
        <v>71</v>
      </c>
      <c r="AN230">
        <v>1995</v>
      </c>
      <c r="AO230" t="s">
        <v>113</v>
      </c>
      <c r="AP230" t="s">
        <v>4012</v>
      </c>
      <c r="AQ230" t="s">
        <v>4010</v>
      </c>
      <c r="AR230" t="s">
        <v>4013</v>
      </c>
      <c r="AS230">
        <v>52</v>
      </c>
      <c r="AU230">
        <v>1997</v>
      </c>
      <c r="AV230" t="s">
        <v>113</v>
      </c>
      <c r="AW230" t="s">
        <v>309</v>
      </c>
      <c r="AX230" t="s">
        <v>4014</v>
      </c>
      <c r="AY230" t="s">
        <v>4015</v>
      </c>
      <c r="AZ230">
        <v>78</v>
      </c>
      <c r="BB230">
        <v>1998</v>
      </c>
      <c r="BC230" t="s">
        <v>113</v>
      </c>
      <c r="BD230" t="s">
        <v>4016</v>
      </c>
      <c r="BE230" t="s">
        <v>4017</v>
      </c>
      <c r="BF230" t="s">
        <v>4018</v>
      </c>
      <c r="BG230">
        <v>68</v>
      </c>
      <c r="BI230">
        <v>2003</v>
      </c>
      <c r="BJ230">
        <v>8</v>
      </c>
      <c r="BL230">
        <v>2</v>
      </c>
      <c r="BN230" t="s">
        <v>113</v>
      </c>
      <c r="BO230" t="s">
        <v>1053</v>
      </c>
      <c r="BP230" t="s">
        <v>4019</v>
      </c>
      <c r="BQ230" t="s">
        <v>4020</v>
      </c>
      <c r="BR230">
        <v>80</v>
      </c>
      <c r="BS230">
        <v>7.77</v>
      </c>
      <c r="BT230">
        <v>2006</v>
      </c>
      <c r="BU230">
        <v>31</v>
      </c>
      <c r="BV230" t="s">
        <v>4021</v>
      </c>
      <c r="BW230">
        <v>53</v>
      </c>
      <c r="BX230" t="s">
        <v>4022</v>
      </c>
      <c r="BY230" t="s">
        <v>109</v>
      </c>
      <c r="CF230" t="s">
        <v>113</v>
      </c>
      <c r="CG230" t="s">
        <v>100</v>
      </c>
      <c r="CH230" t="s">
        <v>4023</v>
      </c>
      <c r="CI230" t="s">
        <v>132</v>
      </c>
      <c r="CJ230">
        <v>2025</v>
      </c>
      <c r="CL230" t="s">
        <v>109</v>
      </c>
      <c r="CN230" t="s">
        <v>113</v>
      </c>
      <c r="CO230" t="s">
        <v>4024</v>
      </c>
      <c r="CP230" t="s">
        <v>4025</v>
      </c>
      <c r="CQ230" t="s">
        <v>4026</v>
      </c>
      <c r="CR230" t="str">
        <f>HYPERLINK("https://nconnect.nicmar.ac.in/public/storage/profile/6997f77159e20.png","Download")</f>
        <v>0</v>
      </c>
      <c r="CS230" t="str">
        <f>HYPERLINK("https://nconnect.nicmar.ac.in/pdf/312_resume_1771596245.pdf/Y2FyZWVy","View Resume")</f>
        <v>0</v>
      </c>
    </row>
    <row r="231" spans="1:97">
      <c r="A231" t="s">
        <v>294</v>
      </c>
      <c r="B231" t="s">
        <v>138</v>
      </c>
      <c r="C231" t="s">
        <v>295</v>
      </c>
      <c r="D231" t="s">
        <v>296</v>
      </c>
      <c r="E231" t="s">
        <v>4027</v>
      </c>
      <c r="F231" t="s">
        <v>4028</v>
      </c>
      <c r="G231">
        <v>7757024583</v>
      </c>
      <c r="H231" t="s">
        <v>103</v>
      </c>
      <c r="I231" t="s">
        <v>4029</v>
      </c>
      <c r="J231" t="s">
        <v>105</v>
      </c>
      <c r="K231" t="s">
        <v>272</v>
      </c>
      <c r="L231" t="s">
        <v>4030</v>
      </c>
      <c r="M231" t="s">
        <v>4031</v>
      </c>
      <c r="N231" t="s">
        <v>109</v>
      </c>
      <c r="AI231" t="s">
        <v>4032</v>
      </c>
      <c r="AJ231" t="s">
        <v>4033</v>
      </c>
      <c r="AK231" t="s">
        <v>4034</v>
      </c>
      <c r="AL231">
        <v>60</v>
      </c>
      <c r="AN231">
        <v>1999</v>
      </c>
      <c r="AO231" t="s">
        <v>109</v>
      </c>
      <c r="AV231" t="s">
        <v>113</v>
      </c>
      <c r="AW231" t="s">
        <v>309</v>
      </c>
      <c r="AX231" t="s">
        <v>4035</v>
      </c>
      <c r="AY231" t="s">
        <v>354</v>
      </c>
      <c r="AZ231">
        <v>64.67</v>
      </c>
      <c r="BB231">
        <v>2006</v>
      </c>
      <c r="BC231" t="s">
        <v>113</v>
      </c>
      <c r="BD231" t="s">
        <v>4036</v>
      </c>
      <c r="BE231" t="s">
        <v>4037</v>
      </c>
      <c r="BF231" t="s">
        <v>309</v>
      </c>
      <c r="BG231">
        <v>61.93</v>
      </c>
      <c r="BI231">
        <v>2009</v>
      </c>
      <c r="BJ231">
        <v>2</v>
      </c>
      <c r="BL231">
        <v>9</v>
      </c>
      <c r="BN231" t="s">
        <v>113</v>
      </c>
      <c r="BO231" t="s">
        <v>4036</v>
      </c>
      <c r="BP231" t="s">
        <v>4038</v>
      </c>
      <c r="BQ231" t="s">
        <v>2043</v>
      </c>
      <c r="BR231">
        <v>70.5</v>
      </c>
      <c r="BT231">
        <v>2014</v>
      </c>
      <c r="BU231">
        <v>14</v>
      </c>
      <c r="BW231">
        <v>47</v>
      </c>
      <c r="BY231" t="s">
        <v>109</v>
      </c>
      <c r="CF231" t="s">
        <v>113</v>
      </c>
      <c r="CG231" t="s">
        <v>4039</v>
      </c>
      <c r="CH231" t="s">
        <v>4040</v>
      </c>
      <c r="CI231" t="s">
        <v>132</v>
      </c>
      <c r="CJ231">
        <v>2024</v>
      </c>
      <c r="CL231" t="s">
        <v>113</v>
      </c>
      <c r="CM231" t="s">
        <v>4041</v>
      </c>
      <c r="CN231" t="s">
        <v>109</v>
      </c>
      <c r="CP231" t="s">
        <v>4042</v>
      </c>
      <c r="CQ231" t="s">
        <v>4043</v>
      </c>
      <c r="CR231" t="str">
        <f>HYPERLINK("https://nconnect.nicmar.ac.in/public/storage/profile/69981b278ea8b.png","Download")</f>
        <v>0</v>
      </c>
      <c r="CS231" t="str">
        <f>HYPERLINK("https://nconnect.nicmar.ac.in/pdf/344_resume_1771595659.pdf/Y2FyZWVy","View Resume")</f>
        <v>0</v>
      </c>
    </row>
    <row r="232" spans="1:97">
      <c r="A232" t="s">
        <v>294</v>
      </c>
      <c r="B232" t="s">
        <v>138</v>
      </c>
      <c r="C232" t="s">
        <v>295</v>
      </c>
      <c r="D232" t="s">
        <v>296</v>
      </c>
      <c r="E232" t="s">
        <v>4044</v>
      </c>
      <c r="F232" t="s">
        <v>4045</v>
      </c>
      <c r="G232">
        <v>7807326550</v>
      </c>
      <c r="H232" t="s">
        <v>103</v>
      </c>
      <c r="I232" t="s">
        <v>4046</v>
      </c>
      <c r="J232" t="s">
        <v>105</v>
      </c>
      <c r="K232" t="s">
        <v>1494</v>
      </c>
      <c r="L232" t="s">
        <v>4047</v>
      </c>
      <c r="M232" t="s">
        <v>4048</v>
      </c>
      <c r="N232" t="s">
        <v>109</v>
      </c>
      <c r="AI232" t="s">
        <v>4049</v>
      </c>
      <c r="AJ232" t="s">
        <v>1231</v>
      </c>
      <c r="AK232" t="s">
        <v>4050</v>
      </c>
      <c r="AL232">
        <v>90</v>
      </c>
      <c r="AM232">
        <v>9.0</v>
      </c>
      <c r="AN232">
        <v>2013</v>
      </c>
      <c r="AO232" t="s">
        <v>113</v>
      </c>
      <c r="AP232" t="s">
        <v>4051</v>
      </c>
      <c r="AQ232" t="s">
        <v>1231</v>
      </c>
      <c r="AR232" t="s">
        <v>4052</v>
      </c>
      <c r="AS232">
        <v>82</v>
      </c>
      <c r="AU232">
        <v>2013</v>
      </c>
      <c r="AV232" t="s">
        <v>109</v>
      </c>
      <c r="BC232" t="s">
        <v>113</v>
      </c>
      <c r="BD232" t="s">
        <v>4053</v>
      </c>
      <c r="BE232" t="s">
        <v>4054</v>
      </c>
      <c r="BF232" t="s">
        <v>309</v>
      </c>
      <c r="BG232">
        <v>96.8</v>
      </c>
      <c r="BH232">
        <v>9.68</v>
      </c>
      <c r="BI232">
        <v>2017</v>
      </c>
      <c r="BJ232">
        <v>1</v>
      </c>
      <c r="BL232">
        <v>9</v>
      </c>
      <c r="BN232" t="s">
        <v>113</v>
      </c>
      <c r="BO232" t="s">
        <v>2406</v>
      </c>
      <c r="BP232" t="s">
        <v>4055</v>
      </c>
      <c r="BQ232" t="s">
        <v>3529</v>
      </c>
      <c r="BR232">
        <v>87.9</v>
      </c>
      <c r="BS232">
        <v>8.79</v>
      </c>
      <c r="BT232">
        <v>2021</v>
      </c>
      <c r="BU232">
        <v>31</v>
      </c>
      <c r="BV232" t="s">
        <v>4056</v>
      </c>
      <c r="BW232">
        <v>50</v>
      </c>
      <c r="BY232" t="s">
        <v>109</v>
      </c>
      <c r="BZ232" t="s">
        <v>2406</v>
      </c>
      <c r="CA232" t="s">
        <v>4055</v>
      </c>
      <c r="CB232" t="s">
        <v>1350</v>
      </c>
      <c r="CF232" t="s">
        <v>113</v>
      </c>
      <c r="CG232" t="s">
        <v>1350</v>
      </c>
      <c r="CH232" t="s">
        <v>2406</v>
      </c>
      <c r="CI232" t="s">
        <v>240</v>
      </c>
      <c r="CK232" t="s">
        <v>113</v>
      </c>
      <c r="CL232" t="s">
        <v>113</v>
      </c>
      <c r="CM232" t="s">
        <v>4057</v>
      </c>
      <c r="CN232" t="s">
        <v>113</v>
      </c>
      <c r="CO232" t="s">
        <v>4058</v>
      </c>
      <c r="CP232" t="s">
        <v>4059</v>
      </c>
      <c r="CQ232" t="s">
        <v>4060</v>
      </c>
      <c r="CR232" t="s">
        <v>136</v>
      </c>
      <c r="CS232" t="str">
        <f>HYPERLINK("https://nconnect.nicmar.ac.in/pdf/384_resume_1771598413.pdf/Y2FyZWVy","View Resume")</f>
        <v>0</v>
      </c>
    </row>
    <row r="233" spans="1:97">
      <c r="A233" t="s">
        <v>317</v>
      </c>
      <c r="B233" t="s">
        <v>318</v>
      </c>
      <c r="C233" t="s">
        <v>165</v>
      </c>
      <c r="D233" t="s">
        <v>319</v>
      </c>
      <c r="E233" t="s">
        <v>4061</v>
      </c>
      <c r="F233" t="s">
        <v>4062</v>
      </c>
      <c r="G233">
        <v>9920697494</v>
      </c>
      <c r="H233" t="s">
        <v>169</v>
      </c>
      <c r="I233" t="s">
        <v>4063</v>
      </c>
      <c r="J233" t="s">
        <v>105</v>
      </c>
      <c r="K233" t="s">
        <v>440</v>
      </c>
      <c r="L233" t="s">
        <v>4064</v>
      </c>
      <c r="M233" t="s">
        <v>4065</v>
      </c>
      <c r="N233" t="s">
        <v>109</v>
      </c>
      <c r="AI233" t="s">
        <v>4066</v>
      </c>
      <c r="AJ233" t="s">
        <v>3044</v>
      </c>
      <c r="AK233" t="s">
        <v>4067</v>
      </c>
      <c r="AL233">
        <v>86.14</v>
      </c>
      <c r="AN233">
        <v>1992</v>
      </c>
      <c r="AO233" t="s">
        <v>113</v>
      </c>
      <c r="AP233" t="s">
        <v>4068</v>
      </c>
      <c r="AQ233" t="s">
        <v>3044</v>
      </c>
      <c r="AR233" t="s">
        <v>4069</v>
      </c>
      <c r="AS233">
        <v>70.67</v>
      </c>
      <c r="AU233">
        <v>1994</v>
      </c>
      <c r="AV233" t="s">
        <v>109</v>
      </c>
      <c r="BC233" t="s">
        <v>113</v>
      </c>
      <c r="BD233" t="s">
        <v>4068</v>
      </c>
      <c r="BE233" t="s">
        <v>3044</v>
      </c>
      <c r="BF233" t="s">
        <v>4070</v>
      </c>
      <c r="BG233">
        <v>65</v>
      </c>
      <c r="BI233">
        <v>1997</v>
      </c>
      <c r="BJ233">
        <v>19</v>
      </c>
      <c r="BK233" t="s">
        <v>4071</v>
      </c>
      <c r="BL233">
        <v>53</v>
      </c>
      <c r="BM233" t="s">
        <v>4072</v>
      </c>
      <c r="BN233" t="s">
        <v>113</v>
      </c>
      <c r="BO233" t="s">
        <v>4073</v>
      </c>
      <c r="BP233" t="s">
        <v>3044</v>
      </c>
      <c r="BQ233" t="s">
        <v>4074</v>
      </c>
      <c r="BR233">
        <v>62.25</v>
      </c>
      <c r="BT233">
        <v>2000</v>
      </c>
      <c r="BU233">
        <v>31</v>
      </c>
      <c r="BV233" t="s">
        <v>4075</v>
      </c>
      <c r="BW233">
        <v>53</v>
      </c>
      <c r="BX233" t="s">
        <v>4072</v>
      </c>
      <c r="BY233" t="s">
        <v>109</v>
      </c>
      <c r="CF233" t="s">
        <v>113</v>
      </c>
      <c r="CG233" t="s">
        <v>1793</v>
      </c>
      <c r="CH233" t="s">
        <v>4076</v>
      </c>
      <c r="CI233" t="s">
        <v>132</v>
      </c>
      <c r="CJ233">
        <v>2018</v>
      </c>
      <c r="CL233" t="s">
        <v>113</v>
      </c>
      <c r="CM233" t="s">
        <v>4077</v>
      </c>
      <c r="CN233" t="s">
        <v>113</v>
      </c>
      <c r="CO233" t="s">
        <v>4078</v>
      </c>
      <c r="CP233" t="s">
        <v>267</v>
      </c>
      <c r="CQ233" t="s">
        <v>4079</v>
      </c>
      <c r="CR233" t="s">
        <v>136</v>
      </c>
      <c r="CS233" t="str">
        <f>HYPERLINK("https://nconnect.nicmar.ac.in/pdf/385_resume_1771599371.pdf/Y2FyZWVy","View Resume")</f>
        <v>0</v>
      </c>
    </row>
    <row r="234" spans="1:97">
      <c r="A234" t="s">
        <v>3528</v>
      </c>
      <c r="B234" t="s">
        <v>318</v>
      </c>
      <c r="C234" t="s">
        <v>99</v>
      </c>
      <c r="D234" t="s">
        <v>3529</v>
      </c>
      <c r="E234" t="s">
        <v>4003</v>
      </c>
      <c r="F234" t="s">
        <v>4004</v>
      </c>
      <c r="G234">
        <v>9819001025</v>
      </c>
      <c r="H234" t="s">
        <v>169</v>
      </c>
      <c r="I234" t="s">
        <v>4005</v>
      </c>
      <c r="J234" t="s">
        <v>105</v>
      </c>
      <c r="K234" t="s">
        <v>4006</v>
      </c>
      <c r="L234" t="s">
        <v>4007</v>
      </c>
      <c r="M234" t="s">
        <v>4008</v>
      </c>
      <c r="N234" t="s">
        <v>109</v>
      </c>
      <c r="AI234" t="s">
        <v>4009</v>
      </c>
      <c r="AJ234" t="s">
        <v>4010</v>
      </c>
      <c r="AK234" t="s">
        <v>4011</v>
      </c>
      <c r="AL234">
        <v>71</v>
      </c>
      <c r="AN234">
        <v>1995</v>
      </c>
      <c r="AO234" t="s">
        <v>113</v>
      </c>
      <c r="AP234" t="s">
        <v>4012</v>
      </c>
      <c r="AQ234" t="s">
        <v>4010</v>
      </c>
      <c r="AR234" t="s">
        <v>4013</v>
      </c>
      <c r="AS234">
        <v>52</v>
      </c>
      <c r="AU234">
        <v>1997</v>
      </c>
      <c r="AV234" t="s">
        <v>113</v>
      </c>
      <c r="AW234" t="s">
        <v>309</v>
      </c>
      <c r="AX234" t="s">
        <v>4014</v>
      </c>
      <c r="AY234" t="s">
        <v>4015</v>
      </c>
      <c r="AZ234">
        <v>78</v>
      </c>
      <c r="BB234">
        <v>1998</v>
      </c>
      <c r="BC234" t="s">
        <v>113</v>
      </c>
      <c r="BD234" t="s">
        <v>4016</v>
      </c>
      <c r="BE234" t="s">
        <v>4017</v>
      </c>
      <c r="BF234" t="s">
        <v>4018</v>
      </c>
      <c r="BG234">
        <v>68</v>
      </c>
      <c r="BI234">
        <v>2003</v>
      </c>
      <c r="BJ234">
        <v>8</v>
      </c>
      <c r="BL234">
        <v>2</v>
      </c>
      <c r="BN234" t="s">
        <v>113</v>
      </c>
      <c r="BO234" t="s">
        <v>1053</v>
      </c>
      <c r="BP234" t="s">
        <v>4019</v>
      </c>
      <c r="BQ234" t="s">
        <v>4020</v>
      </c>
      <c r="BR234">
        <v>80</v>
      </c>
      <c r="BS234">
        <v>7.77</v>
      </c>
      <c r="BT234">
        <v>2006</v>
      </c>
      <c r="BU234">
        <v>31</v>
      </c>
      <c r="BV234" t="s">
        <v>4021</v>
      </c>
      <c r="BW234">
        <v>53</v>
      </c>
      <c r="BX234" t="s">
        <v>4022</v>
      </c>
      <c r="BY234" t="s">
        <v>109</v>
      </c>
      <c r="CF234" t="s">
        <v>113</v>
      </c>
      <c r="CG234" t="s">
        <v>100</v>
      </c>
      <c r="CH234" t="s">
        <v>4023</v>
      </c>
      <c r="CI234" t="s">
        <v>132</v>
      </c>
      <c r="CJ234">
        <v>2025</v>
      </c>
      <c r="CL234" t="s">
        <v>109</v>
      </c>
      <c r="CN234" t="s">
        <v>113</v>
      </c>
      <c r="CO234" t="s">
        <v>4024</v>
      </c>
      <c r="CP234" t="s">
        <v>4025</v>
      </c>
      <c r="CQ234" t="s">
        <v>4080</v>
      </c>
      <c r="CR234" t="str">
        <f>HYPERLINK("https://nconnect.nicmar.ac.in/public/storage/profile/6997f77159e20.png","Download")</f>
        <v>0</v>
      </c>
      <c r="CS234" t="str">
        <f>HYPERLINK("https://nconnect.nicmar.ac.in/pdf/312_resume_1771596245.pdf/Y2FyZWVy","View Resume")</f>
        <v>0</v>
      </c>
    </row>
    <row r="235" spans="1:97">
      <c r="A235" t="s">
        <v>1116</v>
      </c>
      <c r="B235" t="s">
        <v>98</v>
      </c>
      <c r="C235" t="s">
        <v>99</v>
      </c>
      <c r="D235" t="s">
        <v>1117</v>
      </c>
      <c r="E235" t="s">
        <v>4003</v>
      </c>
      <c r="F235" t="s">
        <v>4004</v>
      </c>
      <c r="G235">
        <v>9819001025</v>
      </c>
      <c r="H235" t="s">
        <v>169</v>
      </c>
      <c r="I235" t="s">
        <v>4005</v>
      </c>
      <c r="J235" t="s">
        <v>105</v>
      </c>
      <c r="K235" t="s">
        <v>4006</v>
      </c>
      <c r="L235" t="s">
        <v>4007</v>
      </c>
      <c r="M235" t="s">
        <v>4008</v>
      </c>
      <c r="N235" t="s">
        <v>109</v>
      </c>
      <c r="AI235" t="s">
        <v>4009</v>
      </c>
      <c r="AJ235" t="s">
        <v>4010</v>
      </c>
      <c r="AK235" t="s">
        <v>4011</v>
      </c>
      <c r="AL235">
        <v>71</v>
      </c>
      <c r="AN235">
        <v>1995</v>
      </c>
      <c r="AO235" t="s">
        <v>113</v>
      </c>
      <c r="AP235" t="s">
        <v>4012</v>
      </c>
      <c r="AQ235" t="s">
        <v>4010</v>
      </c>
      <c r="AR235" t="s">
        <v>4013</v>
      </c>
      <c r="AS235">
        <v>52</v>
      </c>
      <c r="AU235">
        <v>1997</v>
      </c>
      <c r="AV235" t="s">
        <v>113</v>
      </c>
      <c r="AW235" t="s">
        <v>309</v>
      </c>
      <c r="AX235" t="s">
        <v>4014</v>
      </c>
      <c r="AY235" t="s">
        <v>4015</v>
      </c>
      <c r="AZ235">
        <v>78</v>
      </c>
      <c r="BB235">
        <v>1998</v>
      </c>
      <c r="BC235" t="s">
        <v>113</v>
      </c>
      <c r="BD235" t="s">
        <v>4016</v>
      </c>
      <c r="BE235" t="s">
        <v>4017</v>
      </c>
      <c r="BF235" t="s">
        <v>4018</v>
      </c>
      <c r="BG235">
        <v>68</v>
      </c>
      <c r="BI235">
        <v>2003</v>
      </c>
      <c r="BJ235">
        <v>8</v>
      </c>
      <c r="BL235">
        <v>2</v>
      </c>
      <c r="BN235" t="s">
        <v>113</v>
      </c>
      <c r="BO235" t="s">
        <v>1053</v>
      </c>
      <c r="BP235" t="s">
        <v>4019</v>
      </c>
      <c r="BQ235" t="s">
        <v>4020</v>
      </c>
      <c r="BR235">
        <v>80</v>
      </c>
      <c r="BS235">
        <v>7.77</v>
      </c>
      <c r="BT235">
        <v>2006</v>
      </c>
      <c r="BU235">
        <v>31</v>
      </c>
      <c r="BV235" t="s">
        <v>4021</v>
      </c>
      <c r="BW235">
        <v>53</v>
      </c>
      <c r="BX235" t="s">
        <v>4022</v>
      </c>
      <c r="BY235" t="s">
        <v>109</v>
      </c>
      <c r="CF235" t="s">
        <v>113</v>
      </c>
      <c r="CG235" t="s">
        <v>100</v>
      </c>
      <c r="CH235" t="s">
        <v>4023</v>
      </c>
      <c r="CI235" t="s">
        <v>132</v>
      </c>
      <c r="CJ235">
        <v>2025</v>
      </c>
      <c r="CL235" t="s">
        <v>109</v>
      </c>
      <c r="CN235" t="s">
        <v>113</v>
      </c>
      <c r="CO235" t="s">
        <v>4024</v>
      </c>
      <c r="CP235" t="s">
        <v>4025</v>
      </c>
      <c r="CQ235" t="s">
        <v>4081</v>
      </c>
      <c r="CR235" t="str">
        <f>HYPERLINK("https://nconnect.nicmar.ac.in/public/storage/profile/6997f77159e20.png","Download")</f>
        <v>0</v>
      </c>
      <c r="CS235" t="str">
        <f>HYPERLINK("https://nconnect.nicmar.ac.in/pdf/312_resume_1771596245.pdf/Y2FyZWVy","View Resume")</f>
        <v>0</v>
      </c>
    </row>
    <row r="236" spans="1:97">
      <c r="A236" t="s">
        <v>164</v>
      </c>
      <c r="B236" t="s">
        <v>138</v>
      </c>
      <c r="C236" t="s">
        <v>165</v>
      </c>
      <c r="D236" t="s">
        <v>166</v>
      </c>
      <c r="E236" t="s">
        <v>4082</v>
      </c>
      <c r="F236" t="s">
        <v>4083</v>
      </c>
      <c r="G236">
        <v>9458606284</v>
      </c>
      <c r="H236" t="s">
        <v>103</v>
      </c>
      <c r="I236" t="s">
        <v>4084</v>
      </c>
      <c r="J236" t="s">
        <v>105</v>
      </c>
      <c r="K236" t="s">
        <v>4085</v>
      </c>
      <c r="L236" t="s">
        <v>4086</v>
      </c>
      <c r="M236" t="s">
        <v>4087</v>
      </c>
      <c r="N236" t="s">
        <v>109</v>
      </c>
      <c r="AI236" t="s">
        <v>4088</v>
      </c>
      <c r="AJ236" t="s">
        <v>4089</v>
      </c>
      <c r="AK236" t="s">
        <v>4090</v>
      </c>
      <c r="AL236">
        <v>52</v>
      </c>
      <c r="AN236">
        <v>1986</v>
      </c>
      <c r="AO236" t="s">
        <v>113</v>
      </c>
      <c r="AP236" t="s">
        <v>4091</v>
      </c>
      <c r="AQ236" t="s">
        <v>4092</v>
      </c>
      <c r="AR236" t="s">
        <v>4093</v>
      </c>
      <c r="AS236">
        <v>44</v>
      </c>
      <c r="AU236">
        <v>1988</v>
      </c>
      <c r="AV236" t="s">
        <v>109</v>
      </c>
      <c r="BC236" t="s">
        <v>113</v>
      </c>
      <c r="BD236" t="s">
        <v>4094</v>
      </c>
      <c r="BE236" t="s">
        <v>4094</v>
      </c>
      <c r="BF236" t="s">
        <v>1047</v>
      </c>
      <c r="BG236">
        <v>52</v>
      </c>
      <c r="BI236">
        <v>1997</v>
      </c>
      <c r="BJ236">
        <v>19</v>
      </c>
      <c r="BK236" t="s">
        <v>4095</v>
      </c>
      <c r="BL236">
        <v>53</v>
      </c>
      <c r="BM236" t="s">
        <v>4096</v>
      </c>
      <c r="BN236" t="s">
        <v>113</v>
      </c>
      <c r="BO236" t="s">
        <v>4097</v>
      </c>
      <c r="BP236" t="s">
        <v>4098</v>
      </c>
      <c r="BQ236" t="s">
        <v>4099</v>
      </c>
      <c r="BR236">
        <v>94.7</v>
      </c>
      <c r="BS236">
        <v>9.47</v>
      </c>
      <c r="BT236">
        <v>2004</v>
      </c>
      <c r="BU236">
        <v>31</v>
      </c>
      <c r="BV236" t="s">
        <v>4100</v>
      </c>
      <c r="BW236">
        <v>32</v>
      </c>
      <c r="BY236" t="s">
        <v>109</v>
      </c>
      <c r="CF236" t="s">
        <v>113</v>
      </c>
      <c r="CG236" t="s">
        <v>4101</v>
      </c>
      <c r="CH236" t="s">
        <v>4102</v>
      </c>
      <c r="CI236" t="s">
        <v>132</v>
      </c>
      <c r="CJ236">
        <v>2012</v>
      </c>
      <c r="CL236" t="s">
        <v>113</v>
      </c>
      <c r="CM236" t="s">
        <v>4103</v>
      </c>
      <c r="CN236" t="s">
        <v>113</v>
      </c>
      <c r="CO236" t="s">
        <v>4104</v>
      </c>
      <c r="CP236" t="s">
        <v>4105</v>
      </c>
      <c r="CQ236" t="s">
        <v>4106</v>
      </c>
      <c r="CR236" t="s">
        <v>136</v>
      </c>
      <c r="CS236" t="str">
        <f>HYPERLINK("https://nconnect.nicmar.ac.in/pdf/388_resume_1771602657.pdf/Y2FyZWVy","View Resume")</f>
        <v>0</v>
      </c>
    </row>
    <row r="237" spans="1:97">
      <c r="A237" t="s">
        <v>137</v>
      </c>
      <c r="B237" t="s">
        <v>138</v>
      </c>
      <c r="C237" t="s">
        <v>139</v>
      </c>
      <c r="D237" t="s">
        <v>140</v>
      </c>
      <c r="E237" t="s">
        <v>4107</v>
      </c>
      <c r="F237" t="s">
        <v>4108</v>
      </c>
      <c r="G237">
        <v>9981320732</v>
      </c>
      <c r="H237" t="s">
        <v>103</v>
      </c>
      <c r="I237" t="s">
        <v>4109</v>
      </c>
      <c r="J237" t="s">
        <v>144</v>
      </c>
      <c r="K237" t="s">
        <v>4110</v>
      </c>
      <c r="L237" t="s">
        <v>4111</v>
      </c>
      <c r="M237" t="s">
        <v>4112</v>
      </c>
      <c r="N237" t="s">
        <v>109</v>
      </c>
      <c r="AI237" t="s">
        <v>4113</v>
      </c>
      <c r="AJ237" t="s">
        <v>4114</v>
      </c>
      <c r="AK237" t="s">
        <v>4115</v>
      </c>
      <c r="AL237">
        <v>77.2</v>
      </c>
      <c r="AN237">
        <v>2007</v>
      </c>
      <c r="AO237" t="s">
        <v>113</v>
      </c>
      <c r="AP237" t="s">
        <v>4113</v>
      </c>
      <c r="AQ237" t="s">
        <v>4114</v>
      </c>
      <c r="AR237" t="s">
        <v>668</v>
      </c>
      <c r="AS237">
        <v>76.8</v>
      </c>
      <c r="AU237">
        <v>2009</v>
      </c>
      <c r="AV237" t="s">
        <v>109</v>
      </c>
      <c r="BC237" t="s">
        <v>113</v>
      </c>
      <c r="BD237" t="s">
        <v>4116</v>
      </c>
      <c r="BE237" t="s">
        <v>4117</v>
      </c>
      <c r="BF237" t="s">
        <v>309</v>
      </c>
      <c r="BG237">
        <v>74.53</v>
      </c>
      <c r="BI237">
        <v>2013</v>
      </c>
      <c r="BJ237">
        <v>2</v>
      </c>
      <c r="BL237">
        <v>9</v>
      </c>
      <c r="BN237" t="s">
        <v>113</v>
      </c>
      <c r="BO237" t="s">
        <v>4116</v>
      </c>
      <c r="BP237" t="s">
        <v>4118</v>
      </c>
      <c r="BQ237" t="s">
        <v>140</v>
      </c>
      <c r="BR237">
        <v>81.7</v>
      </c>
      <c r="BS237">
        <v>8.17</v>
      </c>
      <c r="BT237">
        <v>2016</v>
      </c>
      <c r="BU237">
        <v>14</v>
      </c>
      <c r="BW237">
        <v>47</v>
      </c>
      <c r="BY237" t="s">
        <v>109</v>
      </c>
      <c r="CF237" t="s">
        <v>113</v>
      </c>
      <c r="CG237" t="s">
        <v>140</v>
      </c>
      <c r="CH237" t="s">
        <v>4119</v>
      </c>
      <c r="CI237" t="s">
        <v>132</v>
      </c>
      <c r="CJ237">
        <v>2022</v>
      </c>
      <c r="CL237" t="s">
        <v>109</v>
      </c>
      <c r="CN237" t="s">
        <v>113</v>
      </c>
      <c r="CO237" t="s">
        <v>4120</v>
      </c>
      <c r="CP237" t="s">
        <v>4121</v>
      </c>
      <c r="CQ237" t="s">
        <v>4122</v>
      </c>
      <c r="CR237" t="str">
        <f>HYPERLINK("https://nconnect.nicmar.ac.in/public/storage/profile/699878afe5346.png","Download")</f>
        <v>0</v>
      </c>
      <c r="CS237" t="str">
        <f>HYPERLINK("https://nconnect.nicmar.ac.in/pdf/390_resume_1771602758.pdf/Y2FyZWVy","View Resume")</f>
        <v>0</v>
      </c>
    </row>
    <row r="238" spans="1:97">
      <c r="A238" t="s">
        <v>317</v>
      </c>
      <c r="B238" t="s">
        <v>318</v>
      </c>
      <c r="C238" t="s">
        <v>165</v>
      </c>
      <c r="D238" t="s">
        <v>319</v>
      </c>
      <c r="E238" t="s">
        <v>4123</v>
      </c>
      <c r="F238" t="s">
        <v>4124</v>
      </c>
      <c r="G238">
        <v>9921052717</v>
      </c>
      <c r="H238" t="s">
        <v>103</v>
      </c>
      <c r="I238" t="s">
        <v>4125</v>
      </c>
      <c r="J238" t="s">
        <v>144</v>
      </c>
      <c r="K238" t="s">
        <v>484</v>
      </c>
      <c r="L238" t="s">
        <v>4126</v>
      </c>
      <c r="M238" t="s">
        <v>4127</v>
      </c>
      <c r="N238" t="s">
        <v>109</v>
      </c>
      <c r="AI238" t="s">
        <v>4128</v>
      </c>
      <c r="AJ238" t="s">
        <v>4129</v>
      </c>
      <c r="AK238" t="s">
        <v>4130</v>
      </c>
      <c r="AL238">
        <v>60</v>
      </c>
      <c r="AN238">
        <v>2006</v>
      </c>
      <c r="AO238" t="s">
        <v>113</v>
      </c>
      <c r="AP238" t="s">
        <v>4131</v>
      </c>
      <c r="AQ238" t="s">
        <v>4129</v>
      </c>
      <c r="AR238" t="s">
        <v>384</v>
      </c>
      <c r="AS238">
        <v>74</v>
      </c>
      <c r="AU238">
        <v>2008</v>
      </c>
      <c r="AV238" t="s">
        <v>109</v>
      </c>
      <c r="BC238" t="s">
        <v>113</v>
      </c>
      <c r="BD238" t="s">
        <v>4132</v>
      </c>
      <c r="BE238" t="s">
        <v>4133</v>
      </c>
      <c r="BF238" t="s">
        <v>384</v>
      </c>
      <c r="BG238">
        <v>70</v>
      </c>
      <c r="BI238">
        <v>2011</v>
      </c>
      <c r="BJ238">
        <v>19</v>
      </c>
      <c r="BK238" t="s">
        <v>4134</v>
      </c>
      <c r="BL238">
        <v>53</v>
      </c>
      <c r="BM238" t="s">
        <v>384</v>
      </c>
      <c r="BN238" t="s">
        <v>113</v>
      </c>
      <c r="BO238" t="s">
        <v>4133</v>
      </c>
      <c r="BP238" t="s">
        <v>4133</v>
      </c>
      <c r="BQ238" t="s">
        <v>384</v>
      </c>
      <c r="BR238">
        <v>66</v>
      </c>
      <c r="BT238">
        <v>2013</v>
      </c>
      <c r="BU238">
        <v>31</v>
      </c>
      <c r="BV238" t="s">
        <v>4135</v>
      </c>
      <c r="BW238">
        <v>53</v>
      </c>
      <c r="BX238" t="s">
        <v>1769</v>
      </c>
      <c r="BY238" t="s">
        <v>109</v>
      </c>
      <c r="CF238" t="s">
        <v>113</v>
      </c>
      <c r="CG238" t="s">
        <v>384</v>
      </c>
      <c r="CH238" t="s">
        <v>4136</v>
      </c>
      <c r="CI238" t="s">
        <v>132</v>
      </c>
      <c r="CJ238">
        <v>2020</v>
      </c>
      <c r="CL238" t="s">
        <v>109</v>
      </c>
      <c r="CN238" t="s">
        <v>113</v>
      </c>
      <c r="CO238" t="s">
        <v>4137</v>
      </c>
      <c r="CP238" t="s">
        <v>397</v>
      </c>
      <c r="CQ238" t="s">
        <v>4138</v>
      </c>
      <c r="CR238" t="s">
        <v>136</v>
      </c>
      <c r="CS238" t="str">
        <f>HYPERLINK("https://nconnect.nicmar.ac.in/pdf/392_resume_1771603368.pdf/Y2FyZWVy","View Resume")</f>
        <v>0</v>
      </c>
    </row>
    <row r="239" spans="1:97">
      <c r="A239" t="s">
        <v>846</v>
      </c>
      <c r="B239" t="s">
        <v>138</v>
      </c>
      <c r="C239" t="s">
        <v>165</v>
      </c>
      <c r="D239" t="s">
        <v>847</v>
      </c>
      <c r="E239" t="s">
        <v>4139</v>
      </c>
      <c r="F239" t="s">
        <v>4140</v>
      </c>
      <c r="G239">
        <v>9601131110</v>
      </c>
      <c r="H239" t="s">
        <v>103</v>
      </c>
      <c r="I239" t="s">
        <v>4141</v>
      </c>
      <c r="J239" t="s">
        <v>144</v>
      </c>
      <c r="K239" t="s">
        <v>4142</v>
      </c>
      <c r="L239" t="s">
        <v>4143</v>
      </c>
      <c r="M239" t="s">
        <v>4144</v>
      </c>
      <c r="N239" t="s">
        <v>109</v>
      </c>
      <c r="AI239" t="s">
        <v>4145</v>
      </c>
      <c r="AJ239" t="s">
        <v>4146</v>
      </c>
      <c r="AK239" t="s">
        <v>4147</v>
      </c>
      <c r="AL239">
        <v>71</v>
      </c>
      <c r="AM239">
        <v>7</v>
      </c>
      <c r="AN239">
        <v>2012</v>
      </c>
      <c r="AO239" t="s">
        <v>113</v>
      </c>
      <c r="AP239" t="s">
        <v>4148</v>
      </c>
      <c r="AQ239" t="s">
        <v>4146</v>
      </c>
      <c r="AR239" t="s">
        <v>1477</v>
      </c>
      <c r="AS239">
        <v>70</v>
      </c>
      <c r="AT239">
        <v>7</v>
      </c>
      <c r="AU239">
        <v>2014</v>
      </c>
      <c r="AV239" t="s">
        <v>109</v>
      </c>
      <c r="BC239" t="s">
        <v>113</v>
      </c>
      <c r="BD239" t="s">
        <v>279</v>
      </c>
      <c r="BE239" t="s">
        <v>4149</v>
      </c>
      <c r="BF239" t="s">
        <v>1131</v>
      </c>
      <c r="BG239">
        <v>80</v>
      </c>
      <c r="BH239">
        <v>8</v>
      </c>
      <c r="BI239">
        <v>2021</v>
      </c>
      <c r="BJ239">
        <v>8</v>
      </c>
      <c r="BL239">
        <v>3</v>
      </c>
      <c r="BN239" t="s">
        <v>113</v>
      </c>
      <c r="BO239" t="s">
        <v>4150</v>
      </c>
      <c r="BP239" t="s">
        <v>4151</v>
      </c>
      <c r="BQ239" t="s">
        <v>4152</v>
      </c>
      <c r="BR239">
        <v>75</v>
      </c>
      <c r="BS239">
        <v>7.5</v>
      </c>
      <c r="BT239">
        <v>2024</v>
      </c>
      <c r="BU239">
        <v>31</v>
      </c>
      <c r="BV239" t="s">
        <v>4153</v>
      </c>
      <c r="BW239">
        <v>53</v>
      </c>
      <c r="BX239" t="s">
        <v>4152</v>
      </c>
      <c r="BY239" t="s">
        <v>109</v>
      </c>
      <c r="CF239" t="s">
        <v>109</v>
      </c>
      <c r="CG239" t="s">
        <v>4154</v>
      </c>
      <c r="CI239" t="s">
        <v>240</v>
      </c>
      <c r="CK239" t="s">
        <v>109</v>
      </c>
      <c r="CL239" t="s">
        <v>109</v>
      </c>
      <c r="CN239" t="s">
        <v>109</v>
      </c>
      <c r="CP239" t="s">
        <v>4155</v>
      </c>
      <c r="CQ239" t="s">
        <v>4156</v>
      </c>
      <c r="CR239" t="str">
        <f>HYPERLINK("https://nconnect.nicmar.ac.in/public/storage/profile/699885bc52325.png","Download")</f>
        <v>0</v>
      </c>
      <c r="CS239" t="str">
        <f>HYPERLINK("https://nconnect.nicmar.ac.in/pdf/393_resume_1771605206.pdf/Y2FyZWVy","View Resume")</f>
        <v>0</v>
      </c>
    </row>
    <row r="240" spans="1:97">
      <c r="A240" t="s">
        <v>137</v>
      </c>
      <c r="B240" t="s">
        <v>138</v>
      </c>
      <c r="C240" t="s">
        <v>139</v>
      </c>
      <c r="D240" t="s">
        <v>140</v>
      </c>
      <c r="E240" t="s">
        <v>4157</v>
      </c>
      <c r="F240" t="s">
        <v>4158</v>
      </c>
      <c r="G240">
        <v>9475177489</v>
      </c>
      <c r="H240" t="s">
        <v>169</v>
      </c>
      <c r="I240" t="s">
        <v>4159</v>
      </c>
      <c r="J240" t="s">
        <v>105</v>
      </c>
      <c r="K240" t="s">
        <v>3669</v>
      </c>
      <c r="L240" t="s">
        <v>4160</v>
      </c>
      <c r="M240" t="s">
        <v>4161</v>
      </c>
      <c r="N240" t="s">
        <v>109</v>
      </c>
      <c r="AI240" t="s">
        <v>4162</v>
      </c>
      <c r="AJ240" t="s">
        <v>4163</v>
      </c>
      <c r="AK240" t="s">
        <v>4164</v>
      </c>
      <c r="AL240">
        <v>72.67</v>
      </c>
      <c r="AN240">
        <v>2005</v>
      </c>
      <c r="AO240" t="s">
        <v>113</v>
      </c>
      <c r="AP240" t="s">
        <v>4162</v>
      </c>
      <c r="AQ240" t="s">
        <v>4163</v>
      </c>
      <c r="AR240" t="s">
        <v>4165</v>
      </c>
      <c r="AS240">
        <v>71</v>
      </c>
      <c r="AU240">
        <v>2007</v>
      </c>
      <c r="AV240" t="s">
        <v>109</v>
      </c>
      <c r="BC240" t="s">
        <v>113</v>
      </c>
      <c r="BD240" t="s">
        <v>4166</v>
      </c>
      <c r="BE240" t="s">
        <v>4166</v>
      </c>
      <c r="BF240" t="s">
        <v>309</v>
      </c>
      <c r="BG240">
        <v>76.4</v>
      </c>
      <c r="BH240">
        <v>7.64</v>
      </c>
      <c r="BI240">
        <v>2011</v>
      </c>
      <c r="BJ240">
        <v>1</v>
      </c>
      <c r="BL240">
        <v>7</v>
      </c>
      <c r="BN240" t="s">
        <v>113</v>
      </c>
      <c r="BO240" t="s">
        <v>4167</v>
      </c>
      <c r="BP240" t="s">
        <v>4168</v>
      </c>
      <c r="BQ240" t="s">
        <v>140</v>
      </c>
      <c r="BR240">
        <v>83.7</v>
      </c>
      <c r="BT240">
        <v>2013</v>
      </c>
      <c r="BU240">
        <v>14</v>
      </c>
      <c r="BW240">
        <v>47</v>
      </c>
      <c r="BY240" t="s">
        <v>109</v>
      </c>
      <c r="CF240" t="s">
        <v>113</v>
      </c>
      <c r="CG240" t="s">
        <v>4169</v>
      </c>
      <c r="CH240" t="s">
        <v>4170</v>
      </c>
      <c r="CI240" t="s">
        <v>132</v>
      </c>
      <c r="CJ240">
        <v>2021</v>
      </c>
      <c r="CL240" t="s">
        <v>109</v>
      </c>
      <c r="CN240" t="s">
        <v>113</v>
      </c>
      <c r="CO240" t="s">
        <v>4171</v>
      </c>
      <c r="CP240" t="s">
        <v>4172</v>
      </c>
      <c r="CQ240" t="s">
        <v>4173</v>
      </c>
      <c r="CR240" t="str">
        <f>HYPERLINK("https://nconnect.nicmar.ac.in/public/storage/profile/6998825e9374f.png","Download")</f>
        <v>0</v>
      </c>
      <c r="CS240" t="str">
        <f>HYPERLINK("https://nconnect.nicmar.ac.in/pdf/395_resume_1771607790.pdf/Y2FyZWVy","View Resume")</f>
        <v>0</v>
      </c>
    </row>
    <row r="241" spans="1:97">
      <c r="A241" t="s">
        <v>367</v>
      </c>
      <c r="B241" t="s">
        <v>138</v>
      </c>
      <c r="C241" t="s">
        <v>295</v>
      </c>
      <c r="D241" t="s">
        <v>368</v>
      </c>
      <c r="E241" t="s">
        <v>4157</v>
      </c>
      <c r="F241" t="s">
        <v>4158</v>
      </c>
      <c r="G241">
        <v>9475177489</v>
      </c>
      <c r="H241" t="s">
        <v>169</v>
      </c>
      <c r="I241" t="s">
        <v>4159</v>
      </c>
      <c r="J241" t="s">
        <v>105</v>
      </c>
      <c r="K241" t="s">
        <v>3669</v>
      </c>
      <c r="L241" t="s">
        <v>4160</v>
      </c>
      <c r="M241" t="s">
        <v>4161</v>
      </c>
      <c r="N241" t="s">
        <v>109</v>
      </c>
      <c r="AI241" t="s">
        <v>4162</v>
      </c>
      <c r="AJ241" t="s">
        <v>4163</v>
      </c>
      <c r="AK241" t="s">
        <v>4164</v>
      </c>
      <c r="AL241">
        <v>72.67</v>
      </c>
      <c r="AN241">
        <v>2005</v>
      </c>
      <c r="AO241" t="s">
        <v>113</v>
      </c>
      <c r="AP241" t="s">
        <v>4162</v>
      </c>
      <c r="AQ241" t="s">
        <v>4163</v>
      </c>
      <c r="AR241" t="s">
        <v>4165</v>
      </c>
      <c r="AS241">
        <v>71</v>
      </c>
      <c r="AU241">
        <v>2007</v>
      </c>
      <c r="AV241" t="s">
        <v>109</v>
      </c>
      <c r="BC241" t="s">
        <v>113</v>
      </c>
      <c r="BD241" t="s">
        <v>4166</v>
      </c>
      <c r="BE241" t="s">
        <v>4166</v>
      </c>
      <c r="BF241" t="s">
        <v>309</v>
      </c>
      <c r="BG241">
        <v>76.4</v>
      </c>
      <c r="BH241">
        <v>7.64</v>
      </c>
      <c r="BI241">
        <v>2011</v>
      </c>
      <c r="BJ241">
        <v>1</v>
      </c>
      <c r="BL241">
        <v>7</v>
      </c>
      <c r="BN241" t="s">
        <v>113</v>
      </c>
      <c r="BO241" t="s">
        <v>4167</v>
      </c>
      <c r="BP241" t="s">
        <v>4168</v>
      </c>
      <c r="BQ241" t="s">
        <v>140</v>
      </c>
      <c r="BR241">
        <v>83.7</v>
      </c>
      <c r="BT241">
        <v>2013</v>
      </c>
      <c r="BU241">
        <v>14</v>
      </c>
      <c r="BW241">
        <v>47</v>
      </c>
      <c r="BY241" t="s">
        <v>109</v>
      </c>
      <c r="CF241" t="s">
        <v>113</v>
      </c>
      <c r="CG241" t="s">
        <v>4169</v>
      </c>
      <c r="CH241" t="s">
        <v>4170</v>
      </c>
      <c r="CI241" t="s">
        <v>132</v>
      </c>
      <c r="CJ241">
        <v>2021</v>
      </c>
      <c r="CL241" t="s">
        <v>109</v>
      </c>
      <c r="CN241" t="s">
        <v>113</v>
      </c>
      <c r="CO241" t="s">
        <v>4171</v>
      </c>
      <c r="CP241" t="s">
        <v>4172</v>
      </c>
      <c r="CQ241" t="s">
        <v>4174</v>
      </c>
      <c r="CR241" t="str">
        <f>HYPERLINK("https://nconnect.nicmar.ac.in/public/storage/profile/6998825e9374f.png","Download")</f>
        <v>0</v>
      </c>
      <c r="CS241" t="str">
        <f>HYPERLINK("https://nconnect.nicmar.ac.in/pdf/395_resume_1771607790.pdf/Y2FyZWVy","View Resume")</f>
        <v>0</v>
      </c>
    </row>
    <row r="242" spans="1:97">
      <c r="A242" t="s">
        <v>294</v>
      </c>
      <c r="B242" t="s">
        <v>138</v>
      </c>
      <c r="C242" t="s">
        <v>295</v>
      </c>
      <c r="D242" t="s">
        <v>296</v>
      </c>
      <c r="E242" t="s">
        <v>4157</v>
      </c>
      <c r="F242" t="s">
        <v>4158</v>
      </c>
      <c r="G242">
        <v>9475177489</v>
      </c>
      <c r="H242" t="s">
        <v>169</v>
      </c>
      <c r="I242" t="s">
        <v>4159</v>
      </c>
      <c r="J242" t="s">
        <v>105</v>
      </c>
      <c r="K242" t="s">
        <v>3669</v>
      </c>
      <c r="L242" t="s">
        <v>4160</v>
      </c>
      <c r="M242" t="s">
        <v>4161</v>
      </c>
      <c r="N242" t="s">
        <v>109</v>
      </c>
      <c r="AI242" t="s">
        <v>4162</v>
      </c>
      <c r="AJ242" t="s">
        <v>4163</v>
      </c>
      <c r="AK242" t="s">
        <v>4164</v>
      </c>
      <c r="AL242">
        <v>72.67</v>
      </c>
      <c r="AN242">
        <v>2005</v>
      </c>
      <c r="AO242" t="s">
        <v>113</v>
      </c>
      <c r="AP242" t="s">
        <v>4162</v>
      </c>
      <c r="AQ242" t="s">
        <v>4163</v>
      </c>
      <c r="AR242" t="s">
        <v>4165</v>
      </c>
      <c r="AS242">
        <v>71</v>
      </c>
      <c r="AU242">
        <v>2007</v>
      </c>
      <c r="AV242" t="s">
        <v>109</v>
      </c>
      <c r="BC242" t="s">
        <v>113</v>
      </c>
      <c r="BD242" t="s">
        <v>4166</v>
      </c>
      <c r="BE242" t="s">
        <v>4166</v>
      </c>
      <c r="BF242" t="s">
        <v>309</v>
      </c>
      <c r="BG242">
        <v>76.4</v>
      </c>
      <c r="BH242">
        <v>7.64</v>
      </c>
      <c r="BI242">
        <v>2011</v>
      </c>
      <c r="BJ242">
        <v>1</v>
      </c>
      <c r="BL242">
        <v>7</v>
      </c>
      <c r="BN242" t="s">
        <v>113</v>
      </c>
      <c r="BO242" t="s">
        <v>4167</v>
      </c>
      <c r="BP242" t="s">
        <v>4168</v>
      </c>
      <c r="BQ242" t="s">
        <v>140</v>
      </c>
      <c r="BR242">
        <v>83.7</v>
      </c>
      <c r="BT242">
        <v>2013</v>
      </c>
      <c r="BU242">
        <v>14</v>
      </c>
      <c r="BW242">
        <v>47</v>
      </c>
      <c r="BY242" t="s">
        <v>109</v>
      </c>
      <c r="CF242" t="s">
        <v>113</v>
      </c>
      <c r="CG242" t="s">
        <v>4169</v>
      </c>
      <c r="CH242" t="s">
        <v>4170</v>
      </c>
      <c r="CI242" t="s">
        <v>132</v>
      </c>
      <c r="CJ242">
        <v>2021</v>
      </c>
      <c r="CL242" t="s">
        <v>109</v>
      </c>
      <c r="CN242" t="s">
        <v>113</v>
      </c>
      <c r="CO242" t="s">
        <v>4171</v>
      </c>
      <c r="CP242" t="s">
        <v>4172</v>
      </c>
      <c r="CQ242" t="s">
        <v>4175</v>
      </c>
      <c r="CR242" t="str">
        <f>HYPERLINK("https://nconnect.nicmar.ac.in/public/storage/profile/6998825e9374f.png","Download")</f>
        <v>0</v>
      </c>
      <c r="CS242" t="str">
        <f>HYPERLINK("https://nconnect.nicmar.ac.in/pdf/395_resume_1771607790.pdf/Y2FyZWVy","View Resume")</f>
        <v>0</v>
      </c>
    </row>
    <row r="243" spans="1:97">
      <c r="A243" t="s">
        <v>137</v>
      </c>
      <c r="B243" t="s">
        <v>138</v>
      </c>
      <c r="C243" t="s">
        <v>139</v>
      </c>
      <c r="D243" t="s">
        <v>140</v>
      </c>
      <c r="E243" t="s">
        <v>4176</v>
      </c>
      <c r="F243" t="s">
        <v>4177</v>
      </c>
      <c r="G243">
        <v>8011269069</v>
      </c>
      <c r="H243" t="s">
        <v>103</v>
      </c>
      <c r="I243" t="s">
        <v>4178</v>
      </c>
      <c r="J243" t="s">
        <v>105</v>
      </c>
      <c r="K243" t="s">
        <v>4179</v>
      </c>
      <c r="L243" t="s">
        <v>4180</v>
      </c>
      <c r="M243" t="s">
        <v>4181</v>
      </c>
      <c r="N243" t="s">
        <v>109</v>
      </c>
      <c r="AI243" t="s">
        <v>4182</v>
      </c>
      <c r="AJ243" t="s">
        <v>4183</v>
      </c>
      <c r="AK243" t="s">
        <v>4184</v>
      </c>
      <c r="AL243">
        <v>85.2</v>
      </c>
      <c r="AN243">
        <v>2002</v>
      </c>
      <c r="AO243" t="s">
        <v>113</v>
      </c>
      <c r="AP243" t="s">
        <v>4182</v>
      </c>
      <c r="AQ243" t="s">
        <v>4183</v>
      </c>
      <c r="AR243" t="s">
        <v>4185</v>
      </c>
      <c r="AS243">
        <v>84</v>
      </c>
      <c r="AU243">
        <v>2004</v>
      </c>
      <c r="AV243" t="s">
        <v>109</v>
      </c>
      <c r="BC243" t="s">
        <v>113</v>
      </c>
      <c r="BD243" t="s">
        <v>4186</v>
      </c>
      <c r="BE243" t="s">
        <v>4187</v>
      </c>
      <c r="BF243" t="s">
        <v>309</v>
      </c>
      <c r="BG243">
        <v>79.8</v>
      </c>
      <c r="BH243">
        <v>7.98</v>
      </c>
      <c r="BI243">
        <v>2008</v>
      </c>
      <c r="BJ243">
        <v>1</v>
      </c>
      <c r="BL243">
        <v>9</v>
      </c>
      <c r="BN243" t="s">
        <v>113</v>
      </c>
      <c r="BO243" t="s">
        <v>313</v>
      </c>
      <c r="BP243" t="s">
        <v>4188</v>
      </c>
      <c r="BQ243" t="s">
        <v>140</v>
      </c>
      <c r="BR243">
        <v>74.9</v>
      </c>
      <c r="BS243">
        <v>7.49</v>
      </c>
      <c r="BT243">
        <v>2013</v>
      </c>
      <c r="BU243">
        <v>14</v>
      </c>
      <c r="BW243">
        <v>47</v>
      </c>
      <c r="BY243" t="s">
        <v>109</v>
      </c>
      <c r="CF243" t="s">
        <v>113</v>
      </c>
      <c r="CG243" t="s">
        <v>2766</v>
      </c>
      <c r="CH243" t="s">
        <v>313</v>
      </c>
      <c r="CI243" t="s">
        <v>132</v>
      </c>
      <c r="CJ243">
        <v>2021</v>
      </c>
      <c r="CL243" t="s">
        <v>109</v>
      </c>
      <c r="CN243" t="s">
        <v>113</v>
      </c>
      <c r="CO243" t="s">
        <v>4189</v>
      </c>
      <c r="CP243" t="s">
        <v>4190</v>
      </c>
      <c r="CQ243" t="s">
        <v>4191</v>
      </c>
      <c r="CR243" t="str">
        <f>HYPERLINK("https://nconnect.nicmar.ac.in/public/storage/profile/6998936bcb16a.png","Download")</f>
        <v>0</v>
      </c>
      <c r="CS243" t="str">
        <f>HYPERLINK("https://nconnect.nicmar.ac.in/pdf/29_resume_1771831168.pdf/Y2FyZWVy","View Resume")</f>
        <v>0</v>
      </c>
    </row>
    <row r="244" spans="1:97">
      <c r="A244" t="s">
        <v>137</v>
      </c>
      <c r="B244" t="s">
        <v>138</v>
      </c>
      <c r="C244" t="s">
        <v>139</v>
      </c>
      <c r="D244" t="s">
        <v>140</v>
      </c>
      <c r="E244" t="s">
        <v>4192</v>
      </c>
      <c r="F244" t="s">
        <v>4193</v>
      </c>
      <c r="G244">
        <v>7989550471</v>
      </c>
      <c r="H244" t="s">
        <v>103</v>
      </c>
      <c r="I244" t="s">
        <v>4194</v>
      </c>
      <c r="J244" t="s">
        <v>144</v>
      </c>
      <c r="K244" t="s">
        <v>228</v>
      </c>
      <c r="L244" t="s">
        <v>4195</v>
      </c>
      <c r="M244" t="s">
        <v>4196</v>
      </c>
      <c r="N244" t="s">
        <v>109</v>
      </c>
      <c r="AI244" t="s">
        <v>4197</v>
      </c>
      <c r="AJ244" t="s">
        <v>4198</v>
      </c>
      <c r="AK244" t="s">
        <v>4199</v>
      </c>
      <c r="AL244">
        <v>79</v>
      </c>
      <c r="AN244">
        <v>2008</v>
      </c>
      <c r="AO244" t="s">
        <v>113</v>
      </c>
      <c r="AP244" t="s">
        <v>4200</v>
      </c>
      <c r="AQ244" t="s">
        <v>762</v>
      </c>
      <c r="AR244" t="s">
        <v>181</v>
      </c>
      <c r="AS244">
        <v>94.1</v>
      </c>
      <c r="AU244">
        <v>2010</v>
      </c>
      <c r="AV244" t="s">
        <v>109</v>
      </c>
      <c r="BC244" t="s">
        <v>113</v>
      </c>
      <c r="BD244" t="s">
        <v>4201</v>
      </c>
      <c r="BE244" t="s">
        <v>4202</v>
      </c>
      <c r="BF244" t="s">
        <v>4203</v>
      </c>
      <c r="BG244">
        <v>76</v>
      </c>
      <c r="BI244">
        <v>2014</v>
      </c>
      <c r="BJ244">
        <v>2</v>
      </c>
      <c r="BL244">
        <v>7</v>
      </c>
      <c r="BN244" t="s">
        <v>113</v>
      </c>
      <c r="BO244" t="s">
        <v>4201</v>
      </c>
      <c r="BP244" t="s">
        <v>4201</v>
      </c>
      <c r="BQ244" t="s">
        <v>4204</v>
      </c>
      <c r="BR244">
        <v>81.8</v>
      </c>
      <c r="BT244">
        <v>2017</v>
      </c>
      <c r="BU244">
        <v>14</v>
      </c>
      <c r="BW244">
        <v>7</v>
      </c>
      <c r="BY244" t="s">
        <v>109</v>
      </c>
      <c r="CF244" t="s">
        <v>113</v>
      </c>
      <c r="CG244" t="s">
        <v>140</v>
      </c>
      <c r="CH244" t="s">
        <v>4205</v>
      </c>
      <c r="CI244" t="s">
        <v>132</v>
      </c>
      <c r="CJ244">
        <v>2026</v>
      </c>
      <c r="CL244" t="s">
        <v>113</v>
      </c>
      <c r="CM244" t="s">
        <v>4206</v>
      </c>
      <c r="CN244" t="s">
        <v>113</v>
      </c>
      <c r="CO244" t="s">
        <v>4207</v>
      </c>
      <c r="CP244" t="s">
        <v>4208</v>
      </c>
      <c r="CQ244" t="s">
        <v>4209</v>
      </c>
      <c r="CR244" t="str">
        <f>HYPERLINK("https://nconnect.nicmar.ac.in/public/storage/profile/69989e0a5053c.png","Download")</f>
        <v>0</v>
      </c>
      <c r="CS244" t="str">
        <f>HYPERLINK("https://nconnect.nicmar.ac.in/pdf/398_resume_1771612001.pdf/Y2FyZWVy","View Resume")</f>
        <v>0</v>
      </c>
    </row>
    <row r="245" spans="1:97">
      <c r="A245" t="s">
        <v>1203</v>
      </c>
      <c r="B245" t="s">
        <v>138</v>
      </c>
      <c r="C245" t="s">
        <v>165</v>
      </c>
      <c r="D245" t="s">
        <v>1204</v>
      </c>
      <c r="E245" t="s">
        <v>4210</v>
      </c>
      <c r="F245" t="s">
        <v>4211</v>
      </c>
      <c r="G245">
        <v>8015898207</v>
      </c>
      <c r="H245" t="s">
        <v>169</v>
      </c>
      <c r="I245" t="s">
        <v>4212</v>
      </c>
      <c r="J245" t="s">
        <v>105</v>
      </c>
      <c r="K245" t="s">
        <v>4213</v>
      </c>
      <c r="L245" t="s">
        <v>4214</v>
      </c>
      <c r="M245" t="s">
        <v>4215</v>
      </c>
      <c r="N245" t="s">
        <v>109</v>
      </c>
      <c r="AI245" t="s">
        <v>4216</v>
      </c>
      <c r="AJ245" t="s">
        <v>1542</v>
      </c>
      <c r="AK245" t="s">
        <v>4217</v>
      </c>
      <c r="AL245">
        <v>77.2</v>
      </c>
      <c r="AN245">
        <v>2005</v>
      </c>
      <c r="AO245" t="s">
        <v>113</v>
      </c>
      <c r="AP245" t="s">
        <v>4218</v>
      </c>
      <c r="AQ245" t="s">
        <v>1542</v>
      </c>
      <c r="AR245" t="s">
        <v>4219</v>
      </c>
      <c r="AS245">
        <v>84.5</v>
      </c>
      <c r="AU245">
        <v>2017</v>
      </c>
      <c r="AV245" t="s">
        <v>109</v>
      </c>
      <c r="BC245" t="s">
        <v>113</v>
      </c>
      <c r="BD245" t="s">
        <v>1215</v>
      </c>
      <c r="BE245" t="s">
        <v>4220</v>
      </c>
      <c r="BF245" t="s">
        <v>338</v>
      </c>
      <c r="BG245">
        <v>67.6</v>
      </c>
      <c r="BI245">
        <v>2010</v>
      </c>
      <c r="BJ245">
        <v>19</v>
      </c>
      <c r="BK245" t="s">
        <v>4221</v>
      </c>
      <c r="BL245">
        <v>23</v>
      </c>
      <c r="BN245" t="s">
        <v>113</v>
      </c>
      <c r="BO245" t="s">
        <v>4222</v>
      </c>
      <c r="BP245" t="s">
        <v>4223</v>
      </c>
      <c r="BQ245" t="s">
        <v>338</v>
      </c>
      <c r="BR245">
        <v>7.84</v>
      </c>
      <c r="BS245">
        <v>7.84</v>
      </c>
      <c r="BT245">
        <v>2012</v>
      </c>
      <c r="BU245">
        <v>31</v>
      </c>
      <c r="BV245" t="s">
        <v>3448</v>
      </c>
      <c r="BW245">
        <v>23</v>
      </c>
      <c r="BY245" t="s">
        <v>113</v>
      </c>
      <c r="BZ245" t="s">
        <v>124</v>
      </c>
      <c r="CA245" t="s">
        <v>124</v>
      </c>
      <c r="CB245" t="s">
        <v>4224</v>
      </c>
      <c r="CC245">
        <v>74</v>
      </c>
      <c r="CE245">
        <v>2023</v>
      </c>
      <c r="CF245" t="s">
        <v>109</v>
      </c>
      <c r="CL245" t="s">
        <v>113</v>
      </c>
      <c r="CN245" t="s">
        <v>113</v>
      </c>
      <c r="CO245" t="s">
        <v>4225</v>
      </c>
      <c r="CP245" t="s">
        <v>4226</v>
      </c>
      <c r="CQ245" t="s">
        <v>4227</v>
      </c>
      <c r="CR245" t="s">
        <v>136</v>
      </c>
      <c r="CS245" t="str">
        <f>HYPERLINK("https://nconnect.nicmar.ac.in/pdf/401_resume_1771612617.pdf/Y2FyZWVy","View Resume")</f>
        <v>0</v>
      </c>
    </row>
    <row r="246" spans="1:97">
      <c r="A246" t="s">
        <v>192</v>
      </c>
      <c r="B246" t="s">
        <v>138</v>
      </c>
      <c r="C246" t="s">
        <v>165</v>
      </c>
      <c r="D246" t="s">
        <v>193</v>
      </c>
      <c r="E246" t="s">
        <v>4210</v>
      </c>
      <c r="F246" t="s">
        <v>4211</v>
      </c>
      <c r="G246">
        <v>8015898207</v>
      </c>
      <c r="H246" t="s">
        <v>169</v>
      </c>
      <c r="I246" t="s">
        <v>4212</v>
      </c>
      <c r="J246" t="s">
        <v>105</v>
      </c>
      <c r="K246" t="s">
        <v>4213</v>
      </c>
      <c r="L246" t="s">
        <v>4214</v>
      </c>
      <c r="M246" t="s">
        <v>4215</v>
      </c>
      <c r="N246" t="s">
        <v>109</v>
      </c>
      <c r="AI246" t="s">
        <v>4216</v>
      </c>
      <c r="AJ246" t="s">
        <v>1542</v>
      </c>
      <c r="AK246" t="s">
        <v>4217</v>
      </c>
      <c r="AL246">
        <v>77.2</v>
      </c>
      <c r="AN246">
        <v>2005</v>
      </c>
      <c r="AO246" t="s">
        <v>113</v>
      </c>
      <c r="AP246" t="s">
        <v>4218</v>
      </c>
      <c r="AQ246" t="s">
        <v>1542</v>
      </c>
      <c r="AR246" t="s">
        <v>4219</v>
      </c>
      <c r="AS246">
        <v>84.5</v>
      </c>
      <c r="AU246">
        <v>2017</v>
      </c>
      <c r="AV246" t="s">
        <v>109</v>
      </c>
      <c r="BC246" t="s">
        <v>113</v>
      </c>
      <c r="BD246" t="s">
        <v>1215</v>
      </c>
      <c r="BE246" t="s">
        <v>4220</v>
      </c>
      <c r="BF246" t="s">
        <v>338</v>
      </c>
      <c r="BG246">
        <v>67.6</v>
      </c>
      <c r="BI246">
        <v>2010</v>
      </c>
      <c r="BJ246">
        <v>19</v>
      </c>
      <c r="BK246" t="s">
        <v>4221</v>
      </c>
      <c r="BL246">
        <v>23</v>
      </c>
      <c r="BN246" t="s">
        <v>113</v>
      </c>
      <c r="BO246" t="s">
        <v>4222</v>
      </c>
      <c r="BP246" t="s">
        <v>4223</v>
      </c>
      <c r="BQ246" t="s">
        <v>338</v>
      </c>
      <c r="BR246">
        <v>7.84</v>
      </c>
      <c r="BS246">
        <v>7.84</v>
      </c>
      <c r="BT246">
        <v>2012</v>
      </c>
      <c r="BU246">
        <v>31</v>
      </c>
      <c r="BV246" t="s">
        <v>3448</v>
      </c>
      <c r="BW246">
        <v>23</v>
      </c>
      <c r="BY246" t="s">
        <v>113</v>
      </c>
      <c r="BZ246" t="s">
        <v>124</v>
      </c>
      <c r="CA246" t="s">
        <v>124</v>
      </c>
      <c r="CB246" t="s">
        <v>4224</v>
      </c>
      <c r="CC246">
        <v>74</v>
      </c>
      <c r="CE246">
        <v>2023</v>
      </c>
      <c r="CF246" t="s">
        <v>109</v>
      </c>
      <c r="CL246" t="s">
        <v>113</v>
      </c>
      <c r="CN246" t="s">
        <v>113</v>
      </c>
      <c r="CO246" t="s">
        <v>4225</v>
      </c>
      <c r="CP246" t="s">
        <v>4226</v>
      </c>
      <c r="CQ246" t="s">
        <v>4228</v>
      </c>
      <c r="CR246" t="s">
        <v>136</v>
      </c>
      <c r="CS246" t="str">
        <f>HYPERLINK("https://nconnect.nicmar.ac.in/pdf/401_resume_1771612617.pdf/Y2FyZWVy","View Resume")</f>
        <v>0</v>
      </c>
    </row>
    <row r="247" spans="1:97">
      <c r="A247" t="s">
        <v>223</v>
      </c>
      <c r="B247" t="s">
        <v>138</v>
      </c>
      <c r="C247" t="s">
        <v>165</v>
      </c>
      <c r="D247" t="s">
        <v>224</v>
      </c>
      <c r="E247" t="s">
        <v>4210</v>
      </c>
      <c r="F247" t="s">
        <v>4211</v>
      </c>
      <c r="G247">
        <v>8015898207</v>
      </c>
      <c r="H247" t="s">
        <v>169</v>
      </c>
      <c r="I247" t="s">
        <v>4212</v>
      </c>
      <c r="J247" t="s">
        <v>105</v>
      </c>
      <c r="K247" t="s">
        <v>4213</v>
      </c>
      <c r="L247" t="s">
        <v>4214</v>
      </c>
      <c r="M247" t="s">
        <v>4215</v>
      </c>
      <c r="N247" t="s">
        <v>109</v>
      </c>
      <c r="AI247" t="s">
        <v>4216</v>
      </c>
      <c r="AJ247" t="s">
        <v>1542</v>
      </c>
      <c r="AK247" t="s">
        <v>4217</v>
      </c>
      <c r="AL247">
        <v>77.2</v>
      </c>
      <c r="AN247">
        <v>2005</v>
      </c>
      <c r="AO247" t="s">
        <v>113</v>
      </c>
      <c r="AP247" t="s">
        <v>4218</v>
      </c>
      <c r="AQ247" t="s">
        <v>1542</v>
      </c>
      <c r="AR247" t="s">
        <v>4219</v>
      </c>
      <c r="AS247">
        <v>84.5</v>
      </c>
      <c r="AU247">
        <v>2017</v>
      </c>
      <c r="AV247" t="s">
        <v>109</v>
      </c>
      <c r="BC247" t="s">
        <v>113</v>
      </c>
      <c r="BD247" t="s">
        <v>1215</v>
      </c>
      <c r="BE247" t="s">
        <v>4220</v>
      </c>
      <c r="BF247" t="s">
        <v>338</v>
      </c>
      <c r="BG247">
        <v>67.6</v>
      </c>
      <c r="BI247">
        <v>2010</v>
      </c>
      <c r="BJ247">
        <v>19</v>
      </c>
      <c r="BK247" t="s">
        <v>4221</v>
      </c>
      <c r="BL247">
        <v>23</v>
      </c>
      <c r="BN247" t="s">
        <v>113</v>
      </c>
      <c r="BO247" t="s">
        <v>4222</v>
      </c>
      <c r="BP247" t="s">
        <v>4223</v>
      </c>
      <c r="BQ247" t="s">
        <v>338</v>
      </c>
      <c r="BR247">
        <v>7.84</v>
      </c>
      <c r="BS247">
        <v>7.84</v>
      </c>
      <c r="BT247">
        <v>2012</v>
      </c>
      <c r="BU247">
        <v>31</v>
      </c>
      <c r="BV247" t="s">
        <v>3448</v>
      </c>
      <c r="BW247">
        <v>23</v>
      </c>
      <c r="BY247" t="s">
        <v>113</v>
      </c>
      <c r="BZ247" t="s">
        <v>124</v>
      </c>
      <c r="CA247" t="s">
        <v>124</v>
      </c>
      <c r="CB247" t="s">
        <v>4224</v>
      </c>
      <c r="CC247">
        <v>74</v>
      </c>
      <c r="CE247">
        <v>2023</v>
      </c>
      <c r="CF247" t="s">
        <v>109</v>
      </c>
      <c r="CL247" t="s">
        <v>113</v>
      </c>
      <c r="CN247" t="s">
        <v>113</v>
      </c>
      <c r="CO247" t="s">
        <v>4225</v>
      </c>
      <c r="CP247" t="s">
        <v>4226</v>
      </c>
      <c r="CQ247" t="s">
        <v>4228</v>
      </c>
      <c r="CR247" t="s">
        <v>136</v>
      </c>
      <c r="CS247" t="str">
        <f>HYPERLINK("https://nconnect.nicmar.ac.in/pdf/401_resume_1771612617.pdf/Y2FyZWVy","View Resume")</f>
        <v>0</v>
      </c>
    </row>
    <row r="248" spans="1:97">
      <c r="A248" t="s">
        <v>372</v>
      </c>
      <c r="B248" t="s">
        <v>98</v>
      </c>
      <c r="C248" t="s">
        <v>165</v>
      </c>
      <c r="D248" t="s">
        <v>224</v>
      </c>
      <c r="E248" t="s">
        <v>4210</v>
      </c>
      <c r="F248" t="s">
        <v>4211</v>
      </c>
      <c r="G248">
        <v>8015898207</v>
      </c>
      <c r="H248" t="s">
        <v>169</v>
      </c>
      <c r="I248" t="s">
        <v>4212</v>
      </c>
      <c r="J248" t="s">
        <v>105</v>
      </c>
      <c r="K248" t="s">
        <v>4213</v>
      </c>
      <c r="L248" t="s">
        <v>4214</v>
      </c>
      <c r="M248" t="s">
        <v>4215</v>
      </c>
      <c r="N248" t="s">
        <v>109</v>
      </c>
      <c r="AI248" t="s">
        <v>4216</v>
      </c>
      <c r="AJ248" t="s">
        <v>1542</v>
      </c>
      <c r="AK248" t="s">
        <v>4217</v>
      </c>
      <c r="AL248">
        <v>77.2</v>
      </c>
      <c r="AN248">
        <v>2005</v>
      </c>
      <c r="AO248" t="s">
        <v>113</v>
      </c>
      <c r="AP248" t="s">
        <v>4218</v>
      </c>
      <c r="AQ248" t="s">
        <v>1542</v>
      </c>
      <c r="AR248" t="s">
        <v>4219</v>
      </c>
      <c r="AS248">
        <v>84.5</v>
      </c>
      <c r="AU248">
        <v>2017</v>
      </c>
      <c r="AV248" t="s">
        <v>109</v>
      </c>
      <c r="BC248" t="s">
        <v>113</v>
      </c>
      <c r="BD248" t="s">
        <v>1215</v>
      </c>
      <c r="BE248" t="s">
        <v>4220</v>
      </c>
      <c r="BF248" t="s">
        <v>338</v>
      </c>
      <c r="BG248">
        <v>67.6</v>
      </c>
      <c r="BI248">
        <v>2010</v>
      </c>
      <c r="BJ248">
        <v>19</v>
      </c>
      <c r="BK248" t="s">
        <v>4221</v>
      </c>
      <c r="BL248">
        <v>23</v>
      </c>
      <c r="BN248" t="s">
        <v>113</v>
      </c>
      <c r="BO248" t="s">
        <v>4222</v>
      </c>
      <c r="BP248" t="s">
        <v>4223</v>
      </c>
      <c r="BQ248" t="s">
        <v>338</v>
      </c>
      <c r="BR248">
        <v>7.84</v>
      </c>
      <c r="BS248">
        <v>7.84</v>
      </c>
      <c r="BT248">
        <v>2012</v>
      </c>
      <c r="BU248">
        <v>31</v>
      </c>
      <c r="BV248" t="s">
        <v>3448</v>
      </c>
      <c r="BW248">
        <v>23</v>
      </c>
      <c r="BY248" t="s">
        <v>113</v>
      </c>
      <c r="BZ248" t="s">
        <v>124</v>
      </c>
      <c r="CA248" t="s">
        <v>124</v>
      </c>
      <c r="CB248" t="s">
        <v>4224</v>
      </c>
      <c r="CC248">
        <v>74</v>
      </c>
      <c r="CE248">
        <v>2023</v>
      </c>
      <c r="CF248" t="s">
        <v>109</v>
      </c>
      <c r="CL248" t="s">
        <v>113</v>
      </c>
      <c r="CN248" t="s">
        <v>113</v>
      </c>
      <c r="CO248" t="s">
        <v>4225</v>
      </c>
      <c r="CP248" t="s">
        <v>4226</v>
      </c>
      <c r="CQ248" t="s">
        <v>4228</v>
      </c>
      <c r="CR248" t="s">
        <v>136</v>
      </c>
      <c r="CS248" t="str">
        <f>HYPERLINK("https://nconnect.nicmar.ac.in/pdf/401_resume_1771612617.pdf/Y2FyZWVy","View Resume")</f>
        <v>0</v>
      </c>
    </row>
    <row r="249" spans="1:97">
      <c r="A249" t="s">
        <v>846</v>
      </c>
      <c r="B249" t="s">
        <v>138</v>
      </c>
      <c r="C249" t="s">
        <v>165</v>
      </c>
      <c r="D249" t="s">
        <v>847</v>
      </c>
      <c r="E249" t="s">
        <v>4210</v>
      </c>
      <c r="F249" t="s">
        <v>4211</v>
      </c>
      <c r="G249">
        <v>8015898207</v>
      </c>
      <c r="H249" t="s">
        <v>169</v>
      </c>
      <c r="I249" t="s">
        <v>4212</v>
      </c>
      <c r="J249" t="s">
        <v>105</v>
      </c>
      <c r="K249" t="s">
        <v>4213</v>
      </c>
      <c r="L249" t="s">
        <v>4214</v>
      </c>
      <c r="M249" t="s">
        <v>4215</v>
      </c>
      <c r="N249" t="s">
        <v>109</v>
      </c>
      <c r="AI249" t="s">
        <v>4216</v>
      </c>
      <c r="AJ249" t="s">
        <v>1542</v>
      </c>
      <c r="AK249" t="s">
        <v>4217</v>
      </c>
      <c r="AL249">
        <v>77.2</v>
      </c>
      <c r="AN249">
        <v>2005</v>
      </c>
      <c r="AO249" t="s">
        <v>113</v>
      </c>
      <c r="AP249" t="s">
        <v>4218</v>
      </c>
      <c r="AQ249" t="s">
        <v>1542</v>
      </c>
      <c r="AR249" t="s">
        <v>4219</v>
      </c>
      <c r="AS249">
        <v>84.5</v>
      </c>
      <c r="AU249">
        <v>2017</v>
      </c>
      <c r="AV249" t="s">
        <v>109</v>
      </c>
      <c r="BC249" t="s">
        <v>113</v>
      </c>
      <c r="BD249" t="s">
        <v>1215</v>
      </c>
      <c r="BE249" t="s">
        <v>4220</v>
      </c>
      <c r="BF249" t="s">
        <v>338</v>
      </c>
      <c r="BG249">
        <v>67.6</v>
      </c>
      <c r="BI249">
        <v>2010</v>
      </c>
      <c r="BJ249">
        <v>19</v>
      </c>
      <c r="BK249" t="s">
        <v>4221</v>
      </c>
      <c r="BL249">
        <v>23</v>
      </c>
      <c r="BN249" t="s">
        <v>113</v>
      </c>
      <c r="BO249" t="s">
        <v>4222</v>
      </c>
      <c r="BP249" t="s">
        <v>4223</v>
      </c>
      <c r="BQ249" t="s">
        <v>338</v>
      </c>
      <c r="BR249">
        <v>7.84</v>
      </c>
      <c r="BS249">
        <v>7.84</v>
      </c>
      <c r="BT249">
        <v>2012</v>
      </c>
      <c r="BU249">
        <v>31</v>
      </c>
      <c r="BV249" t="s">
        <v>3448</v>
      </c>
      <c r="BW249">
        <v>23</v>
      </c>
      <c r="BY249" t="s">
        <v>113</v>
      </c>
      <c r="BZ249" t="s">
        <v>124</v>
      </c>
      <c r="CA249" t="s">
        <v>124</v>
      </c>
      <c r="CB249" t="s">
        <v>4224</v>
      </c>
      <c r="CC249">
        <v>74</v>
      </c>
      <c r="CE249">
        <v>2023</v>
      </c>
      <c r="CF249" t="s">
        <v>109</v>
      </c>
      <c r="CL249" t="s">
        <v>113</v>
      </c>
      <c r="CN249" t="s">
        <v>113</v>
      </c>
      <c r="CO249" t="s">
        <v>4225</v>
      </c>
      <c r="CP249" t="s">
        <v>4226</v>
      </c>
      <c r="CQ249" t="s">
        <v>4229</v>
      </c>
      <c r="CR249" t="s">
        <v>136</v>
      </c>
      <c r="CS249" t="str">
        <f>HYPERLINK("https://nconnect.nicmar.ac.in/pdf/401_resume_1771612617.pdf/Y2FyZWVy","View Resume")</f>
        <v>0</v>
      </c>
    </row>
    <row r="250" spans="1:97">
      <c r="A250" t="s">
        <v>97</v>
      </c>
      <c r="B250" t="s">
        <v>98</v>
      </c>
      <c r="C250" t="s">
        <v>99</v>
      </c>
      <c r="D250" t="s">
        <v>100</v>
      </c>
      <c r="E250" t="s">
        <v>4210</v>
      </c>
      <c r="F250" t="s">
        <v>4211</v>
      </c>
      <c r="G250">
        <v>8015898207</v>
      </c>
      <c r="H250" t="s">
        <v>169</v>
      </c>
      <c r="I250" t="s">
        <v>4212</v>
      </c>
      <c r="J250" t="s">
        <v>105</v>
      </c>
      <c r="K250" t="s">
        <v>4213</v>
      </c>
      <c r="L250" t="s">
        <v>4214</v>
      </c>
      <c r="M250" t="s">
        <v>4215</v>
      </c>
      <c r="N250" t="s">
        <v>109</v>
      </c>
      <c r="AI250" t="s">
        <v>4216</v>
      </c>
      <c r="AJ250" t="s">
        <v>1542</v>
      </c>
      <c r="AK250" t="s">
        <v>4217</v>
      </c>
      <c r="AL250">
        <v>77.2</v>
      </c>
      <c r="AN250">
        <v>2005</v>
      </c>
      <c r="AO250" t="s">
        <v>113</v>
      </c>
      <c r="AP250" t="s">
        <v>4218</v>
      </c>
      <c r="AQ250" t="s">
        <v>1542</v>
      </c>
      <c r="AR250" t="s">
        <v>4219</v>
      </c>
      <c r="AS250">
        <v>84.5</v>
      </c>
      <c r="AU250">
        <v>2017</v>
      </c>
      <c r="AV250" t="s">
        <v>109</v>
      </c>
      <c r="BC250" t="s">
        <v>113</v>
      </c>
      <c r="BD250" t="s">
        <v>1215</v>
      </c>
      <c r="BE250" t="s">
        <v>4220</v>
      </c>
      <c r="BF250" t="s">
        <v>338</v>
      </c>
      <c r="BG250">
        <v>67.6</v>
      </c>
      <c r="BI250">
        <v>2010</v>
      </c>
      <c r="BJ250">
        <v>19</v>
      </c>
      <c r="BK250" t="s">
        <v>4221</v>
      </c>
      <c r="BL250">
        <v>23</v>
      </c>
      <c r="BN250" t="s">
        <v>113</v>
      </c>
      <c r="BO250" t="s">
        <v>4222</v>
      </c>
      <c r="BP250" t="s">
        <v>4223</v>
      </c>
      <c r="BQ250" t="s">
        <v>338</v>
      </c>
      <c r="BR250">
        <v>7.84</v>
      </c>
      <c r="BS250">
        <v>7.84</v>
      </c>
      <c r="BT250">
        <v>2012</v>
      </c>
      <c r="BU250">
        <v>31</v>
      </c>
      <c r="BV250" t="s">
        <v>3448</v>
      </c>
      <c r="BW250">
        <v>23</v>
      </c>
      <c r="BY250" t="s">
        <v>113</v>
      </c>
      <c r="BZ250" t="s">
        <v>124</v>
      </c>
      <c r="CA250" t="s">
        <v>124</v>
      </c>
      <c r="CB250" t="s">
        <v>4224</v>
      </c>
      <c r="CC250">
        <v>74</v>
      </c>
      <c r="CE250">
        <v>2023</v>
      </c>
      <c r="CF250" t="s">
        <v>109</v>
      </c>
      <c r="CL250" t="s">
        <v>113</v>
      </c>
      <c r="CN250" t="s">
        <v>113</v>
      </c>
      <c r="CO250" t="s">
        <v>4225</v>
      </c>
      <c r="CP250" t="s">
        <v>4226</v>
      </c>
      <c r="CQ250" t="s">
        <v>4230</v>
      </c>
      <c r="CR250" t="s">
        <v>136</v>
      </c>
      <c r="CS250" t="str">
        <f>HYPERLINK("https://nconnect.nicmar.ac.in/pdf/401_resume_1771612617.pdf/Y2FyZWVy","View Resume")</f>
        <v>0</v>
      </c>
    </row>
    <row r="251" spans="1:97">
      <c r="A251" t="s">
        <v>372</v>
      </c>
      <c r="B251" t="s">
        <v>98</v>
      </c>
      <c r="C251" t="s">
        <v>165</v>
      </c>
      <c r="D251" t="s">
        <v>224</v>
      </c>
      <c r="E251" t="s">
        <v>4231</v>
      </c>
      <c r="F251" t="s">
        <v>4232</v>
      </c>
      <c r="G251">
        <v>9869686053</v>
      </c>
      <c r="H251" t="s">
        <v>103</v>
      </c>
      <c r="I251" t="s">
        <v>4233</v>
      </c>
      <c r="J251" t="s">
        <v>105</v>
      </c>
      <c r="K251" t="s">
        <v>997</v>
      </c>
      <c r="L251" t="s">
        <v>4234</v>
      </c>
      <c r="M251" t="s">
        <v>4235</v>
      </c>
      <c r="N251" t="s">
        <v>109</v>
      </c>
      <c r="AI251" t="s">
        <v>4236</v>
      </c>
      <c r="AJ251" t="s">
        <v>4237</v>
      </c>
      <c r="AK251" t="s">
        <v>4238</v>
      </c>
      <c r="AL251">
        <v>65.57</v>
      </c>
      <c r="AN251">
        <v>1981</v>
      </c>
      <c r="AO251" t="s">
        <v>113</v>
      </c>
      <c r="AP251" t="s">
        <v>4239</v>
      </c>
      <c r="AQ251" t="s">
        <v>4237</v>
      </c>
      <c r="AR251" t="s">
        <v>4240</v>
      </c>
      <c r="AS251">
        <v>58</v>
      </c>
      <c r="AU251">
        <v>1983</v>
      </c>
      <c r="AV251" t="s">
        <v>109</v>
      </c>
      <c r="BC251" t="s">
        <v>113</v>
      </c>
      <c r="BD251" t="s">
        <v>4241</v>
      </c>
      <c r="BE251" t="s">
        <v>4242</v>
      </c>
      <c r="BF251" t="s">
        <v>4243</v>
      </c>
      <c r="BG251">
        <v>62.5</v>
      </c>
      <c r="BI251">
        <v>1987</v>
      </c>
      <c r="BJ251">
        <v>19</v>
      </c>
      <c r="BK251" t="s">
        <v>4134</v>
      </c>
      <c r="BL251">
        <v>23</v>
      </c>
      <c r="BN251" t="s">
        <v>113</v>
      </c>
      <c r="BO251" t="s">
        <v>4241</v>
      </c>
      <c r="BP251" t="s">
        <v>4244</v>
      </c>
      <c r="BQ251" t="s">
        <v>4245</v>
      </c>
      <c r="BR251">
        <v>66.56</v>
      </c>
      <c r="BT251">
        <v>1989</v>
      </c>
      <c r="BU251">
        <v>31</v>
      </c>
      <c r="BV251" t="s">
        <v>4246</v>
      </c>
      <c r="BW251">
        <v>53</v>
      </c>
      <c r="BX251" t="s">
        <v>4247</v>
      </c>
      <c r="BY251" t="s">
        <v>113</v>
      </c>
      <c r="BZ251" t="s">
        <v>4248</v>
      </c>
      <c r="CA251" t="s">
        <v>4249</v>
      </c>
      <c r="CB251" t="s">
        <v>4250</v>
      </c>
      <c r="CC251">
        <v>72.12</v>
      </c>
      <c r="CE251">
        <v>2003</v>
      </c>
      <c r="CF251" t="s">
        <v>109</v>
      </c>
      <c r="CL251" t="s">
        <v>113</v>
      </c>
      <c r="CM251" t="s">
        <v>4251</v>
      </c>
      <c r="CN251" t="s">
        <v>113</v>
      </c>
      <c r="CO251" t="s">
        <v>4252</v>
      </c>
      <c r="CP251" t="s">
        <v>4253</v>
      </c>
      <c r="CQ251" t="s">
        <v>4254</v>
      </c>
      <c r="CR251" t="str">
        <f>HYPERLINK("https://nconnect.nicmar.ac.in/public/storage/profile/6999033619ff0.png","Download")</f>
        <v>0</v>
      </c>
      <c r="CS251" t="str">
        <f>HYPERLINK("https://nconnect.nicmar.ac.in/pdf/54_resume_1771474998.pdf/Y2FyZWVy","View Resume")</f>
        <v>0</v>
      </c>
    </row>
    <row r="252" spans="1:97">
      <c r="A252" t="s">
        <v>97</v>
      </c>
      <c r="B252" t="s">
        <v>98</v>
      </c>
      <c r="C252" t="s">
        <v>99</v>
      </c>
      <c r="D252" t="s">
        <v>100</v>
      </c>
      <c r="E252" t="s">
        <v>4231</v>
      </c>
      <c r="F252" t="s">
        <v>4232</v>
      </c>
      <c r="G252">
        <v>9869686053</v>
      </c>
      <c r="H252" t="s">
        <v>103</v>
      </c>
      <c r="I252" t="s">
        <v>4233</v>
      </c>
      <c r="J252" t="s">
        <v>105</v>
      </c>
      <c r="K252" t="s">
        <v>997</v>
      </c>
      <c r="L252" t="s">
        <v>4234</v>
      </c>
      <c r="M252" t="s">
        <v>4235</v>
      </c>
      <c r="N252" t="s">
        <v>109</v>
      </c>
      <c r="AI252" t="s">
        <v>4236</v>
      </c>
      <c r="AJ252" t="s">
        <v>4237</v>
      </c>
      <c r="AK252" t="s">
        <v>4238</v>
      </c>
      <c r="AL252">
        <v>65.57</v>
      </c>
      <c r="AN252">
        <v>1981</v>
      </c>
      <c r="AO252" t="s">
        <v>113</v>
      </c>
      <c r="AP252" t="s">
        <v>4239</v>
      </c>
      <c r="AQ252" t="s">
        <v>4237</v>
      </c>
      <c r="AR252" t="s">
        <v>4240</v>
      </c>
      <c r="AS252">
        <v>58</v>
      </c>
      <c r="AU252">
        <v>1983</v>
      </c>
      <c r="AV252" t="s">
        <v>109</v>
      </c>
      <c r="BC252" t="s">
        <v>113</v>
      </c>
      <c r="BD252" t="s">
        <v>4241</v>
      </c>
      <c r="BE252" t="s">
        <v>4242</v>
      </c>
      <c r="BF252" t="s">
        <v>4243</v>
      </c>
      <c r="BG252">
        <v>62.5</v>
      </c>
      <c r="BI252">
        <v>1987</v>
      </c>
      <c r="BJ252">
        <v>19</v>
      </c>
      <c r="BK252" t="s">
        <v>4134</v>
      </c>
      <c r="BL252">
        <v>23</v>
      </c>
      <c r="BN252" t="s">
        <v>113</v>
      </c>
      <c r="BO252" t="s">
        <v>4241</v>
      </c>
      <c r="BP252" t="s">
        <v>4244</v>
      </c>
      <c r="BQ252" t="s">
        <v>4245</v>
      </c>
      <c r="BR252">
        <v>66.56</v>
      </c>
      <c r="BT252">
        <v>1989</v>
      </c>
      <c r="BU252">
        <v>31</v>
      </c>
      <c r="BV252" t="s">
        <v>4246</v>
      </c>
      <c r="BW252">
        <v>53</v>
      </c>
      <c r="BX252" t="s">
        <v>4247</v>
      </c>
      <c r="BY252" t="s">
        <v>113</v>
      </c>
      <c r="BZ252" t="s">
        <v>4248</v>
      </c>
      <c r="CA252" t="s">
        <v>4249</v>
      </c>
      <c r="CB252" t="s">
        <v>4250</v>
      </c>
      <c r="CC252">
        <v>72.12</v>
      </c>
      <c r="CE252">
        <v>2003</v>
      </c>
      <c r="CF252" t="s">
        <v>109</v>
      </c>
      <c r="CL252" t="s">
        <v>113</v>
      </c>
      <c r="CM252" t="s">
        <v>4251</v>
      </c>
      <c r="CN252" t="s">
        <v>113</v>
      </c>
      <c r="CO252" t="s">
        <v>4252</v>
      </c>
      <c r="CP252" t="s">
        <v>4253</v>
      </c>
      <c r="CQ252" t="s">
        <v>4255</v>
      </c>
      <c r="CR252" t="str">
        <f>HYPERLINK("https://nconnect.nicmar.ac.in/public/storage/profile/6999033619ff0.png","Download")</f>
        <v>0</v>
      </c>
      <c r="CS252" t="str">
        <f>HYPERLINK("https://nconnect.nicmar.ac.in/pdf/54_resume_1771474998.pdf/Y2FyZWVy","View Resume")</f>
        <v>0</v>
      </c>
    </row>
    <row r="253" spans="1:97">
      <c r="A253" t="s">
        <v>223</v>
      </c>
      <c r="B253" t="s">
        <v>138</v>
      </c>
      <c r="C253" t="s">
        <v>165</v>
      </c>
      <c r="D253" t="s">
        <v>224</v>
      </c>
      <c r="E253" t="s">
        <v>4256</v>
      </c>
      <c r="F253" t="s">
        <v>4257</v>
      </c>
      <c r="G253">
        <v>7410573037</v>
      </c>
      <c r="H253" t="s">
        <v>103</v>
      </c>
      <c r="I253" t="s">
        <v>4258</v>
      </c>
      <c r="J253" t="s">
        <v>105</v>
      </c>
      <c r="K253" t="s">
        <v>4259</v>
      </c>
      <c r="L253" t="s">
        <v>4260</v>
      </c>
      <c r="M253" t="s">
        <v>4261</v>
      </c>
      <c r="N253" t="s">
        <v>109</v>
      </c>
      <c r="AI253" t="s">
        <v>4262</v>
      </c>
      <c r="AJ253" t="s">
        <v>4263</v>
      </c>
      <c r="AK253" t="s">
        <v>4264</v>
      </c>
      <c r="AL253">
        <v>72</v>
      </c>
      <c r="AN253">
        <v>1999</v>
      </c>
      <c r="AO253" t="s">
        <v>113</v>
      </c>
      <c r="AP253" t="s">
        <v>4265</v>
      </c>
      <c r="AQ253" t="s">
        <v>4266</v>
      </c>
      <c r="AR253" t="s">
        <v>785</v>
      </c>
      <c r="AS253">
        <v>67</v>
      </c>
      <c r="AU253">
        <v>2001</v>
      </c>
      <c r="AV253" t="s">
        <v>109</v>
      </c>
      <c r="BC253" t="s">
        <v>113</v>
      </c>
      <c r="BD253" t="s">
        <v>4267</v>
      </c>
      <c r="BE253" t="s">
        <v>4265</v>
      </c>
      <c r="BF253" t="s">
        <v>4268</v>
      </c>
      <c r="BG253">
        <v>70</v>
      </c>
      <c r="BI253">
        <v>2004</v>
      </c>
      <c r="BJ253">
        <v>19</v>
      </c>
      <c r="BK253" t="s">
        <v>282</v>
      </c>
      <c r="BL253">
        <v>53</v>
      </c>
      <c r="BM253" t="s">
        <v>4268</v>
      </c>
      <c r="BN253" t="s">
        <v>113</v>
      </c>
      <c r="BO253" t="s">
        <v>4269</v>
      </c>
      <c r="BP253" t="s">
        <v>4270</v>
      </c>
      <c r="BQ253" t="s">
        <v>4271</v>
      </c>
      <c r="BR253">
        <v>67</v>
      </c>
      <c r="BT253">
        <v>2010</v>
      </c>
      <c r="BU253">
        <v>31</v>
      </c>
      <c r="BV253" t="s">
        <v>987</v>
      </c>
      <c r="BW253">
        <v>53</v>
      </c>
      <c r="BX253" t="s">
        <v>4272</v>
      </c>
      <c r="BY253" t="s">
        <v>113</v>
      </c>
      <c r="BZ253" t="s">
        <v>4267</v>
      </c>
      <c r="CA253" t="s">
        <v>4267</v>
      </c>
      <c r="CB253" t="s">
        <v>4273</v>
      </c>
      <c r="CC253">
        <v>56</v>
      </c>
      <c r="CE253">
        <v>2012</v>
      </c>
      <c r="CF253" t="s">
        <v>109</v>
      </c>
      <c r="CL253" t="s">
        <v>109</v>
      </c>
      <c r="CN253" t="s">
        <v>109</v>
      </c>
      <c r="CP253" t="s">
        <v>435</v>
      </c>
      <c r="CQ253" t="s">
        <v>4274</v>
      </c>
      <c r="CR253" t="s">
        <v>136</v>
      </c>
      <c r="CS253" t="str">
        <f>HYPERLINK("https://nconnect.nicmar.ac.in/pdf/409_resume_1771646879.pdf/Y2FyZWVy","View Resume")</f>
        <v>0</v>
      </c>
    </row>
    <row r="254" spans="1:97">
      <c r="A254" t="s">
        <v>137</v>
      </c>
      <c r="B254" t="s">
        <v>138</v>
      </c>
      <c r="C254" t="s">
        <v>139</v>
      </c>
      <c r="D254" t="s">
        <v>140</v>
      </c>
      <c r="E254" t="s">
        <v>4275</v>
      </c>
      <c r="F254" t="s">
        <v>4276</v>
      </c>
      <c r="G254">
        <v>9094434240</v>
      </c>
      <c r="H254" t="s">
        <v>169</v>
      </c>
      <c r="I254" t="s">
        <v>4277</v>
      </c>
      <c r="J254" t="s">
        <v>144</v>
      </c>
      <c r="K254" t="s">
        <v>4278</v>
      </c>
      <c r="L254" t="s">
        <v>4279</v>
      </c>
      <c r="M254" t="s">
        <v>4280</v>
      </c>
      <c r="N254" t="s">
        <v>109</v>
      </c>
      <c r="AI254" t="s">
        <v>4281</v>
      </c>
      <c r="AJ254" t="s">
        <v>4282</v>
      </c>
      <c r="AK254" t="s">
        <v>4283</v>
      </c>
      <c r="AL254">
        <v>93</v>
      </c>
      <c r="AN254">
        <v>2014</v>
      </c>
      <c r="AO254" t="s">
        <v>113</v>
      </c>
      <c r="AP254" t="s">
        <v>4281</v>
      </c>
      <c r="AQ254" t="s">
        <v>4282</v>
      </c>
      <c r="AR254" t="s">
        <v>4284</v>
      </c>
      <c r="AS254">
        <v>84</v>
      </c>
      <c r="AU254">
        <v>2016</v>
      </c>
      <c r="AV254" t="s">
        <v>109</v>
      </c>
      <c r="BC254" t="s">
        <v>113</v>
      </c>
      <c r="BD254" t="s">
        <v>961</v>
      </c>
      <c r="BE254" t="s">
        <v>4285</v>
      </c>
      <c r="BF254" t="s">
        <v>4286</v>
      </c>
      <c r="BG254">
        <v>78</v>
      </c>
      <c r="BI254">
        <v>2020</v>
      </c>
      <c r="BJ254">
        <v>2</v>
      </c>
      <c r="BL254">
        <v>9</v>
      </c>
      <c r="BN254" t="s">
        <v>113</v>
      </c>
      <c r="BO254" t="s">
        <v>961</v>
      </c>
      <c r="BP254" t="s">
        <v>4287</v>
      </c>
      <c r="BQ254" t="s">
        <v>4288</v>
      </c>
      <c r="BR254">
        <v>94</v>
      </c>
      <c r="BT254">
        <v>2022</v>
      </c>
      <c r="BU254">
        <v>14</v>
      </c>
      <c r="BW254">
        <v>47</v>
      </c>
      <c r="BY254" t="s">
        <v>109</v>
      </c>
      <c r="CF254" t="s">
        <v>113</v>
      </c>
      <c r="CG254" t="s">
        <v>4289</v>
      </c>
      <c r="CH254" t="s">
        <v>4290</v>
      </c>
      <c r="CI254" t="s">
        <v>240</v>
      </c>
      <c r="CK254" t="s">
        <v>109</v>
      </c>
      <c r="CL254" t="s">
        <v>109</v>
      </c>
      <c r="CN254" t="s">
        <v>113</v>
      </c>
      <c r="CO254" t="s">
        <v>4291</v>
      </c>
      <c r="CP254" t="s">
        <v>4292</v>
      </c>
      <c r="CQ254" t="s">
        <v>4293</v>
      </c>
      <c r="CR254" t="str">
        <f>HYPERLINK("https://nconnect.nicmar.ac.in/public/storage/profile/69980691afcdf.png","Download")</f>
        <v>0</v>
      </c>
      <c r="CS254" t="str">
        <f>HYPERLINK("https://nconnect.nicmar.ac.in/pdf/354_resume_1771650754.pdf/Y2FyZWVy","View Resume")</f>
        <v>0</v>
      </c>
    </row>
    <row r="255" spans="1:97">
      <c r="A255" t="s">
        <v>190</v>
      </c>
      <c r="B255" t="s">
        <v>138</v>
      </c>
      <c r="C255" t="s">
        <v>139</v>
      </c>
      <c r="D255" t="s">
        <v>191</v>
      </c>
      <c r="E255" t="s">
        <v>4294</v>
      </c>
      <c r="F255" t="s">
        <v>4295</v>
      </c>
      <c r="G255">
        <v>7387425814</v>
      </c>
      <c r="H255" t="s">
        <v>169</v>
      </c>
      <c r="I255" t="s">
        <v>4296</v>
      </c>
      <c r="J255" t="s">
        <v>105</v>
      </c>
      <c r="K255" t="s">
        <v>484</v>
      </c>
      <c r="L255" t="s">
        <v>4297</v>
      </c>
      <c r="M255" t="s">
        <v>4298</v>
      </c>
      <c r="N255" t="s">
        <v>109</v>
      </c>
      <c r="AI255" t="s">
        <v>4299</v>
      </c>
      <c r="AJ255" t="s">
        <v>4300</v>
      </c>
      <c r="AK255" t="s">
        <v>4301</v>
      </c>
      <c r="AL255">
        <v>86.6</v>
      </c>
      <c r="AM255">
        <v>9.11</v>
      </c>
      <c r="AN255">
        <v>2003</v>
      </c>
      <c r="AO255" t="s">
        <v>113</v>
      </c>
      <c r="AP255" t="s">
        <v>4299</v>
      </c>
      <c r="AQ255" t="s">
        <v>4300</v>
      </c>
      <c r="AR255" t="s">
        <v>4302</v>
      </c>
      <c r="AS255">
        <v>86</v>
      </c>
      <c r="AT255">
        <v>9.05</v>
      </c>
      <c r="AU255">
        <v>2005</v>
      </c>
      <c r="AV255" t="s">
        <v>109</v>
      </c>
      <c r="BC255" t="s">
        <v>113</v>
      </c>
      <c r="BD255" t="s">
        <v>4303</v>
      </c>
      <c r="BE255" t="s">
        <v>4304</v>
      </c>
      <c r="BF255" t="s">
        <v>1543</v>
      </c>
      <c r="BG255">
        <v>82.23</v>
      </c>
      <c r="BH255">
        <v>8.65</v>
      </c>
      <c r="BI255">
        <v>2008</v>
      </c>
      <c r="BJ255">
        <v>19</v>
      </c>
      <c r="BK255" t="s">
        <v>4305</v>
      </c>
      <c r="BL255">
        <v>53</v>
      </c>
      <c r="BM255" t="s">
        <v>281</v>
      </c>
      <c r="BN255" t="s">
        <v>113</v>
      </c>
      <c r="BO255" t="s">
        <v>4303</v>
      </c>
      <c r="BP255" t="s">
        <v>4304</v>
      </c>
      <c r="BQ255" t="s">
        <v>281</v>
      </c>
      <c r="BR255">
        <v>92.6</v>
      </c>
      <c r="BS255">
        <v>9.7</v>
      </c>
      <c r="BT255">
        <v>2010</v>
      </c>
      <c r="BU255">
        <v>31</v>
      </c>
      <c r="BV255" t="s">
        <v>626</v>
      </c>
      <c r="BW255">
        <v>53</v>
      </c>
      <c r="BX255" t="s">
        <v>281</v>
      </c>
      <c r="BY255" t="s">
        <v>113</v>
      </c>
      <c r="BZ255" t="s">
        <v>4303</v>
      </c>
      <c r="CA255" t="s">
        <v>4306</v>
      </c>
      <c r="CB255" t="s">
        <v>281</v>
      </c>
      <c r="CC255">
        <v>83.83</v>
      </c>
      <c r="CD255">
        <v>8.82</v>
      </c>
      <c r="CE255">
        <v>2012</v>
      </c>
      <c r="CF255" t="s">
        <v>113</v>
      </c>
      <c r="CG255" t="s">
        <v>4307</v>
      </c>
      <c r="CH255" t="s">
        <v>4303</v>
      </c>
      <c r="CI255" t="s">
        <v>132</v>
      </c>
      <c r="CJ255">
        <v>2016</v>
      </c>
      <c r="CL255" t="s">
        <v>109</v>
      </c>
      <c r="CN255" t="s">
        <v>113</v>
      </c>
      <c r="CO255" t="s">
        <v>4308</v>
      </c>
      <c r="CP255" t="s">
        <v>1821</v>
      </c>
      <c r="CQ255" t="s">
        <v>4309</v>
      </c>
      <c r="CR255" t="str">
        <f>HYPERLINK("https://nconnect.nicmar.ac.in/public/storage/profile/699801f51e115.png","Download")</f>
        <v>0</v>
      </c>
      <c r="CS255" t="str">
        <f>HYPERLINK("https://nconnect.nicmar.ac.in/pdf/352_resume_1771650945.pdf/Y2FyZWVy","View Resume")</f>
        <v>0</v>
      </c>
    </row>
    <row r="256" spans="1:97">
      <c r="A256" t="s">
        <v>3610</v>
      </c>
      <c r="B256" t="s">
        <v>3611</v>
      </c>
      <c r="C256" t="s">
        <v>295</v>
      </c>
      <c r="D256" t="s">
        <v>296</v>
      </c>
      <c r="E256" t="s">
        <v>4310</v>
      </c>
      <c r="F256" t="s">
        <v>4311</v>
      </c>
      <c r="G256">
        <v>9823275619</v>
      </c>
      <c r="H256" t="s">
        <v>103</v>
      </c>
      <c r="I256" t="s">
        <v>4312</v>
      </c>
      <c r="J256" t="s">
        <v>105</v>
      </c>
      <c r="K256" t="s">
        <v>526</v>
      </c>
      <c r="L256" t="s">
        <v>4313</v>
      </c>
      <c r="M256" t="s">
        <v>4314</v>
      </c>
      <c r="N256" t="s">
        <v>109</v>
      </c>
      <c r="AI256" t="s">
        <v>4315</v>
      </c>
      <c r="AJ256" t="s">
        <v>738</v>
      </c>
      <c r="AK256" t="s">
        <v>334</v>
      </c>
      <c r="AL256">
        <v>60</v>
      </c>
      <c r="AN256">
        <v>1969</v>
      </c>
      <c r="AO256" t="s">
        <v>109</v>
      </c>
      <c r="AP256" t="s">
        <v>4316</v>
      </c>
      <c r="AQ256" t="s">
        <v>4317</v>
      </c>
      <c r="AR256" t="s">
        <v>1425</v>
      </c>
      <c r="AU256">
        <v>1971</v>
      </c>
      <c r="AV256" t="s">
        <v>109</v>
      </c>
      <c r="BC256" t="s">
        <v>113</v>
      </c>
      <c r="BD256" t="s">
        <v>1303</v>
      </c>
      <c r="BE256" t="s">
        <v>4318</v>
      </c>
      <c r="BF256" t="s">
        <v>1047</v>
      </c>
      <c r="BG256">
        <v>69</v>
      </c>
      <c r="BI256">
        <v>1976</v>
      </c>
      <c r="BJ256">
        <v>19</v>
      </c>
      <c r="BK256" t="s">
        <v>4319</v>
      </c>
      <c r="BL256">
        <v>53</v>
      </c>
      <c r="BM256" t="s">
        <v>1047</v>
      </c>
      <c r="BN256" t="s">
        <v>109</v>
      </c>
      <c r="BQ256" t="s">
        <v>1047</v>
      </c>
      <c r="BT256">
        <v>1976</v>
      </c>
      <c r="BY256" t="s">
        <v>109</v>
      </c>
      <c r="CF256" t="s">
        <v>109</v>
      </c>
      <c r="CL256" t="s">
        <v>109</v>
      </c>
      <c r="CN256" t="s">
        <v>113</v>
      </c>
      <c r="CO256" t="s">
        <v>4320</v>
      </c>
      <c r="CP256" t="s">
        <v>4321</v>
      </c>
      <c r="CQ256" t="s">
        <v>4322</v>
      </c>
      <c r="CR256" t="s">
        <v>136</v>
      </c>
      <c r="CS256" t="str">
        <f>HYPERLINK("https://nconnect.nicmar.ac.in/pdf/11_resume_1771398923.pdf/Y2FyZWVy","View Resume")</f>
        <v>0</v>
      </c>
    </row>
    <row r="257" spans="1:97">
      <c r="A257" t="s">
        <v>223</v>
      </c>
      <c r="B257" t="s">
        <v>138</v>
      </c>
      <c r="C257" t="s">
        <v>165</v>
      </c>
      <c r="D257" t="s">
        <v>224</v>
      </c>
      <c r="E257" t="s">
        <v>4323</v>
      </c>
      <c r="F257" t="s">
        <v>4324</v>
      </c>
      <c r="G257">
        <v>8865030055</v>
      </c>
      <c r="H257" t="s">
        <v>103</v>
      </c>
      <c r="I257" t="s">
        <v>4325</v>
      </c>
      <c r="J257" t="s">
        <v>144</v>
      </c>
      <c r="K257" t="s">
        <v>228</v>
      </c>
      <c r="L257" t="s">
        <v>4326</v>
      </c>
      <c r="M257" t="s">
        <v>4327</v>
      </c>
      <c r="N257" t="s">
        <v>109</v>
      </c>
      <c r="AI257" t="s">
        <v>4328</v>
      </c>
      <c r="AJ257" t="s">
        <v>2189</v>
      </c>
      <c r="AK257" t="s">
        <v>4329</v>
      </c>
      <c r="AL257">
        <v>56.16</v>
      </c>
      <c r="AN257">
        <v>2008</v>
      </c>
      <c r="AO257" t="s">
        <v>113</v>
      </c>
      <c r="AP257" t="s">
        <v>4330</v>
      </c>
      <c r="AQ257" t="s">
        <v>2189</v>
      </c>
      <c r="AR257" t="s">
        <v>4331</v>
      </c>
      <c r="AS257">
        <v>58.8</v>
      </c>
      <c r="AU257">
        <v>2010</v>
      </c>
      <c r="AV257" t="s">
        <v>109</v>
      </c>
      <c r="BC257" t="s">
        <v>113</v>
      </c>
      <c r="BD257" t="s">
        <v>4332</v>
      </c>
      <c r="BE257" t="s">
        <v>4333</v>
      </c>
      <c r="BF257" t="s">
        <v>839</v>
      </c>
      <c r="BG257">
        <v>50.21</v>
      </c>
      <c r="BI257">
        <v>2013</v>
      </c>
      <c r="BJ257">
        <v>19</v>
      </c>
      <c r="BK257" t="s">
        <v>4334</v>
      </c>
      <c r="BL257">
        <v>24</v>
      </c>
      <c r="BN257" t="s">
        <v>113</v>
      </c>
      <c r="BO257" t="s">
        <v>815</v>
      </c>
      <c r="BP257" t="s">
        <v>2529</v>
      </c>
      <c r="BQ257" t="s">
        <v>839</v>
      </c>
      <c r="BR257">
        <v>75.5</v>
      </c>
      <c r="BT257">
        <v>2017</v>
      </c>
      <c r="BU257">
        <v>31</v>
      </c>
      <c r="BV257" t="s">
        <v>4335</v>
      </c>
      <c r="BW257">
        <v>24</v>
      </c>
      <c r="BY257" t="s">
        <v>109</v>
      </c>
      <c r="CF257" t="s">
        <v>113</v>
      </c>
      <c r="CG257" t="s">
        <v>4336</v>
      </c>
      <c r="CH257" t="s">
        <v>815</v>
      </c>
      <c r="CI257" t="s">
        <v>132</v>
      </c>
      <c r="CJ257">
        <v>2022</v>
      </c>
      <c r="CL257" t="s">
        <v>109</v>
      </c>
      <c r="CN257" t="s">
        <v>109</v>
      </c>
      <c r="CP257" t="s">
        <v>4337</v>
      </c>
      <c r="CQ257" t="s">
        <v>4322</v>
      </c>
      <c r="CR257" t="str">
        <f>HYPERLINK("https://nconnect.nicmar.ac.in/public/storage/profile/699937e9ad0fc.png","Download")</f>
        <v>0</v>
      </c>
      <c r="CS257" t="str">
        <f>HYPERLINK("https://nconnect.nicmar.ac.in/pdf/413_resume_1771651564.pdf/Y2FyZWVy","View Resume")</f>
        <v>0</v>
      </c>
    </row>
    <row r="258" spans="1:97">
      <c r="A258" t="s">
        <v>190</v>
      </c>
      <c r="B258" t="s">
        <v>138</v>
      </c>
      <c r="C258" t="s">
        <v>139</v>
      </c>
      <c r="D258" t="s">
        <v>191</v>
      </c>
      <c r="E258" t="s">
        <v>4338</v>
      </c>
      <c r="F258" t="s">
        <v>4339</v>
      </c>
      <c r="G258">
        <v>9562260449</v>
      </c>
      <c r="H258" t="s">
        <v>103</v>
      </c>
      <c r="I258" t="s">
        <v>4340</v>
      </c>
      <c r="J258" t="s">
        <v>144</v>
      </c>
      <c r="K258" t="s">
        <v>4341</v>
      </c>
      <c r="L258" t="s">
        <v>4342</v>
      </c>
      <c r="M258" t="s">
        <v>4343</v>
      </c>
      <c r="N258" t="s">
        <v>109</v>
      </c>
      <c r="AI258" t="s">
        <v>4344</v>
      </c>
      <c r="AJ258" t="s">
        <v>4345</v>
      </c>
      <c r="AK258" t="s">
        <v>4346</v>
      </c>
      <c r="AL258">
        <v>90</v>
      </c>
      <c r="AM258">
        <v>9</v>
      </c>
      <c r="AN258">
        <v>2013</v>
      </c>
      <c r="AO258" t="s">
        <v>113</v>
      </c>
      <c r="AP258" t="s">
        <v>4347</v>
      </c>
      <c r="AQ258" t="s">
        <v>4345</v>
      </c>
      <c r="AR258" t="s">
        <v>4346</v>
      </c>
      <c r="AS258">
        <v>90</v>
      </c>
      <c r="AT258">
        <v>9</v>
      </c>
      <c r="AU258">
        <v>2015</v>
      </c>
      <c r="AV258" t="s">
        <v>109</v>
      </c>
      <c r="BC258" t="s">
        <v>113</v>
      </c>
      <c r="BD258" t="s">
        <v>4348</v>
      </c>
      <c r="BE258" t="s">
        <v>4345</v>
      </c>
      <c r="BF258" t="s">
        <v>2079</v>
      </c>
      <c r="BG258">
        <v>60</v>
      </c>
      <c r="BH258">
        <v>6.06</v>
      </c>
      <c r="BI258">
        <v>2018</v>
      </c>
      <c r="BJ258">
        <v>19</v>
      </c>
      <c r="BK258" t="s">
        <v>4349</v>
      </c>
      <c r="BL258">
        <v>52</v>
      </c>
      <c r="BN258" t="s">
        <v>113</v>
      </c>
      <c r="BO258" t="s">
        <v>4350</v>
      </c>
      <c r="BP258" t="s">
        <v>4351</v>
      </c>
      <c r="BQ258" t="s">
        <v>2079</v>
      </c>
      <c r="BR258">
        <v>70</v>
      </c>
      <c r="BS258">
        <v>7.57</v>
      </c>
      <c r="BT258">
        <v>2021</v>
      </c>
      <c r="BU258">
        <v>31</v>
      </c>
      <c r="BV258" t="s">
        <v>4352</v>
      </c>
      <c r="BW258">
        <v>52</v>
      </c>
      <c r="BY258" t="s">
        <v>109</v>
      </c>
      <c r="CF258" t="s">
        <v>113</v>
      </c>
      <c r="CG258" t="s">
        <v>4353</v>
      </c>
      <c r="CH258" t="s">
        <v>4354</v>
      </c>
      <c r="CI258" t="s">
        <v>132</v>
      </c>
      <c r="CJ258">
        <v>2025</v>
      </c>
      <c r="CL258" t="s">
        <v>109</v>
      </c>
      <c r="CN258" t="s">
        <v>113</v>
      </c>
      <c r="CO258" t="s">
        <v>4355</v>
      </c>
      <c r="CP258" t="s">
        <v>4356</v>
      </c>
      <c r="CQ258" t="s">
        <v>4357</v>
      </c>
      <c r="CR258" t="str">
        <f>HYPERLINK("https://nconnect.nicmar.ac.in/public/storage/profile/699942a0a9463.png","Download")</f>
        <v>0</v>
      </c>
      <c r="CS258" t="str">
        <f>HYPERLINK("https://nconnect.nicmar.ac.in/pdf/416_resume_1771653241.pdf/Y2FyZWVy","View Resume")</f>
        <v>0</v>
      </c>
    </row>
    <row r="259" spans="1:97">
      <c r="A259" t="s">
        <v>137</v>
      </c>
      <c r="B259" t="s">
        <v>138</v>
      </c>
      <c r="C259" t="s">
        <v>139</v>
      </c>
      <c r="D259" t="s">
        <v>140</v>
      </c>
      <c r="E259" t="s">
        <v>4358</v>
      </c>
      <c r="F259" t="s">
        <v>4359</v>
      </c>
      <c r="G259">
        <v>7367026022</v>
      </c>
      <c r="H259" t="s">
        <v>103</v>
      </c>
      <c r="I259" t="s">
        <v>4360</v>
      </c>
      <c r="J259" t="s">
        <v>105</v>
      </c>
      <c r="K259" t="s">
        <v>4361</v>
      </c>
      <c r="L259" t="s">
        <v>4362</v>
      </c>
      <c r="M259" t="s">
        <v>4363</v>
      </c>
      <c r="N259" t="s">
        <v>109</v>
      </c>
      <c r="AI259" t="s">
        <v>4364</v>
      </c>
      <c r="AJ259" t="s">
        <v>530</v>
      </c>
      <c r="AK259" t="s">
        <v>4365</v>
      </c>
      <c r="AL259">
        <v>76.75</v>
      </c>
      <c r="AN259">
        <v>2010</v>
      </c>
      <c r="AO259" t="s">
        <v>113</v>
      </c>
      <c r="AP259" t="s">
        <v>4364</v>
      </c>
      <c r="AQ259" t="s">
        <v>533</v>
      </c>
      <c r="AR259" t="s">
        <v>4366</v>
      </c>
      <c r="AS259">
        <v>77.6</v>
      </c>
      <c r="AU259">
        <v>2012</v>
      </c>
      <c r="AV259" t="s">
        <v>109</v>
      </c>
      <c r="BC259" t="s">
        <v>113</v>
      </c>
      <c r="BD259" t="s">
        <v>3674</v>
      </c>
      <c r="BE259" t="s">
        <v>4367</v>
      </c>
      <c r="BF259" t="s">
        <v>309</v>
      </c>
      <c r="BG259">
        <v>78.66</v>
      </c>
      <c r="BH259">
        <v>8.28</v>
      </c>
      <c r="BI259">
        <v>2016</v>
      </c>
      <c r="BJ259">
        <v>1</v>
      </c>
      <c r="BL259">
        <v>9</v>
      </c>
      <c r="BN259" t="s">
        <v>113</v>
      </c>
      <c r="BO259" t="s">
        <v>4368</v>
      </c>
      <c r="BP259" t="s">
        <v>4368</v>
      </c>
      <c r="BQ259" t="s">
        <v>140</v>
      </c>
      <c r="BR259">
        <v>80.75</v>
      </c>
      <c r="BS259">
        <v>8.5</v>
      </c>
      <c r="BT259">
        <v>2018</v>
      </c>
      <c r="BU259">
        <v>14</v>
      </c>
      <c r="BW259">
        <v>7</v>
      </c>
      <c r="BY259" t="s">
        <v>109</v>
      </c>
      <c r="CF259" t="s">
        <v>113</v>
      </c>
      <c r="CG259" t="s">
        <v>4369</v>
      </c>
      <c r="CH259" t="s">
        <v>4370</v>
      </c>
      <c r="CI259" t="s">
        <v>132</v>
      </c>
      <c r="CJ259">
        <v>2024</v>
      </c>
      <c r="CL259" t="s">
        <v>109</v>
      </c>
      <c r="CN259" t="s">
        <v>113</v>
      </c>
      <c r="CO259" t="s">
        <v>4371</v>
      </c>
      <c r="CP259" t="s">
        <v>4365</v>
      </c>
      <c r="CQ259" t="s">
        <v>4372</v>
      </c>
      <c r="CR259" t="str">
        <f>HYPERLINK("https://nconnect.nicmar.ac.in/public/storage/profile/699939c9ca3be.png","Download")</f>
        <v>0</v>
      </c>
      <c r="CS259" t="str">
        <f>HYPERLINK("https://nconnect.nicmar.ac.in/pdf/414_resume_1771653405.pdf/Y2FyZWVy","View Resume")</f>
        <v>0</v>
      </c>
    </row>
    <row r="260" spans="1:97">
      <c r="A260" t="s">
        <v>190</v>
      </c>
      <c r="B260" t="s">
        <v>138</v>
      </c>
      <c r="C260" t="s">
        <v>139</v>
      </c>
      <c r="D260" t="s">
        <v>191</v>
      </c>
      <c r="E260" t="s">
        <v>4373</v>
      </c>
      <c r="F260" t="s">
        <v>4374</v>
      </c>
      <c r="G260">
        <v>7985508236</v>
      </c>
      <c r="H260" t="s">
        <v>103</v>
      </c>
      <c r="I260" t="s">
        <v>4375</v>
      </c>
      <c r="J260" t="s">
        <v>105</v>
      </c>
      <c r="K260" t="s">
        <v>145</v>
      </c>
      <c r="L260" t="s">
        <v>4376</v>
      </c>
      <c r="M260" t="s">
        <v>4377</v>
      </c>
      <c r="N260" t="s">
        <v>109</v>
      </c>
      <c r="AI260" t="s">
        <v>4378</v>
      </c>
      <c r="AJ260" t="s">
        <v>4379</v>
      </c>
      <c r="AK260" t="s">
        <v>4380</v>
      </c>
      <c r="AL260">
        <v>51</v>
      </c>
      <c r="AN260">
        <v>2008</v>
      </c>
      <c r="AO260" t="s">
        <v>113</v>
      </c>
      <c r="AP260" t="s">
        <v>4381</v>
      </c>
      <c r="AQ260" t="s">
        <v>4379</v>
      </c>
      <c r="AR260" t="s">
        <v>4382</v>
      </c>
      <c r="AS260">
        <v>63</v>
      </c>
      <c r="AU260">
        <v>2010</v>
      </c>
      <c r="AV260" t="s">
        <v>109</v>
      </c>
      <c r="BC260" t="s">
        <v>113</v>
      </c>
      <c r="BD260" t="s">
        <v>4383</v>
      </c>
      <c r="BE260" t="s">
        <v>4384</v>
      </c>
      <c r="BF260" t="s">
        <v>4385</v>
      </c>
      <c r="BG260">
        <v>61</v>
      </c>
      <c r="BI260">
        <v>2013</v>
      </c>
      <c r="BJ260">
        <v>19</v>
      </c>
      <c r="BK260" t="s">
        <v>335</v>
      </c>
      <c r="BL260">
        <v>52</v>
      </c>
      <c r="BN260" t="s">
        <v>113</v>
      </c>
      <c r="BO260" t="s">
        <v>1348</v>
      </c>
      <c r="BP260" t="s">
        <v>1348</v>
      </c>
      <c r="BQ260" t="s">
        <v>4386</v>
      </c>
      <c r="BR260">
        <v>82</v>
      </c>
      <c r="BS260">
        <v>8.2</v>
      </c>
      <c r="BT260">
        <v>2016</v>
      </c>
      <c r="BU260">
        <v>31</v>
      </c>
      <c r="BV260" t="s">
        <v>1965</v>
      </c>
      <c r="BW260">
        <v>52</v>
      </c>
      <c r="BY260" t="s">
        <v>109</v>
      </c>
      <c r="CF260" t="s">
        <v>113</v>
      </c>
      <c r="CG260" t="s">
        <v>2061</v>
      </c>
      <c r="CH260" t="s">
        <v>1348</v>
      </c>
      <c r="CI260" t="s">
        <v>132</v>
      </c>
      <c r="CJ260">
        <v>2025</v>
      </c>
      <c r="CL260" t="s">
        <v>109</v>
      </c>
      <c r="CN260" t="s">
        <v>109</v>
      </c>
      <c r="CP260" t="s">
        <v>4387</v>
      </c>
      <c r="CQ260" t="s">
        <v>4388</v>
      </c>
      <c r="CR260" t="s">
        <v>136</v>
      </c>
      <c r="CS260" t="str">
        <f>HYPERLINK("https://nconnect.nicmar.ac.in/pdf/399_resume_1771653686.pdf/Y2FyZWVy","View Resume")</f>
        <v>0</v>
      </c>
    </row>
    <row r="261" spans="1:97">
      <c r="A261" t="s">
        <v>1183</v>
      </c>
      <c r="B261" t="s">
        <v>318</v>
      </c>
      <c r="C261" t="s">
        <v>99</v>
      </c>
      <c r="D261" t="s">
        <v>1184</v>
      </c>
      <c r="E261" t="s">
        <v>4389</v>
      </c>
      <c r="F261" t="s">
        <v>4390</v>
      </c>
      <c r="G261">
        <v>8105831256</v>
      </c>
      <c r="H261" t="s">
        <v>103</v>
      </c>
      <c r="I261" t="s">
        <v>4391</v>
      </c>
      <c r="J261" t="s">
        <v>105</v>
      </c>
      <c r="K261" t="s">
        <v>4392</v>
      </c>
      <c r="L261" t="s">
        <v>4393</v>
      </c>
      <c r="M261" t="s">
        <v>4394</v>
      </c>
      <c r="N261" t="s">
        <v>109</v>
      </c>
      <c r="AI261" t="s">
        <v>4395</v>
      </c>
      <c r="AJ261" t="s">
        <v>4396</v>
      </c>
      <c r="AK261" t="s">
        <v>4397</v>
      </c>
      <c r="AL261">
        <v>76.8</v>
      </c>
      <c r="AN261">
        <v>2003</v>
      </c>
      <c r="AO261" t="s">
        <v>113</v>
      </c>
      <c r="AP261" t="s">
        <v>4395</v>
      </c>
      <c r="AQ261" t="s">
        <v>4396</v>
      </c>
      <c r="AR261" t="s">
        <v>4398</v>
      </c>
      <c r="AS261">
        <v>63.2</v>
      </c>
      <c r="AU261">
        <v>2005</v>
      </c>
      <c r="AV261" t="s">
        <v>109</v>
      </c>
      <c r="BC261" t="s">
        <v>113</v>
      </c>
      <c r="BD261" t="s">
        <v>4399</v>
      </c>
      <c r="BE261" t="s">
        <v>4400</v>
      </c>
      <c r="BF261" t="s">
        <v>1117</v>
      </c>
      <c r="BG261">
        <v>77.71</v>
      </c>
      <c r="BH261">
        <v>8.18</v>
      </c>
      <c r="BI261">
        <v>2011</v>
      </c>
      <c r="BJ261">
        <v>8</v>
      </c>
      <c r="BL261">
        <v>2</v>
      </c>
      <c r="BN261" t="s">
        <v>113</v>
      </c>
      <c r="BO261" t="s">
        <v>4401</v>
      </c>
      <c r="BP261" t="s">
        <v>4402</v>
      </c>
      <c r="BQ261" t="s">
        <v>4403</v>
      </c>
      <c r="BR261">
        <v>86.7</v>
      </c>
      <c r="BS261">
        <v>9.13</v>
      </c>
      <c r="BT261">
        <v>2018</v>
      </c>
      <c r="BU261">
        <v>21</v>
      </c>
      <c r="BW261">
        <v>2</v>
      </c>
      <c r="BY261" t="s">
        <v>113</v>
      </c>
      <c r="BZ261" t="s">
        <v>4404</v>
      </c>
      <c r="CA261" t="s">
        <v>4405</v>
      </c>
      <c r="CB261" t="s">
        <v>4406</v>
      </c>
      <c r="CC261">
        <v>100</v>
      </c>
      <c r="CE261">
        <v>2027</v>
      </c>
      <c r="CF261" t="s">
        <v>113</v>
      </c>
      <c r="CG261" t="s">
        <v>4407</v>
      </c>
      <c r="CH261" t="s">
        <v>4408</v>
      </c>
      <c r="CI261" t="s">
        <v>132</v>
      </c>
      <c r="CJ261">
        <v>2024</v>
      </c>
      <c r="CL261" t="s">
        <v>109</v>
      </c>
      <c r="CN261" t="s">
        <v>113</v>
      </c>
      <c r="CO261" t="s">
        <v>4409</v>
      </c>
      <c r="CP261" t="s">
        <v>4410</v>
      </c>
      <c r="CQ261" t="s">
        <v>4411</v>
      </c>
      <c r="CR261" t="str">
        <f>HYPERLINK("https://nconnect.nicmar.ac.in/public/storage/profile/69993e93bb658.png","Download")</f>
        <v>0</v>
      </c>
      <c r="CS261" t="str">
        <f>HYPERLINK("https://nconnect.nicmar.ac.in/pdf/129_resume_1771654341.pdf/Y2FyZWVy","View Resume")</f>
        <v>0</v>
      </c>
    </row>
    <row r="262" spans="1:97">
      <c r="A262" t="s">
        <v>370</v>
      </c>
      <c r="B262" t="s">
        <v>138</v>
      </c>
      <c r="C262" t="s">
        <v>295</v>
      </c>
      <c r="D262" t="s">
        <v>371</v>
      </c>
      <c r="E262" t="s">
        <v>2552</v>
      </c>
      <c r="F262" t="s">
        <v>2553</v>
      </c>
      <c r="G262">
        <v>9940270826</v>
      </c>
      <c r="H262" t="s">
        <v>103</v>
      </c>
      <c r="I262" t="s">
        <v>2554</v>
      </c>
      <c r="J262" t="s">
        <v>105</v>
      </c>
      <c r="K262" t="s">
        <v>300</v>
      </c>
      <c r="L262" t="s">
        <v>2555</v>
      </c>
      <c r="M262" t="s">
        <v>2556</v>
      </c>
      <c r="N262" t="s">
        <v>109</v>
      </c>
      <c r="AI262" t="s">
        <v>2557</v>
      </c>
      <c r="AJ262" t="s">
        <v>2558</v>
      </c>
      <c r="AK262" t="s">
        <v>2559</v>
      </c>
      <c r="AL262">
        <v>94.4</v>
      </c>
      <c r="AN262">
        <v>2006</v>
      </c>
      <c r="AO262" t="s">
        <v>113</v>
      </c>
      <c r="AP262" t="s">
        <v>2557</v>
      </c>
      <c r="AQ262" t="s">
        <v>2558</v>
      </c>
      <c r="AR262" t="s">
        <v>2560</v>
      </c>
      <c r="AS262">
        <v>89</v>
      </c>
      <c r="AU262">
        <v>2008</v>
      </c>
      <c r="AV262" t="s">
        <v>109</v>
      </c>
      <c r="BC262" t="s">
        <v>113</v>
      </c>
      <c r="BD262" t="s">
        <v>2561</v>
      </c>
      <c r="BE262" t="s">
        <v>2562</v>
      </c>
      <c r="BF262" t="s">
        <v>156</v>
      </c>
      <c r="BG262">
        <v>83.5</v>
      </c>
      <c r="BH262">
        <v>8.35</v>
      </c>
      <c r="BI262">
        <v>2012</v>
      </c>
      <c r="BJ262">
        <v>2</v>
      </c>
      <c r="BL262">
        <v>9</v>
      </c>
      <c r="BN262" t="s">
        <v>113</v>
      </c>
      <c r="BO262" t="s">
        <v>2563</v>
      </c>
      <c r="BP262" t="s">
        <v>2564</v>
      </c>
      <c r="BQ262" t="s">
        <v>2565</v>
      </c>
      <c r="BR262">
        <v>84.2</v>
      </c>
      <c r="BS262">
        <v>8.42</v>
      </c>
      <c r="BT262">
        <v>2016</v>
      </c>
      <c r="BU262">
        <v>12</v>
      </c>
      <c r="BW262">
        <v>13</v>
      </c>
      <c r="BY262" t="s">
        <v>109</v>
      </c>
      <c r="CF262" t="s">
        <v>113</v>
      </c>
      <c r="CG262" t="s">
        <v>2566</v>
      </c>
      <c r="CH262" t="s">
        <v>2567</v>
      </c>
      <c r="CI262" t="s">
        <v>240</v>
      </c>
      <c r="CK262" t="s">
        <v>113</v>
      </c>
      <c r="CL262" t="s">
        <v>113</v>
      </c>
      <c r="CM262" t="s">
        <v>2568</v>
      </c>
      <c r="CN262" t="s">
        <v>113</v>
      </c>
      <c r="CO262" t="s">
        <v>2569</v>
      </c>
      <c r="CP262" t="s">
        <v>2570</v>
      </c>
      <c r="CQ262" t="s">
        <v>4412</v>
      </c>
      <c r="CR262" t="str">
        <f>HYPERLINK("https://nconnect.nicmar.ac.in/public/storage/profile/6996e56310561.png","Download")</f>
        <v>0</v>
      </c>
      <c r="CS262" t="str">
        <f>HYPERLINK("https://nconnect.nicmar.ac.in/pdf/214_resume_1771504379.pdf/Y2FyZWVy","View Resume")</f>
        <v>0</v>
      </c>
    </row>
    <row r="263" spans="1:97">
      <c r="A263" t="s">
        <v>521</v>
      </c>
      <c r="B263" t="s">
        <v>138</v>
      </c>
      <c r="C263" t="s">
        <v>165</v>
      </c>
      <c r="D263" t="s">
        <v>522</v>
      </c>
      <c r="E263" t="s">
        <v>4413</v>
      </c>
      <c r="F263" t="s">
        <v>4414</v>
      </c>
      <c r="G263">
        <v>9765400825</v>
      </c>
      <c r="H263" t="s">
        <v>169</v>
      </c>
      <c r="I263" t="s">
        <v>4415</v>
      </c>
      <c r="J263" t="s">
        <v>105</v>
      </c>
      <c r="K263" t="s">
        <v>4416</v>
      </c>
      <c r="L263" t="s">
        <v>4417</v>
      </c>
      <c r="M263" t="s">
        <v>4418</v>
      </c>
      <c r="N263" t="s">
        <v>109</v>
      </c>
      <c r="AI263" t="s">
        <v>4419</v>
      </c>
      <c r="AJ263" t="s">
        <v>4420</v>
      </c>
      <c r="AK263" t="s">
        <v>277</v>
      </c>
      <c r="AL263">
        <v>82.8</v>
      </c>
      <c r="AN263">
        <v>2000</v>
      </c>
      <c r="AO263" t="s">
        <v>109</v>
      </c>
      <c r="AV263" t="s">
        <v>113</v>
      </c>
      <c r="AW263" t="s">
        <v>4421</v>
      </c>
      <c r="AX263" t="s">
        <v>4422</v>
      </c>
      <c r="AY263" t="s">
        <v>4423</v>
      </c>
      <c r="AZ263">
        <v>61.56</v>
      </c>
      <c r="BB263">
        <v>2003</v>
      </c>
      <c r="BC263" t="s">
        <v>113</v>
      </c>
      <c r="BD263" t="s">
        <v>4424</v>
      </c>
      <c r="BE263" t="s">
        <v>4425</v>
      </c>
      <c r="BF263" t="s">
        <v>4426</v>
      </c>
      <c r="BG263">
        <v>71.57</v>
      </c>
      <c r="BI263">
        <v>2006</v>
      </c>
      <c r="BJ263">
        <v>19</v>
      </c>
      <c r="BK263" t="s">
        <v>4427</v>
      </c>
      <c r="BL263">
        <v>11</v>
      </c>
      <c r="BN263" t="s">
        <v>113</v>
      </c>
      <c r="BO263" t="s">
        <v>2905</v>
      </c>
      <c r="BP263" t="s">
        <v>4428</v>
      </c>
      <c r="BQ263" t="s">
        <v>4429</v>
      </c>
      <c r="BR263">
        <v>67.5</v>
      </c>
      <c r="BS263">
        <v>7.5</v>
      </c>
      <c r="BT263">
        <v>2017</v>
      </c>
      <c r="BU263">
        <v>31</v>
      </c>
      <c r="BV263" t="s">
        <v>4430</v>
      </c>
      <c r="BW263">
        <v>11</v>
      </c>
      <c r="BY263" t="s">
        <v>109</v>
      </c>
      <c r="CF263" t="s">
        <v>113</v>
      </c>
      <c r="CG263" t="s">
        <v>4431</v>
      </c>
      <c r="CH263" t="s">
        <v>4432</v>
      </c>
      <c r="CI263" t="s">
        <v>240</v>
      </c>
      <c r="CK263" t="s">
        <v>113</v>
      </c>
      <c r="CL263" t="s">
        <v>113</v>
      </c>
      <c r="CN263" t="s">
        <v>109</v>
      </c>
      <c r="CP263" t="s">
        <v>4433</v>
      </c>
      <c r="CQ263" t="s">
        <v>4434</v>
      </c>
      <c r="CR263" t="s">
        <v>136</v>
      </c>
      <c r="CS263" t="str">
        <f>HYPERLINK("https://nconnect.nicmar.ac.in/pdf/217_resume_1771654611.pdf/Y2FyZWVy","View Resume")</f>
        <v>0</v>
      </c>
    </row>
    <row r="264" spans="1:97">
      <c r="A264" t="s">
        <v>223</v>
      </c>
      <c r="B264" t="s">
        <v>138</v>
      </c>
      <c r="C264" t="s">
        <v>165</v>
      </c>
      <c r="D264" t="s">
        <v>224</v>
      </c>
      <c r="E264" t="s">
        <v>4435</v>
      </c>
      <c r="F264" t="s">
        <v>4436</v>
      </c>
      <c r="G264">
        <v>9075337663</v>
      </c>
      <c r="H264" t="s">
        <v>169</v>
      </c>
      <c r="I264" t="s">
        <v>4437</v>
      </c>
      <c r="J264" t="s">
        <v>105</v>
      </c>
      <c r="K264" t="s">
        <v>634</v>
      </c>
      <c r="L264" t="s">
        <v>4438</v>
      </c>
      <c r="M264" t="s">
        <v>4439</v>
      </c>
      <c r="N264" t="s">
        <v>109</v>
      </c>
      <c r="AI264" t="s">
        <v>4440</v>
      </c>
      <c r="AJ264" t="s">
        <v>4441</v>
      </c>
      <c r="AK264" t="s">
        <v>4442</v>
      </c>
      <c r="AL264">
        <v>75.2</v>
      </c>
      <c r="AM264">
        <v>0</v>
      </c>
      <c r="AN264">
        <v>2000</v>
      </c>
      <c r="AO264" t="s">
        <v>113</v>
      </c>
      <c r="AP264" t="s">
        <v>4443</v>
      </c>
      <c r="AQ264" t="s">
        <v>4441</v>
      </c>
      <c r="AR264" t="s">
        <v>277</v>
      </c>
      <c r="AS264">
        <v>62</v>
      </c>
      <c r="AU264">
        <v>2002</v>
      </c>
      <c r="AV264" t="s">
        <v>109</v>
      </c>
      <c r="BC264" t="s">
        <v>113</v>
      </c>
      <c r="BD264" t="s">
        <v>4444</v>
      </c>
      <c r="BE264" t="s">
        <v>4445</v>
      </c>
      <c r="BF264" t="s">
        <v>277</v>
      </c>
      <c r="BG264">
        <v>81</v>
      </c>
      <c r="BI264">
        <v>2005</v>
      </c>
      <c r="BJ264">
        <v>19</v>
      </c>
      <c r="BK264" t="s">
        <v>3880</v>
      </c>
      <c r="BL264">
        <v>53</v>
      </c>
      <c r="BM264" t="s">
        <v>277</v>
      </c>
      <c r="BN264" t="s">
        <v>109</v>
      </c>
      <c r="BV264" t="s">
        <v>339</v>
      </c>
      <c r="BX264" t="s">
        <v>1686</v>
      </c>
      <c r="BY264" t="s">
        <v>109</v>
      </c>
      <c r="BZ264" t="s">
        <v>279</v>
      </c>
      <c r="CA264" t="s">
        <v>4446</v>
      </c>
      <c r="CB264" t="s">
        <v>1686</v>
      </c>
      <c r="CF264" t="s">
        <v>113</v>
      </c>
      <c r="CG264" t="s">
        <v>1686</v>
      </c>
      <c r="CH264" t="s">
        <v>4447</v>
      </c>
      <c r="CI264" t="s">
        <v>240</v>
      </c>
      <c r="CK264" t="s">
        <v>109</v>
      </c>
      <c r="CL264" t="s">
        <v>109</v>
      </c>
      <c r="CN264" t="s">
        <v>113</v>
      </c>
      <c r="CO264" t="s">
        <v>4448</v>
      </c>
      <c r="CP264" t="s">
        <v>4449</v>
      </c>
      <c r="CQ264" t="s">
        <v>4450</v>
      </c>
      <c r="CR264" t="str">
        <f>HYPERLINK("https://nconnect.nicmar.ac.in/public/storage/profile/69994cf2cbe2e.png","Download")</f>
        <v>0</v>
      </c>
      <c r="CS264" t="str">
        <f>HYPERLINK("https://nconnect.nicmar.ac.in/pdf/365_resume_1771654330.pdf/Y2FyZWVy","View Resume")</f>
        <v>0</v>
      </c>
    </row>
    <row r="265" spans="1:97">
      <c r="A265" t="s">
        <v>372</v>
      </c>
      <c r="B265" t="s">
        <v>98</v>
      </c>
      <c r="C265" t="s">
        <v>165</v>
      </c>
      <c r="D265" t="s">
        <v>224</v>
      </c>
      <c r="E265" t="s">
        <v>4435</v>
      </c>
      <c r="F265" t="s">
        <v>4436</v>
      </c>
      <c r="G265">
        <v>9075337663</v>
      </c>
      <c r="H265" t="s">
        <v>169</v>
      </c>
      <c r="I265" t="s">
        <v>4437</v>
      </c>
      <c r="J265" t="s">
        <v>105</v>
      </c>
      <c r="K265" t="s">
        <v>634</v>
      </c>
      <c r="L265" t="s">
        <v>4438</v>
      </c>
      <c r="M265" t="s">
        <v>4439</v>
      </c>
      <c r="N265" t="s">
        <v>109</v>
      </c>
      <c r="AI265" t="s">
        <v>4440</v>
      </c>
      <c r="AJ265" t="s">
        <v>4441</v>
      </c>
      <c r="AK265" t="s">
        <v>4442</v>
      </c>
      <c r="AL265">
        <v>75.2</v>
      </c>
      <c r="AM265">
        <v>0</v>
      </c>
      <c r="AN265">
        <v>2000</v>
      </c>
      <c r="AO265" t="s">
        <v>113</v>
      </c>
      <c r="AP265" t="s">
        <v>4443</v>
      </c>
      <c r="AQ265" t="s">
        <v>4441</v>
      </c>
      <c r="AR265" t="s">
        <v>277</v>
      </c>
      <c r="AS265">
        <v>62</v>
      </c>
      <c r="AU265">
        <v>2002</v>
      </c>
      <c r="AV265" t="s">
        <v>109</v>
      </c>
      <c r="BC265" t="s">
        <v>113</v>
      </c>
      <c r="BD265" t="s">
        <v>4444</v>
      </c>
      <c r="BE265" t="s">
        <v>4445</v>
      </c>
      <c r="BF265" t="s">
        <v>277</v>
      </c>
      <c r="BG265">
        <v>81</v>
      </c>
      <c r="BI265">
        <v>2005</v>
      </c>
      <c r="BJ265">
        <v>19</v>
      </c>
      <c r="BK265" t="s">
        <v>3880</v>
      </c>
      <c r="BL265">
        <v>53</v>
      </c>
      <c r="BM265" t="s">
        <v>277</v>
      </c>
      <c r="BN265" t="s">
        <v>109</v>
      </c>
      <c r="BV265" t="s">
        <v>339</v>
      </c>
      <c r="BX265" t="s">
        <v>1686</v>
      </c>
      <c r="BY265" t="s">
        <v>109</v>
      </c>
      <c r="BZ265" t="s">
        <v>279</v>
      </c>
      <c r="CA265" t="s">
        <v>4446</v>
      </c>
      <c r="CB265" t="s">
        <v>1686</v>
      </c>
      <c r="CF265" t="s">
        <v>113</v>
      </c>
      <c r="CG265" t="s">
        <v>1686</v>
      </c>
      <c r="CH265" t="s">
        <v>4447</v>
      </c>
      <c r="CI265" t="s">
        <v>240</v>
      </c>
      <c r="CK265" t="s">
        <v>109</v>
      </c>
      <c r="CL265" t="s">
        <v>109</v>
      </c>
      <c r="CN265" t="s">
        <v>113</v>
      </c>
      <c r="CO265" t="s">
        <v>4448</v>
      </c>
      <c r="CP265" t="s">
        <v>4449</v>
      </c>
      <c r="CQ265" t="s">
        <v>4451</v>
      </c>
      <c r="CR265" t="str">
        <f>HYPERLINK("https://nconnect.nicmar.ac.in/public/storage/profile/69994cf2cbe2e.png","Download")</f>
        <v>0</v>
      </c>
      <c r="CS265" t="str">
        <f>HYPERLINK("https://nconnect.nicmar.ac.in/pdf/365_resume_1771654330.pdf/Y2FyZWVy","View Resume")</f>
        <v>0</v>
      </c>
    </row>
    <row r="266" spans="1:97">
      <c r="A266" t="s">
        <v>192</v>
      </c>
      <c r="B266" t="s">
        <v>138</v>
      </c>
      <c r="C266" t="s">
        <v>165</v>
      </c>
      <c r="D266" t="s">
        <v>193</v>
      </c>
      <c r="E266" t="s">
        <v>4452</v>
      </c>
      <c r="F266" t="s">
        <v>4453</v>
      </c>
      <c r="G266">
        <v>7417182916</v>
      </c>
      <c r="H266" t="s">
        <v>103</v>
      </c>
      <c r="I266" t="s">
        <v>4454</v>
      </c>
      <c r="J266" t="s">
        <v>105</v>
      </c>
      <c r="K266" t="s">
        <v>484</v>
      </c>
      <c r="L266" t="s">
        <v>4455</v>
      </c>
      <c r="M266" t="s">
        <v>4456</v>
      </c>
      <c r="N266" t="s">
        <v>109</v>
      </c>
      <c r="AI266" t="s">
        <v>4457</v>
      </c>
      <c r="AJ266" t="s">
        <v>937</v>
      </c>
      <c r="AK266" t="s">
        <v>277</v>
      </c>
      <c r="AL266">
        <v>53.6</v>
      </c>
      <c r="AN266">
        <v>2008</v>
      </c>
      <c r="AO266" t="s">
        <v>113</v>
      </c>
      <c r="AP266" t="s">
        <v>4458</v>
      </c>
      <c r="AQ266" t="s">
        <v>4459</v>
      </c>
      <c r="AR266" t="s">
        <v>3185</v>
      </c>
      <c r="AS266">
        <v>63.75</v>
      </c>
      <c r="AU266">
        <v>2011</v>
      </c>
      <c r="AV266" t="s">
        <v>109</v>
      </c>
      <c r="BC266" t="s">
        <v>113</v>
      </c>
      <c r="BD266" t="s">
        <v>4460</v>
      </c>
      <c r="BE266" t="s">
        <v>4461</v>
      </c>
      <c r="BF266" t="s">
        <v>4462</v>
      </c>
      <c r="BG266">
        <v>55.84</v>
      </c>
      <c r="BI266">
        <v>2014</v>
      </c>
      <c r="BJ266">
        <v>9</v>
      </c>
      <c r="BL266">
        <v>33</v>
      </c>
      <c r="BN266" t="s">
        <v>113</v>
      </c>
      <c r="BO266" t="s">
        <v>4460</v>
      </c>
      <c r="BP266" t="s">
        <v>4463</v>
      </c>
      <c r="BQ266" t="s">
        <v>4464</v>
      </c>
      <c r="BR266">
        <v>63.93</v>
      </c>
      <c r="BT266">
        <v>2016</v>
      </c>
      <c r="BU266">
        <v>31</v>
      </c>
      <c r="BW266">
        <v>33</v>
      </c>
      <c r="BY266" t="s">
        <v>109</v>
      </c>
      <c r="CF266" t="s">
        <v>113</v>
      </c>
      <c r="CG266" t="s">
        <v>793</v>
      </c>
      <c r="CH266" t="s">
        <v>4465</v>
      </c>
      <c r="CI266" t="s">
        <v>132</v>
      </c>
      <c r="CJ266">
        <v>2025</v>
      </c>
      <c r="CL266" t="s">
        <v>109</v>
      </c>
      <c r="CN266" t="s">
        <v>109</v>
      </c>
      <c r="CP266" t="s">
        <v>460</v>
      </c>
      <c r="CQ266" t="s">
        <v>4466</v>
      </c>
      <c r="CR266" t="s">
        <v>136</v>
      </c>
      <c r="CS266" t="str">
        <f>HYPERLINK("https://nconnect.nicmar.ac.in/pdf/418_resume_1771655847.pdf/Y2FyZWVy","View Resume")</f>
        <v>0</v>
      </c>
    </row>
    <row r="267" spans="1:97">
      <c r="A267" t="s">
        <v>190</v>
      </c>
      <c r="B267" t="s">
        <v>138</v>
      </c>
      <c r="C267" t="s">
        <v>139</v>
      </c>
      <c r="D267" t="s">
        <v>191</v>
      </c>
      <c r="E267" t="s">
        <v>4467</v>
      </c>
      <c r="F267" t="s">
        <v>4468</v>
      </c>
      <c r="G267">
        <v>9412655033</v>
      </c>
      <c r="H267" t="s">
        <v>103</v>
      </c>
      <c r="I267" t="s">
        <v>4469</v>
      </c>
      <c r="J267" t="s">
        <v>144</v>
      </c>
      <c r="K267" t="s">
        <v>4470</v>
      </c>
      <c r="L267" t="s">
        <v>4471</v>
      </c>
      <c r="M267" t="s">
        <v>4472</v>
      </c>
      <c r="N267" t="s">
        <v>109</v>
      </c>
      <c r="AI267" t="s">
        <v>4473</v>
      </c>
      <c r="AJ267" t="s">
        <v>4474</v>
      </c>
      <c r="AK267" t="s">
        <v>4475</v>
      </c>
      <c r="AL267">
        <v>63.67</v>
      </c>
      <c r="AN267">
        <v>2006</v>
      </c>
      <c r="AO267" t="s">
        <v>113</v>
      </c>
      <c r="AP267" t="s">
        <v>4473</v>
      </c>
      <c r="AQ267" t="s">
        <v>4474</v>
      </c>
      <c r="AR267" t="s">
        <v>4476</v>
      </c>
      <c r="AS267">
        <v>69.2</v>
      </c>
      <c r="AU267">
        <v>2008</v>
      </c>
      <c r="AV267" t="s">
        <v>109</v>
      </c>
      <c r="BC267" t="s">
        <v>113</v>
      </c>
      <c r="BD267" t="s">
        <v>4477</v>
      </c>
      <c r="BE267" t="s">
        <v>4478</v>
      </c>
      <c r="BF267" t="s">
        <v>2191</v>
      </c>
      <c r="BG267">
        <v>64.96</v>
      </c>
      <c r="BI267">
        <v>2011</v>
      </c>
      <c r="BJ267">
        <v>19</v>
      </c>
      <c r="BK267" t="s">
        <v>1480</v>
      </c>
      <c r="BL267">
        <v>53</v>
      </c>
      <c r="BM267" t="s">
        <v>281</v>
      </c>
      <c r="BN267" t="s">
        <v>113</v>
      </c>
      <c r="BO267" t="s">
        <v>4479</v>
      </c>
      <c r="BP267" t="s">
        <v>4479</v>
      </c>
      <c r="BQ267" t="s">
        <v>281</v>
      </c>
      <c r="BR267">
        <v>77.21</v>
      </c>
      <c r="BT267">
        <v>2013</v>
      </c>
      <c r="BU267">
        <v>31</v>
      </c>
      <c r="BV267" t="s">
        <v>1482</v>
      </c>
      <c r="BW267">
        <v>53</v>
      </c>
      <c r="BX267" t="s">
        <v>281</v>
      </c>
      <c r="BY267" t="s">
        <v>113</v>
      </c>
      <c r="BZ267" t="s">
        <v>4479</v>
      </c>
      <c r="CA267" t="s">
        <v>4479</v>
      </c>
      <c r="CB267" t="s">
        <v>281</v>
      </c>
      <c r="CC267">
        <v>77.6</v>
      </c>
      <c r="CE267">
        <v>2015</v>
      </c>
      <c r="CF267" t="s">
        <v>113</v>
      </c>
      <c r="CG267" t="s">
        <v>4480</v>
      </c>
      <c r="CH267" t="s">
        <v>4479</v>
      </c>
      <c r="CI267" t="s">
        <v>132</v>
      </c>
      <c r="CJ267">
        <v>2019</v>
      </c>
      <c r="CL267" t="s">
        <v>109</v>
      </c>
      <c r="CN267" t="s">
        <v>109</v>
      </c>
      <c r="CP267" t="s">
        <v>460</v>
      </c>
      <c r="CQ267" t="s">
        <v>4481</v>
      </c>
      <c r="CR267" t="str">
        <f>HYPERLINK("https://nconnect.nicmar.ac.in/public/storage/profile/6996d4eef1e58.png","Download")</f>
        <v>0</v>
      </c>
      <c r="CS267" t="str">
        <f>HYPERLINK("https://nconnect.nicmar.ac.in/pdf/246_resume_1771655000.pdf/Y2FyZWVy","View Resume")</f>
        <v>0</v>
      </c>
    </row>
    <row r="268" spans="1:97">
      <c r="A268" t="s">
        <v>1624</v>
      </c>
      <c r="B268" t="s">
        <v>318</v>
      </c>
      <c r="C268" t="s">
        <v>99</v>
      </c>
      <c r="D268" t="s">
        <v>1625</v>
      </c>
      <c r="E268" t="s">
        <v>4389</v>
      </c>
      <c r="F268" t="s">
        <v>4390</v>
      </c>
      <c r="G268">
        <v>8105831256</v>
      </c>
      <c r="H268" t="s">
        <v>103</v>
      </c>
      <c r="I268" t="s">
        <v>4391</v>
      </c>
      <c r="J268" t="s">
        <v>105</v>
      </c>
      <c r="K268" t="s">
        <v>4392</v>
      </c>
      <c r="L268" t="s">
        <v>4393</v>
      </c>
      <c r="M268" t="s">
        <v>4394</v>
      </c>
      <c r="N268" t="s">
        <v>109</v>
      </c>
      <c r="AI268" t="s">
        <v>4395</v>
      </c>
      <c r="AJ268" t="s">
        <v>4396</v>
      </c>
      <c r="AK268" t="s">
        <v>4397</v>
      </c>
      <c r="AL268">
        <v>76.8</v>
      </c>
      <c r="AN268">
        <v>2003</v>
      </c>
      <c r="AO268" t="s">
        <v>113</v>
      </c>
      <c r="AP268" t="s">
        <v>4395</v>
      </c>
      <c r="AQ268" t="s">
        <v>4396</v>
      </c>
      <c r="AR268" t="s">
        <v>4398</v>
      </c>
      <c r="AS268">
        <v>63.2</v>
      </c>
      <c r="AU268">
        <v>2005</v>
      </c>
      <c r="AV268" t="s">
        <v>109</v>
      </c>
      <c r="BC268" t="s">
        <v>113</v>
      </c>
      <c r="BD268" t="s">
        <v>4399</v>
      </c>
      <c r="BE268" t="s">
        <v>4400</v>
      </c>
      <c r="BF268" t="s">
        <v>1117</v>
      </c>
      <c r="BG268">
        <v>77.71</v>
      </c>
      <c r="BH268">
        <v>8.18</v>
      </c>
      <c r="BI268">
        <v>2011</v>
      </c>
      <c r="BJ268">
        <v>8</v>
      </c>
      <c r="BL268">
        <v>2</v>
      </c>
      <c r="BN268" t="s">
        <v>113</v>
      </c>
      <c r="BO268" t="s">
        <v>4401</v>
      </c>
      <c r="BP268" t="s">
        <v>4402</v>
      </c>
      <c r="BQ268" t="s">
        <v>4403</v>
      </c>
      <c r="BR268">
        <v>86.7</v>
      </c>
      <c r="BS268">
        <v>9.13</v>
      </c>
      <c r="BT268">
        <v>2018</v>
      </c>
      <c r="BU268">
        <v>21</v>
      </c>
      <c r="BW268">
        <v>2</v>
      </c>
      <c r="BY268" t="s">
        <v>113</v>
      </c>
      <c r="BZ268" t="s">
        <v>4404</v>
      </c>
      <c r="CA268" t="s">
        <v>4405</v>
      </c>
      <c r="CB268" t="s">
        <v>4406</v>
      </c>
      <c r="CC268">
        <v>100</v>
      </c>
      <c r="CE268">
        <v>2027</v>
      </c>
      <c r="CF268" t="s">
        <v>113</v>
      </c>
      <c r="CG268" t="s">
        <v>4407</v>
      </c>
      <c r="CH268" t="s">
        <v>4408</v>
      </c>
      <c r="CI268" t="s">
        <v>132</v>
      </c>
      <c r="CJ268">
        <v>2024</v>
      </c>
      <c r="CL268" t="s">
        <v>109</v>
      </c>
      <c r="CN268" t="s">
        <v>113</v>
      </c>
      <c r="CO268" t="s">
        <v>4409</v>
      </c>
      <c r="CP268" t="s">
        <v>4410</v>
      </c>
      <c r="CQ268" t="s">
        <v>4482</v>
      </c>
      <c r="CR268" t="str">
        <f>HYPERLINK("https://nconnect.nicmar.ac.in/public/storage/profile/69993e93bb658.png","Download")</f>
        <v>0</v>
      </c>
      <c r="CS268" t="str">
        <f>HYPERLINK("https://nconnect.nicmar.ac.in/pdf/129_resume_1771654341.pdf/Y2FyZWVy","View Resume")</f>
        <v>0</v>
      </c>
    </row>
    <row r="269" spans="1:97">
      <c r="A269" t="s">
        <v>223</v>
      </c>
      <c r="B269" t="s">
        <v>138</v>
      </c>
      <c r="C269" t="s">
        <v>165</v>
      </c>
      <c r="D269" t="s">
        <v>224</v>
      </c>
      <c r="E269" t="s">
        <v>4483</v>
      </c>
      <c r="F269" t="s">
        <v>4484</v>
      </c>
      <c r="G269">
        <v>9849136075</v>
      </c>
      <c r="H269" t="s">
        <v>169</v>
      </c>
      <c r="I269" t="s">
        <v>4485</v>
      </c>
      <c r="J269" t="s">
        <v>105</v>
      </c>
      <c r="K269" t="s">
        <v>1536</v>
      </c>
      <c r="L269" t="s">
        <v>4486</v>
      </c>
      <c r="M269" t="s">
        <v>4487</v>
      </c>
      <c r="N269" t="s">
        <v>109</v>
      </c>
      <c r="AI269" t="s">
        <v>4488</v>
      </c>
      <c r="AJ269" t="s">
        <v>4489</v>
      </c>
      <c r="AK269" t="s">
        <v>4490</v>
      </c>
      <c r="AL269">
        <v>70</v>
      </c>
      <c r="AN269">
        <v>1997</v>
      </c>
      <c r="AO269" t="s">
        <v>113</v>
      </c>
      <c r="AP269" t="s">
        <v>4491</v>
      </c>
      <c r="AQ269" t="s">
        <v>4489</v>
      </c>
      <c r="AR269" t="s">
        <v>4492</v>
      </c>
      <c r="AS269">
        <v>70</v>
      </c>
      <c r="AU269">
        <v>1999</v>
      </c>
      <c r="AV269" t="s">
        <v>109</v>
      </c>
      <c r="BC269" t="s">
        <v>113</v>
      </c>
      <c r="BD269" t="s">
        <v>4493</v>
      </c>
      <c r="BE269" t="s">
        <v>4494</v>
      </c>
      <c r="BF269" t="s">
        <v>4495</v>
      </c>
      <c r="BG269">
        <v>61</v>
      </c>
      <c r="BI269">
        <v>2002</v>
      </c>
      <c r="BJ269">
        <v>19</v>
      </c>
      <c r="BK269" t="s">
        <v>123</v>
      </c>
      <c r="BL269">
        <v>24</v>
      </c>
      <c r="BN269" t="s">
        <v>113</v>
      </c>
      <c r="BO269" t="s">
        <v>4496</v>
      </c>
      <c r="BP269" t="s">
        <v>4497</v>
      </c>
      <c r="BQ269" t="s">
        <v>643</v>
      </c>
      <c r="BR269">
        <v>64</v>
      </c>
      <c r="BT269">
        <v>2007</v>
      </c>
      <c r="BU269">
        <v>31</v>
      </c>
      <c r="BV269" t="s">
        <v>4498</v>
      </c>
      <c r="BW269">
        <v>53</v>
      </c>
      <c r="BX269" t="s">
        <v>263</v>
      </c>
      <c r="BY269" t="s">
        <v>113</v>
      </c>
      <c r="BZ269" t="s">
        <v>4496</v>
      </c>
      <c r="CA269" t="s">
        <v>4497</v>
      </c>
      <c r="CB269" t="s">
        <v>4499</v>
      </c>
      <c r="CC269">
        <v>61</v>
      </c>
      <c r="CE269">
        <v>2014</v>
      </c>
      <c r="CF269" t="s">
        <v>113</v>
      </c>
      <c r="CG269" t="s">
        <v>841</v>
      </c>
      <c r="CH269" t="s">
        <v>4497</v>
      </c>
      <c r="CI269" t="s">
        <v>132</v>
      </c>
      <c r="CJ269">
        <v>2020</v>
      </c>
      <c r="CL269" t="s">
        <v>109</v>
      </c>
      <c r="CN269" t="s">
        <v>109</v>
      </c>
      <c r="CP269" t="s">
        <v>460</v>
      </c>
      <c r="CQ269" t="s">
        <v>4500</v>
      </c>
      <c r="CR269" t="s">
        <v>136</v>
      </c>
      <c r="CS269" t="str">
        <f>HYPERLINK("https://nconnect.nicmar.ac.in/pdf/412_resume_1771656922.pdf/Y2FyZWVy","View Resume")</f>
        <v>0</v>
      </c>
    </row>
    <row r="270" spans="1:97">
      <c r="A270" t="s">
        <v>137</v>
      </c>
      <c r="B270" t="s">
        <v>138</v>
      </c>
      <c r="C270" t="s">
        <v>139</v>
      </c>
      <c r="D270" t="s">
        <v>140</v>
      </c>
      <c r="E270" t="s">
        <v>4501</v>
      </c>
      <c r="F270" t="s">
        <v>4502</v>
      </c>
      <c r="G270">
        <v>8983277205</v>
      </c>
      <c r="H270" t="s">
        <v>103</v>
      </c>
      <c r="I270" t="s">
        <v>4503</v>
      </c>
      <c r="J270" t="s">
        <v>105</v>
      </c>
      <c r="K270" t="s">
        <v>1848</v>
      </c>
      <c r="L270" t="s">
        <v>4504</v>
      </c>
      <c r="M270" t="s">
        <v>4505</v>
      </c>
      <c r="N270" t="s">
        <v>113</v>
      </c>
      <c r="O270" t="s">
        <v>4506</v>
      </c>
      <c r="P270" t="s">
        <v>4507</v>
      </c>
      <c r="AI270" t="s">
        <v>4508</v>
      </c>
      <c r="AJ270" t="s">
        <v>4509</v>
      </c>
      <c r="AK270" t="s">
        <v>4510</v>
      </c>
      <c r="AL270">
        <v>75.06</v>
      </c>
      <c r="AN270">
        <v>1998</v>
      </c>
      <c r="AO270" t="s">
        <v>109</v>
      </c>
      <c r="AS270">
        <v>72.77</v>
      </c>
      <c r="AV270" t="s">
        <v>113</v>
      </c>
      <c r="AW270" t="s">
        <v>156</v>
      </c>
      <c r="AX270" t="s">
        <v>4511</v>
      </c>
      <c r="AY270" t="s">
        <v>4512</v>
      </c>
      <c r="AZ270">
        <v>72.77</v>
      </c>
      <c r="BB270">
        <v>2004</v>
      </c>
      <c r="BC270" t="s">
        <v>113</v>
      </c>
      <c r="BD270" t="s">
        <v>1747</v>
      </c>
      <c r="BE270" t="s">
        <v>4513</v>
      </c>
      <c r="BF270" t="s">
        <v>4514</v>
      </c>
      <c r="BG270">
        <v>72.06</v>
      </c>
      <c r="BI270">
        <v>2007</v>
      </c>
      <c r="BJ270">
        <v>2</v>
      </c>
      <c r="BL270">
        <v>9</v>
      </c>
      <c r="BN270" t="s">
        <v>113</v>
      </c>
      <c r="BO270" t="s">
        <v>1215</v>
      </c>
      <c r="BP270" t="s">
        <v>4515</v>
      </c>
      <c r="BQ270" t="s">
        <v>4516</v>
      </c>
      <c r="BR270">
        <v>69.3</v>
      </c>
      <c r="BS270">
        <v>7.68</v>
      </c>
      <c r="BT270">
        <v>2012</v>
      </c>
      <c r="BU270">
        <v>14</v>
      </c>
      <c r="BW270">
        <v>47</v>
      </c>
      <c r="BY270" t="s">
        <v>109</v>
      </c>
      <c r="CF270" t="s">
        <v>113</v>
      </c>
      <c r="CG270" t="s">
        <v>4517</v>
      </c>
      <c r="CH270" t="s">
        <v>4518</v>
      </c>
      <c r="CI270" t="s">
        <v>132</v>
      </c>
      <c r="CJ270">
        <v>2025</v>
      </c>
      <c r="CL270" t="s">
        <v>113</v>
      </c>
      <c r="CM270" t="s">
        <v>4519</v>
      </c>
      <c r="CN270" t="s">
        <v>113</v>
      </c>
      <c r="CO270" t="s">
        <v>4520</v>
      </c>
      <c r="CP270" t="s">
        <v>4521</v>
      </c>
      <c r="CQ270" t="s">
        <v>4522</v>
      </c>
      <c r="CR270" t="str">
        <f>HYPERLINK("https://nconnect.nicmar.ac.in/public/storage/profile/6998346f10996.png","Download")</f>
        <v>0</v>
      </c>
      <c r="CS270" t="str">
        <f>HYPERLINK("https://nconnect.nicmar.ac.in/pdf/215_resume_1771580745.pdf/Y2FyZWVy","View Resume")</f>
        <v>0</v>
      </c>
    </row>
    <row r="271" spans="1:97">
      <c r="A271" t="s">
        <v>656</v>
      </c>
      <c r="B271" t="s">
        <v>318</v>
      </c>
      <c r="C271" t="s">
        <v>139</v>
      </c>
      <c r="D271" t="s">
        <v>140</v>
      </c>
      <c r="E271" t="s">
        <v>4523</v>
      </c>
      <c r="F271" t="s">
        <v>4524</v>
      </c>
      <c r="G271">
        <v>9426779473</v>
      </c>
      <c r="H271" t="s">
        <v>169</v>
      </c>
      <c r="I271" t="s">
        <v>4525</v>
      </c>
      <c r="J271" t="s">
        <v>144</v>
      </c>
      <c r="K271" t="s">
        <v>505</v>
      </c>
      <c r="L271" t="s">
        <v>4526</v>
      </c>
      <c r="M271" t="s">
        <v>4527</v>
      </c>
      <c r="N271" t="s">
        <v>109</v>
      </c>
      <c r="AI271" t="s">
        <v>4528</v>
      </c>
      <c r="AJ271" t="s">
        <v>4529</v>
      </c>
      <c r="AK271" t="s">
        <v>277</v>
      </c>
      <c r="AL271">
        <v>84</v>
      </c>
      <c r="AN271">
        <v>1994</v>
      </c>
      <c r="AO271" t="s">
        <v>113</v>
      </c>
      <c r="AP271" t="s">
        <v>4530</v>
      </c>
      <c r="AQ271" t="s">
        <v>4531</v>
      </c>
      <c r="AR271" t="s">
        <v>4532</v>
      </c>
      <c r="AS271">
        <v>64</v>
      </c>
      <c r="AU271">
        <v>1996</v>
      </c>
      <c r="AV271" t="s">
        <v>109</v>
      </c>
      <c r="AW271" t="s">
        <v>342</v>
      </c>
      <c r="BC271" t="s">
        <v>113</v>
      </c>
      <c r="BD271" t="s">
        <v>4533</v>
      </c>
      <c r="BE271" t="s">
        <v>4534</v>
      </c>
      <c r="BF271" t="s">
        <v>309</v>
      </c>
      <c r="BG271">
        <v>64</v>
      </c>
      <c r="BI271">
        <v>2000</v>
      </c>
      <c r="BJ271">
        <v>2</v>
      </c>
      <c r="BL271">
        <v>47</v>
      </c>
      <c r="BN271" t="s">
        <v>113</v>
      </c>
      <c r="BO271" t="s">
        <v>4533</v>
      </c>
      <c r="BP271" t="s">
        <v>4534</v>
      </c>
      <c r="BQ271" t="s">
        <v>140</v>
      </c>
      <c r="BR271">
        <v>71</v>
      </c>
      <c r="BT271">
        <v>2002</v>
      </c>
      <c r="BU271">
        <v>14</v>
      </c>
      <c r="BW271">
        <v>47</v>
      </c>
      <c r="BY271" t="s">
        <v>109</v>
      </c>
      <c r="BZ271" t="s">
        <v>4535</v>
      </c>
      <c r="CB271" t="s">
        <v>4536</v>
      </c>
      <c r="CC271">
        <v>77</v>
      </c>
      <c r="CD271">
        <v>7.79</v>
      </c>
      <c r="CE271">
        <v>2008</v>
      </c>
      <c r="CF271" t="s">
        <v>113</v>
      </c>
      <c r="CG271" t="s">
        <v>4535</v>
      </c>
      <c r="CH271" t="s">
        <v>4537</v>
      </c>
      <c r="CI271" t="s">
        <v>132</v>
      </c>
      <c r="CJ271">
        <v>2008</v>
      </c>
      <c r="CL271" t="s">
        <v>109</v>
      </c>
      <c r="CN271" t="s">
        <v>113</v>
      </c>
      <c r="CO271" t="s">
        <v>4538</v>
      </c>
      <c r="CP271" t="s">
        <v>4539</v>
      </c>
      <c r="CQ271" t="s">
        <v>4540</v>
      </c>
      <c r="CR271" t="str">
        <f>HYPERLINK("https://nconnect.nicmar.ac.in/public/storage/profile/69996a561499f.png","Download")</f>
        <v>0</v>
      </c>
      <c r="CS271" t="str">
        <f>HYPERLINK("https://nconnect.nicmar.ac.in/pdf/420_resume_1771661999.pdf/Y2FyZWVy","View Resume")</f>
        <v>0</v>
      </c>
    </row>
    <row r="272" spans="1:97">
      <c r="A272" t="s">
        <v>480</v>
      </c>
      <c r="B272" t="s">
        <v>98</v>
      </c>
      <c r="C272" t="s">
        <v>139</v>
      </c>
      <c r="D272" t="s">
        <v>140</v>
      </c>
      <c r="E272" t="s">
        <v>4523</v>
      </c>
      <c r="F272" t="s">
        <v>4524</v>
      </c>
      <c r="G272">
        <v>9426779473</v>
      </c>
      <c r="H272" t="s">
        <v>169</v>
      </c>
      <c r="I272" t="s">
        <v>4525</v>
      </c>
      <c r="J272" t="s">
        <v>144</v>
      </c>
      <c r="K272" t="s">
        <v>505</v>
      </c>
      <c r="L272" t="s">
        <v>4526</v>
      </c>
      <c r="M272" t="s">
        <v>4527</v>
      </c>
      <c r="N272" t="s">
        <v>109</v>
      </c>
      <c r="AI272" t="s">
        <v>4528</v>
      </c>
      <c r="AJ272" t="s">
        <v>4529</v>
      </c>
      <c r="AK272" t="s">
        <v>277</v>
      </c>
      <c r="AL272">
        <v>84</v>
      </c>
      <c r="AN272">
        <v>1994</v>
      </c>
      <c r="AO272" t="s">
        <v>113</v>
      </c>
      <c r="AP272" t="s">
        <v>4530</v>
      </c>
      <c r="AQ272" t="s">
        <v>4531</v>
      </c>
      <c r="AR272" t="s">
        <v>4532</v>
      </c>
      <c r="AS272">
        <v>64</v>
      </c>
      <c r="AU272">
        <v>1996</v>
      </c>
      <c r="AV272" t="s">
        <v>109</v>
      </c>
      <c r="AW272" t="s">
        <v>342</v>
      </c>
      <c r="BC272" t="s">
        <v>113</v>
      </c>
      <c r="BD272" t="s">
        <v>4533</v>
      </c>
      <c r="BE272" t="s">
        <v>4534</v>
      </c>
      <c r="BF272" t="s">
        <v>309</v>
      </c>
      <c r="BG272">
        <v>64</v>
      </c>
      <c r="BI272">
        <v>2000</v>
      </c>
      <c r="BJ272">
        <v>2</v>
      </c>
      <c r="BL272">
        <v>47</v>
      </c>
      <c r="BN272" t="s">
        <v>113</v>
      </c>
      <c r="BO272" t="s">
        <v>4533</v>
      </c>
      <c r="BP272" t="s">
        <v>4534</v>
      </c>
      <c r="BQ272" t="s">
        <v>140</v>
      </c>
      <c r="BR272">
        <v>71</v>
      </c>
      <c r="BT272">
        <v>2002</v>
      </c>
      <c r="BU272">
        <v>14</v>
      </c>
      <c r="BW272">
        <v>47</v>
      </c>
      <c r="BY272" t="s">
        <v>109</v>
      </c>
      <c r="BZ272" t="s">
        <v>4535</v>
      </c>
      <c r="CB272" t="s">
        <v>4536</v>
      </c>
      <c r="CC272">
        <v>77</v>
      </c>
      <c r="CD272">
        <v>7.79</v>
      </c>
      <c r="CE272">
        <v>2008</v>
      </c>
      <c r="CF272" t="s">
        <v>113</v>
      </c>
      <c r="CG272" t="s">
        <v>4535</v>
      </c>
      <c r="CH272" t="s">
        <v>4537</v>
      </c>
      <c r="CI272" t="s">
        <v>132</v>
      </c>
      <c r="CJ272">
        <v>2008</v>
      </c>
      <c r="CL272" t="s">
        <v>109</v>
      </c>
      <c r="CN272" t="s">
        <v>113</v>
      </c>
      <c r="CO272" t="s">
        <v>4538</v>
      </c>
      <c r="CP272" t="s">
        <v>4539</v>
      </c>
      <c r="CQ272" t="s">
        <v>4541</v>
      </c>
      <c r="CR272" t="str">
        <f>HYPERLINK("https://nconnect.nicmar.ac.in/public/storage/profile/69996a561499f.png","Download")</f>
        <v>0</v>
      </c>
      <c r="CS272" t="str">
        <f>HYPERLINK("https://nconnect.nicmar.ac.in/pdf/420_resume_1771661999.pdf/Y2FyZWVy","View Resume")</f>
        <v>0</v>
      </c>
    </row>
    <row r="273" spans="1:97">
      <c r="A273" t="s">
        <v>137</v>
      </c>
      <c r="B273" t="s">
        <v>138</v>
      </c>
      <c r="C273" t="s">
        <v>139</v>
      </c>
      <c r="D273" t="s">
        <v>140</v>
      </c>
      <c r="E273" t="s">
        <v>4542</v>
      </c>
      <c r="F273" t="s">
        <v>4543</v>
      </c>
      <c r="G273">
        <v>8019206828</v>
      </c>
      <c r="H273" t="s">
        <v>103</v>
      </c>
      <c r="I273" t="s">
        <v>3125</v>
      </c>
      <c r="J273" t="s">
        <v>105</v>
      </c>
      <c r="K273" t="s">
        <v>2602</v>
      </c>
      <c r="L273" t="s">
        <v>4544</v>
      </c>
      <c r="M273" t="s">
        <v>4545</v>
      </c>
      <c r="N273" t="s">
        <v>109</v>
      </c>
      <c r="AI273" t="s">
        <v>4546</v>
      </c>
      <c r="AJ273" t="s">
        <v>4547</v>
      </c>
      <c r="AK273" t="s">
        <v>4548</v>
      </c>
      <c r="AL273">
        <v>85</v>
      </c>
      <c r="AN273">
        <v>2006</v>
      </c>
      <c r="AO273" t="s">
        <v>113</v>
      </c>
      <c r="AP273" t="s">
        <v>4549</v>
      </c>
      <c r="AQ273" t="s">
        <v>4550</v>
      </c>
      <c r="AR273" t="s">
        <v>4551</v>
      </c>
      <c r="AS273">
        <v>92.8</v>
      </c>
      <c r="AU273">
        <v>2008</v>
      </c>
      <c r="AV273" t="s">
        <v>109</v>
      </c>
      <c r="BC273" t="s">
        <v>113</v>
      </c>
      <c r="BD273" t="s">
        <v>1813</v>
      </c>
      <c r="BE273" t="s">
        <v>4552</v>
      </c>
      <c r="BF273" t="s">
        <v>309</v>
      </c>
      <c r="BG273">
        <v>75.7</v>
      </c>
      <c r="BI273">
        <v>2012</v>
      </c>
      <c r="BJ273">
        <v>1</v>
      </c>
      <c r="BL273">
        <v>9</v>
      </c>
      <c r="BN273" t="s">
        <v>113</v>
      </c>
      <c r="BO273" t="s">
        <v>1348</v>
      </c>
      <c r="BP273" t="s">
        <v>4553</v>
      </c>
      <c r="BQ273" t="s">
        <v>140</v>
      </c>
      <c r="BR273">
        <v>80</v>
      </c>
      <c r="BS273">
        <v>8</v>
      </c>
      <c r="BT273">
        <v>2014</v>
      </c>
      <c r="BU273">
        <v>14</v>
      </c>
      <c r="BW273">
        <v>47</v>
      </c>
      <c r="BY273" t="s">
        <v>109</v>
      </c>
      <c r="CF273" t="s">
        <v>113</v>
      </c>
      <c r="CG273" t="s">
        <v>140</v>
      </c>
      <c r="CH273" t="s">
        <v>1348</v>
      </c>
      <c r="CI273" t="s">
        <v>132</v>
      </c>
      <c r="CJ273">
        <v>2020</v>
      </c>
      <c r="CL273" t="s">
        <v>109</v>
      </c>
      <c r="CN273" t="s">
        <v>109</v>
      </c>
      <c r="CP273" t="s">
        <v>4554</v>
      </c>
      <c r="CQ273" t="s">
        <v>4555</v>
      </c>
      <c r="CR273" t="str">
        <f>HYPERLINK("https://nconnect.nicmar.ac.in/public/storage/profile/69996ebdc07a7.png","Download")</f>
        <v>0</v>
      </c>
      <c r="CS273" t="str">
        <f>HYPERLINK("https://nconnect.nicmar.ac.in/pdf/22_resume_1771666328.pdf/Y2FyZWVy","View Resume")</f>
        <v>0</v>
      </c>
    </row>
    <row r="274" spans="1:97">
      <c r="A274" t="s">
        <v>192</v>
      </c>
      <c r="B274" t="s">
        <v>138</v>
      </c>
      <c r="C274" t="s">
        <v>165</v>
      </c>
      <c r="D274" t="s">
        <v>193</v>
      </c>
      <c r="E274" t="s">
        <v>4556</v>
      </c>
      <c r="F274" t="s">
        <v>4557</v>
      </c>
      <c r="G274">
        <v>8378909509</v>
      </c>
      <c r="H274" t="s">
        <v>169</v>
      </c>
      <c r="I274" t="s">
        <v>4558</v>
      </c>
      <c r="J274" t="s">
        <v>105</v>
      </c>
      <c r="K274" t="s">
        <v>423</v>
      </c>
      <c r="L274" t="s">
        <v>4559</v>
      </c>
      <c r="M274" t="s">
        <v>4560</v>
      </c>
      <c r="N274" t="s">
        <v>109</v>
      </c>
      <c r="AI274" t="s">
        <v>4556</v>
      </c>
      <c r="AJ274" t="s">
        <v>4561</v>
      </c>
      <c r="AK274" t="s">
        <v>4217</v>
      </c>
      <c r="AL274">
        <v>56</v>
      </c>
      <c r="AN274">
        <v>2004</v>
      </c>
      <c r="AO274" t="s">
        <v>113</v>
      </c>
      <c r="AP274" t="s">
        <v>4556</v>
      </c>
      <c r="AQ274" t="s">
        <v>4561</v>
      </c>
      <c r="AR274" t="s">
        <v>4562</v>
      </c>
      <c r="AS274">
        <v>62</v>
      </c>
      <c r="AU274">
        <v>2006</v>
      </c>
      <c r="AV274" t="s">
        <v>109</v>
      </c>
      <c r="BC274" t="s">
        <v>113</v>
      </c>
      <c r="BD274" t="s">
        <v>4563</v>
      </c>
      <c r="BE274" t="s">
        <v>4564</v>
      </c>
      <c r="BF274" t="s">
        <v>4565</v>
      </c>
      <c r="BG274">
        <v>57</v>
      </c>
      <c r="BI274">
        <v>2009</v>
      </c>
      <c r="BJ274">
        <v>19</v>
      </c>
      <c r="BK274" t="s">
        <v>515</v>
      </c>
      <c r="BL274">
        <v>17</v>
      </c>
      <c r="BN274" t="s">
        <v>113</v>
      </c>
      <c r="BO274" t="s">
        <v>2905</v>
      </c>
      <c r="BP274" t="s">
        <v>4566</v>
      </c>
      <c r="BQ274" t="s">
        <v>193</v>
      </c>
      <c r="BR274">
        <v>62</v>
      </c>
      <c r="BT274">
        <v>2012</v>
      </c>
      <c r="BU274">
        <v>31</v>
      </c>
      <c r="BV274" t="s">
        <v>339</v>
      </c>
      <c r="BW274">
        <v>33</v>
      </c>
      <c r="BY274" t="s">
        <v>113</v>
      </c>
      <c r="BZ274" t="s">
        <v>2905</v>
      </c>
      <c r="CA274" t="s">
        <v>4566</v>
      </c>
      <c r="CB274" t="s">
        <v>4567</v>
      </c>
      <c r="CC274">
        <v>64</v>
      </c>
      <c r="CE274">
        <v>2013</v>
      </c>
      <c r="CF274" t="s">
        <v>113</v>
      </c>
      <c r="CG274" t="s">
        <v>4568</v>
      </c>
      <c r="CH274" t="s">
        <v>2905</v>
      </c>
      <c r="CI274" t="s">
        <v>240</v>
      </c>
      <c r="CK274" t="s">
        <v>109</v>
      </c>
      <c r="CL274" t="s">
        <v>109</v>
      </c>
      <c r="CN274" t="s">
        <v>113</v>
      </c>
      <c r="CO274" t="s">
        <v>4569</v>
      </c>
      <c r="CP274" t="s">
        <v>460</v>
      </c>
      <c r="CQ274" t="s">
        <v>4570</v>
      </c>
      <c r="CR274" t="s">
        <v>136</v>
      </c>
      <c r="CS274" t="str">
        <f>HYPERLINK("https://nconnect.nicmar.ac.in/pdf/427_resume_1771667128.pdf/Y2FyZWVy","View Resume")</f>
        <v>0</v>
      </c>
    </row>
    <row r="275" spans="1:97">
      <c r="A275" t="s">
        <v>137</v>
      </c>
      <c r="B275" t="s">
        <v>138</v>
      </c>
      <c r="C275" t="s">
        <v>139</v>
      </c>
      <c r="D275" t="s">
        <v>140</v>
      </c>
      <c r="E275" t="s">
        <v>4571</v>
      </c>
      <c r="F275" t="s">
        <v>4572</v>
      </c>
      <c r="G275">
        <v>9492117512</v>
      </c>
      <c r="H275" t="s">
        <v>103</v>
      </c>
      <c r="I275" t="s">
        <v>4573</v>
      </c>
      <c r="J275" t="s">
        <v>105</v>
      </c>
      <c r="K275" t="s">
        <v>4574</v>
      </c>
      <c r="L275" t="s">
        <v>4575</v>
      </c>
      <c r="M275" t="s">
        <v>4576</v>
      </c>
      <c r="N275" t="s">
        <v>109</v>
      </c>
      <c r="AI275" t="s">
        <v>4577</v>
      </c>
      <c r="AJ275" t="s">
        <v>1676</v>
      </c>
      <c r="AK275" t="s">
        <v>277</v>
      </c>
      <c r="AL275">
        <v>77.71</v>
      </c>
      <c r="AN275">
        <v>2001</v>
      </c>
      <c r="AO275" t="s">
        <v>113</v>
      </c>
      <c r="AP275" t="s">
        <v>4578</v>
      </c>
      <c r="AQ275" t="s">
        <v>4579</v>
      </c>
      <c r="AR275" t="s">
        <v>277</v>
      </c>
      <c r="AS275">
        <v>60.44</v>
      </c>
      <c r="AU275">
        <v>2003</v>
      </c>
      <c r="AV275" t="s">
        <v>109</v>
      </c>
      <c r="BC275" t="s">
        <v>113</v>
      </c>
      <c r="BD275" t="s">
        <v>4580</v>
      </c>
      <c r="BE275" t="s">
        <v>4581</v>
      </c>
      <c r="BF275" t="s">
        <v>309</v>
      </c>
      <c r="BG275">
        <v>71.8</v>
      </c>
      <c r="BH275">
        <v>7.18</v>
      </c>
      <c r="BI275">
        <v>2007</v>
      </c>
      <c r="BJ275">
        <v>2</v>
      </c>
      <c r="BL275">
        <v>9</v>
      </c>
      <c r="BN275" t="s">
        <v>113</v>
      </c>
      <c r="BO275" t="s">
        <v>539</v>
      </c>
      <c r="BP275" t="s">
        <v>539</v>
      </c>
      <c r="BQ275" t="s">
        <v>140</v>
      </c>
      <c r="BR275">
        <v>87.2</v>
      </c>
      <c r="BS275">
        <v>8.72</v>
      </c>
      <c r="BT275">
        <v>2010</v>
      </c>
      <c r="BU275">
        <v>14</v>
      </c>
      <c r="BW275">
        <v>47</v>
      </c>
      <c r="BY275" t="s">
        <v>109</v>
      </c>
      <c r="CF275" t="s">
        <v>113</v>
      </c>
      <c r="CG275" t="s">
        <v>4582</v>
      </c>
      <c r="CH275" t="s">
        <v>4583</v>
      </c>
      <c r="CI275" t="s">
        <v>132</v>
      </c>
      <c r="CJ275">
        <v>2025</v>
      </c>
      <c r="CL275" t="s">
        <v>113</v>
      </c>
      <c r="CM275" t="s">
        <v>4584</v>
      </c>
      <c r="CN275" t="s">
        <v>113</v>
      </c>
      <c r="CO275" t="s">
        <v>4585</v>
      </c>
      <c r="CP275" t="s">
        <v>4586</v>
      </c>
      <c r="CQ275" t="s">
        <v>4587</v>
      </c>
      <c r="CR275" t="str">
        <f>HYPERLINK("https://nconnect.nicmar.ac.in/public/storage/profile/69997620ae9b5.png","Download")</f>
        <v>0</v>
      </c>
      <c r="CS275" t="str">
        <f>HYPERLINK("https://nconnect.nicmar.ac.in/pdf/426_resume_1771667514.pdf/Y2FyZWVy","View Resume")</f>
        <v>0</v>
      </c>
    </row>
    <row r="276" spans="1:97">
      <c r="A276" t="s">
        <v>3610</v>
      </c>
      <c r="B276" t="s">
        <v>3611</v>
      </c>
      <c r="C276" t="s">
        <v>295</v>
      </c>
      <c r="D276" t="s">
        <v>296</v>
      </c>
      <c r="E276" t="s">
        <v>4588</v>
      </c>
      <c r="F276" t="s">
        <v>4589</v>
      </c>
      <c r="G276">
        <v>9820932248</v>
      </c>
      <c r="H276" t="s">
        <v>103</v>
      </c>
      <c r="I276" t="s">
        <v>4590</v>
      </c>
      <c r="J276" t="s">
        <v>105</v>
      </c>
      <c r="K276" t="s">
        <v>4591</v>
      </c>
      <c r="L276" t="s">
        <v>4592</v>
      </c>
      <c r="M276" t="s">
        <v>4593</v>
      </c>
      <c r="N276" t="s">
        <v>109</v>
      </c>
      <c r="AI276" t="s">
        <v>4594</v>
      </c>
      <c r="AJ276" t="s">
        <v>4595</v>
      </c>
      <c r="AK276" t="s">
        <v>4596</v>
      </c>
      <c r="AL276">
        <v>87.71</v>
      </c>
      <c r="AN276">
        <v>1983</v>
      </c>
      <c r="AO276" t="s">
        <v>113</v>
      </c>
      <c r="AP276" t="s">
        <v>4597</v>
      </c>
      <c r="AQ276" t="s">
        <v>4595</v>
      </c>
      <c r="AR276" t="s">
        <v>4598</v>
      </c>
      <c r="AS276">
        <v>78.67</v>
      </c>
      <c r="AU276">
        <v>1985</v>
      </c>
      <c r="AV276" t="s">
        <v>109</v>
      </c>
      <c r="BC276" t="s">
        <v>113</v>
      </c>
      <c r="BD276" t="s">
        <v>3308</v>
      </c>
      <c r="BE276" t="s">
        <v>1751</v>
      </c>
      <c r="BF276" t="s">
        <v>3861</v>
      </c>
      <c r="BG276">
        <v>72.7</v>
      </c>
      <c r="BI276">
        <v>1989</v>
      </c>
      <c r="BJ276">
        <v>2</v>
      </c>
      <c r="BL276">
        <v>9</v>
      </c>
      <c r="BN276" t="s">
        <v>113</v>
      </c>
      <c r="BO276" t="s">
        <v>4599</v>
      </c>
      <c r="BP276" t="s">
        <v>4600</v>
      </c>
      <c r="BQ276" t="s">
        <v>4601</v>
      </c>
      <c r="BR276">
        <v>75</v>
      </c>
      <c r="BS276">
        <v>7.5</v>
      </c>
      <c r="BT276">
        <v>2018</v>
      </c>
      <c r="BU276">
        <v>31</v>
      </c>
      <c r="BW276">
        <v>17</v>
      </c>
      <c r="BY276" t="s">
        <v>109</v>
      </c>
      <c r="CF276" t="s">
        <v>109</v>
      </c>
      <c r="CL276" t="s">
        <v>113</v>
      </c>
      <c r="CM276" t="s">
        <v>4602</v>
      </c>
      <c r="CN276" t="s">
        <v>113</v>
      </c>
      <c r="CO276" t="s">
        <v>4603</v>
      </c>
      <c r="CP276" t="s">
        <v>4604</v>
      </c>
      <c r="CQ276" t="s">
        <v>4605</v>
      </c>
      <c r="CR276" t="s">
        <v>136</v>
      </c>
      <c r="CS276" t="str">
        <f>HYPERLINK("https://nconnect.nicmar.ac.in/pdf/429_resume_1771669933.pdf/Y2FyZWVy","View Resume")</f>
        <v>0</v>
      </c>
    </row>
    <row r="277" spans="1:97">
      <c r="A277" t="s">
        <v>97</v>
      </c>
      <c r="B277" t="s">
        <v>98</v>
      </c>
      <c r="C277" t="s">
        <v>99</v>
      </c>
      <c r="D277" t="s">
        <v>100</v>
      </c>
      <c r="E277" t="s">
        <v>4588</v>
      </c>
      <c r="F277" t="s">
        <v>4589</v>
      </c>
      <c r="G277">
        <v>9820932248</v>
      </c>
      <c r="H277" t="s">
        <v>103</v>
      </c>
      <c r="I277" t="s">
        <v>4590</v>
      </c>
      <c r="J277" t="s">
        <v>105</v>
      </c>
      <c r="K277" t="s">
        <v>4591</v>
      </c>
      <c r="L277" t="s">
        <v>4592</v>
      </c>
      <c r="M277" t="s">
        <v>4593</v>
      </c>
      <c r="N277" t="s">
        <v>109</v>
      </c>
      <c r="AI277" t="s">
        <v>4594</v>
      </c>
      <c r="AJ277" t="s">
        <v>4595</v>
      </c>
      <c r="AK277" t="s">
        <v>4596</v>
      </c>
      <c r="AL277">
        <v>87.71</v>
      </c>
      <c r="AN277">
        <v>1983</v>
      </c>
      <c r="AO277" t="s">
        <v>113</v>
      </c>
      <c r="AP277" t="s">
        <v>4597</v>
      </c>
      <c r="AQ277" t="s">
        <v>4595</v>
      </c>
      <c r="AR277" t="s">
        <v>4598</v>
      </c>
      <c r="AS277">
        <v>78.67</v>
      </c>
      <c r="AU277">
        <v>1985</v>
      </c>
      <c r="AV277" t="s">
        <v>109</v>
      </c>
      <c r="BC277" t="s">
        <v>113</v>
      </c>
      <c r="BD277" t="s">
        <v>3308</v>
      </c>
      <c r="BE277" t="s">
        <v>1751</v>
      </c>
      <c r="BF277" t="s">
        <v>3861</v>
      </c>
      <c r="BG277">
        <v>72.7</v>
      </c>
      <c r="BI277">
        <v>1989</v>
      </c>
      <c r="BJ277">
        <v>2</v>
      </c>
      <c r="BL277">
        <v>9</v>
      </c>
      <c r="BN277" t="s">
        <v>113</v>
      </c>
      <c r="BO277" t="s">
        <v>4599</v>
      </c>
      <c r="BP277" t="s">
        <v>4600</v>
      </c>
      <c r="BQ277" t="s">
        <v>4601</v>
      </c>
      <c r="BR277">
        <v>75</v>
      </c>
      <c r="BS277">
        <v>7.5</v>
      </c>
      <c r="BT277">
        <v>2018</v>
      </c>
      <c r="BU277">
        <v>31</v>
      </c>
      <c r="BW277">
        <v>17</v>
      </c>
      <c r="BY277" t="s">
        <v>109</v>
      </c>
      <c r="CF277" t="s">
        <v>109</v>
      </c>
      <c r="CL277" t="s">
        <v>113</v>
      </c>
      <c r="CM277" t="s">
        <v>4602</v>
      </c>
      <c r="CN277" t="s">
        <v>113</v>
      </c>
      <c r="CO277" t="s">
        <v>4603</v>
      </c>
      <c r="CP277" t="s">
        <v>4604</v>
      </c>
      <c r="CQ277" t="s">
        <v>4606</v>
      </c>
      <c r="CR277" t="s">
        <v>136</v>
      </c>
      <c r="CS277" t="str">
        <f>HYPERLINK("https://nconnect.nicmar.ac.in/pdf/429_resume_1771669933.pdf/Y2FyZWVy","View Resume")</f>
        <v>0</v>
      </c>
    </row>
    <row r="278" spans="1:97">
      <c r="A278" t="s">
        <v>317</v>
      </c>
      <c r="B278" t="s">
        <v>318</v>
      </c>
      <c r="C278" t="s">
        <v>165</v>
      </c>
      <c r="D278" t="s">
        <v>319</v>
      </c>
      <c r="E278" t="s">
        <v>4607</v>
      </c>
      <c r="F278" t="s">
        <v>4608</v>
      </c>
      <c r="G278">
        <v>9049009367</v>
      </c>
      <c r="H278" t="s">
        <v>169</v>
      </c>
      <c r="I278" t="s">
        <v>4609</v>
      </c>
      <c r="J278" t="s">
        <v>904</v>
      </c>
      <c r="K278" t="s">
        <v>505</v>
      </c>
      <c r="L278" t="s">
        <v>4610</v>
      </c>
      <c r="M278" t="s">
        <v>4611</v>
      </c>
      <c r="N278" t="s">
        <v>113</v>
      </c>
      <c r="O278" t="s">
        <v>4612</v>
      </c>
      <c r="P278" t="s">
        <v>4613</v>
      </c>
      <c r="AI278" t="s">
        <v>4614</v>
      </c>
      <c r="AJ278" t="s">
        <v>4615</v>
      </c>
      <c r="AK278" t="s">
        <v>782</v>
      </c>
      <c r="AL278">
        <v>71.2</v>
      </c>
      <c r="AN278">
        <v>1989</v>
      </c>
      <c r="AO278" t="s">
        <v>113</v>
      </c>
      <c r="AP278" t="s">
        <v>4614</v>
      </c>
      <c r="AQ278" t="s">
        <v>4615</v>
      </c>
      <c r="AR278" t="s">
        <v>4616</v>
      </c>
      <c r="AS278">
        <v>66</v>
      </c>
      <c r="AU278">
        <v>1991</v>
      </c>
      <c r="AV278" t="s">
        <v>109</v>
      </c>
      <c r="BC278" t="s">
        <v>113</v>
      </c>
      <c r="BD278" t="s">
        <v>4617</v>
      </c>
      <c r="BE278" t="s">
        <v>4618</v>
      </c>
      <c r="BF278" t="s">
        <v>581</v>
      </c>
      <c r="BG278">
        <v>66.77</v>
      </c>
      <c r="BI278">
        <v>1995</v>
      </c>
      <c r="BJ278">
        <v>19</v>
      </c>
      <c r="BK278" t="s">
        <v>4619</v>
      </c>
      <c r="BL278">
        <v>53</v>
      </c>
      <c r="BM278" t="s">
        <v>957</v>
      </c>
      <c r="BN278" t="s">
        <v>113</v>
      </c>
      <c r="BO278" t="s">
        <v>4617</v>
      </c>
      <c r="BP278" t="s">
        <v>4617</v>
      </c>
      <c r="BQ278" t="s">
        <v>4620</v>
      </c>
      <c r="BR278">
        <v>66.97</v>
      </c>
      <c r="BT278">
        <v>1997</v>
      </c>
      <c r="BU278">
        <v>31</v>
      </c>
      <c r="BV278" t="s">
        <v>4621</v>
      </c>
      <c r="BW278">
        <v>23</v>
      </c>
      <c r="BY278" t="s">
        <v>113</v>
      </c>
      <c r="BZ278" t="s">
        <v>4622</v>
      </c>
      <c r="CA278" t="s">
        <v>4622</v>
      </c>
      <c r="CB278" t="s">
        <v>4623</v>
      </c>
      <c r="CC278">
        <v>60</v>
      </c>
      <c r="CE278">
        <v>2020</v>
      </c>
      <c r="CF278" t="s">
        <v>113</v>
      </c>
      <c r="CG278" t="s">
        <v>338</v>
      </c>
      <c r="CH278" t="s">
        <v>4624</v>
      </c>
      <c r="CI278" t="s">
        <v>132</v>
      </c>
      <c r="CJ278">
        <v>2011</v>
      </c>
      <c r="CL278" t="s">
        <v>113</v>
      </c>
      <c r="CM278" t="s">
        <v>4625</v>
      </c>
      <c r="CN278" t="s">
        <v>113</v>
      </c>
      <c r="CO278" t="s">
        <v>4626</v>
      </c>
      <c r="CP278" t="s">
        <v>4627</v>
      </c>
      <c r="CQ278" t="s">
        <v>4628</v>
      </c>
      <c r="CR278" t="str">
        <f>HYPERLINK("https://nconnect.nicmar.ac.in/public/storage/profile/699979f266498.png","Download")</f>
        <v>0</v>
      </c>
      <c r="CS278" t="str">
        <f>HYPERLINK("https://nconnect.nicmar.ac.in/pdf/428_resume_1771670239.pdf/Y2FyZWVy","View Resume")</f>
        <v>0</v>
      </c>
    </row>
    <row r="279" spans="1:97">
      <c r="A279" t="s">
        <v>192</v>
      </c>
      <c r="B279" t="s">
        <v>138</v>
      </c>
      <c r="C279" t="s">
        <v>165</v>
      </c>
      <c r="D279" t="s">
        <v>193</v>
      </c>
      <c r="E279" t="s">
        <v>4629</v>
      </c>
      <c r="F279" t="s">
        <v>4630</v>
      </c>
      <c r="G279">
        <v>9937012116</v>
      </c>
      <c r="H279" t="s">
        <v>169</v>
      </c>
      <c r="I279" t="s">
        <v>4631</v>
      </c>
      <c r="J279" t="s">
        <v>105</v>
      </c>
      <c r="K279" t="s">
        <v>4632</v>
      </c>
      <c r="L279" t="s">
        <v>4633</v>
      </c>
      <c r="M279" t="s">
        <v>4634</v>
      </c>
      <c r="N279" t="s">
        <v>109</v>
      </c>
      <c r="AI279" t="s">
        <v>4635</v>
      </c>
      <c r="AJ279" t="s">
        <v>4636</v>
      </c>
      <c r="AK279" t="s">
        <v>4637</v>
      </c>
      <c r="AL279">
        <v>85</v>
      </c>
      <c r="AN279">
        <v>1994</v>
      </c>
      <c r="AO279" t="s">
        <v>113</v>
      </c>
      <c r="AP279" t="s">
        <v>4638</v>
      </c>
      <c r="AQ279" t="s">
        <v>4639</v>
      </c>
      <c r="AR279" t="s">
        <v>4640</v>
      </c>
      <c r="AS279">
        <v>71</v>
      </c>
      <c r="AU279">
        <v>1996</v>
      </c>
      <c r="AV279" t="s">
        <v>109</v>
      </c>
      <c r="BC279" t="s">
        <v>113</v>
      </c>
      <c r="BD279" t="s">
        <v>4638</v>
      </c>
      <c r="BE279" t="s">
        <v>4641</v>
      </c>
      <c r="BF279" t="s">
        <v>4642</v>
      </c>
      <c r="BG279">
        <v>71</v>
      </c>
      <c r="BI279">
        <v>1999</v>
      </c>
      <c r="BJ279">
        <v>19</v>
      </c>
      <c r="BK279" t="s">
        <v>3880</v>
      </c>
      <c r="BL279">
        <v>53</v>
      </c>
      <c r="BM279" t="s">
        <v>2002</v>
      </c>
      <c r="BN279" t="s">
        <v>113</v>
      </c>
      <c r="BO279" t="s">
        <v>4643</v>
      </c>
      <c r="BP279" t="s">
        <v>4644</v>
      </c>
      <c r="BQ279" t="s">
        <v>4645</v>
      </c>
      <c r="BR279">
        <v>75</v>
      </c>
      <c r="BT279">
        <v>2004</v>
      </c>
      <c r="BU279">
        <v>31</v>
      </c>
      <c r="BV279" t="s">
        <v>4646</v>
      </c>
      <c r="BW279">
        <v>33</v>
      </c>
      <c r="BX279" t="s">
        <v>4647</v>
      </c>
      <c r="BY279" t="s">
        <v>113</v>
      </c>
      <c r="BZ279" t="s">
        <v>4643</v>
      </c>
      <c r="CA279" t="s">
        <v>4648</v>
      </c>
      <c r="CB279" t="s">
        <v>2002</v>
      </c>
      <c r="CC279">
        <v>63</v>
      </c>
      <c r="CE279">
        <v>2001</v>
      </c>
      <c r="CF279" t="s">
        <v>113</v>
      </c>
      <c r="CG279" t="s">
        <v>4649</v>
      </c>
      <c r="CH279" t="s">
        <v>4644</v>
      </c>
      <c r="CI279" t="s">
        <v>132</v>
      </c>
      <c r="CJ279">
        <v>2021</v>
      </c>
      <c r="CL279" t="s">
        <v>113</v>
      </c>
      <c r="CM279" t="s">
        <v>4650</v>
      </c>
      <c r="CN279" t="s">
        <v>113</v>
      </c>
      <c r="CO279" t="s">
        <v>4651</v>
      </c>
      <c r="CP279" t="s">
        <v>1245</v>
      </c>
      <c r="CQ279" t="s">
        <v>4652</v>
      </c>
      <c r="CR279" t="s">
        <v>136</v>
      </c>
      <c r="CS279" t="str">
        <f>HYPERLINK("https://nconnect.nicmar.ac.in/pdf/211_resume_1771670058.pdf/Y2FyZWVy","View Resume")</f>
        <v>0</v>
      </c>
    </row>
    <row r="280" spans="1:97">
      <c r="A280" t="s">
        <v>1183</v>
      </c>
      <c r="B280" t="s">
        <v>318</v>
      </c>
      <c r="C280" t="s">
        <v>99</v>
      </c>
      <c r="D280" t="s">
        <v>1184</v>
      </c>
      <c r="E280" t="s">
        <v>4653</v>
      </c>
      <c r="F280" t="s">
        <v>4654</v>
      </c>
      <c r="G280">
        <v>7875691295</v>
      </c>
      <c r="H280" t="s">
        <v>169</v>
      </c>
      <c r="I280" t="s">
        <v>4655</v>
      </c>
      <c r="J280" t="s">
        <v>105</v>
      </c>
      <c r="K280" t="s">
        <v>4656</v>
      </c>
      <c r="L280" t="s">
        <v>4657</v>
      </c>
      <c r="M280" t="s">
        <v>4658</v>
      </c>
      <c r="N280" t="s">
        <v>109</v>
      </c>
      <c r="AI280" t="s">
        <v>4659</v>
      </c>
      <c r="AJ280" t="s">
        <v>4660</v>
      </c>
      <c r="AK280" t="s">
        <v>4661</v>
      </c>
      <c r="AL280">
        <v>80</v>
      </c>
      <c r="AN280">
        <v>2007</v>
      </c>
      <c r="AO280" t="s">
        <v>113</v>
      </c>
      <c r="AP280" t="s">
        <v>4662</v>
      </c>
      <c r="AQ280" t="s">
        <v>4660</v>
      </c>
      <c r="AR280" t="s">
        <v>4663</v>
      </c>
      <c r="AS280">
        <v>56</v>
      </c>
      <c r="AU280">
        <v>2009</v>
      </c>
      <c r="AV280" t="s">
        <v>109</v>
      </c>
      <c r="BC280" t="s">
        <v>113</v>
      </c>
      <c r="BD280" t="s">
        <v>356</v>
      </c>
      <c r="BE280" t="s">
        <v>4664</v>
      </c>
      <c r="BF280" t="s">
        <v>4665</v>
      </c>
      <c r="BG280">
        <v>64</v>
      </c>
      <c r="BI280">
        <v>2014</v>
      </c>
      <c r="BJ280">
        <v>8</v>
      </c>
      <c r="BL280">
        <v>2</v>
      </c>
      <c r="BN280" t="s">
        <v>113</v>
      </c>
      <c r="BO280" t="s">
        <v>4666</v>
      </c>
      <c r="BP280" t="s">
        <v>4667</v>
      </c>
      <c r="BQ280" t="s">
        <v>4668</v>
      </c>
      <c r="BR280">
        <v>69.25</v>
      </c>
      <c r="BS280">
        <v>7.29</v>
      </c>
      <c r="BT280">
        <v>2023</v>
      </c>
      <c r="BU280">
        <v>31</v>
      </c>
      <c r="BV280" t="s">
        <v>4669</v>
      </c>
      <c r="BW280">
        <v>53</v>
      </c>
      <c r="BX280" t="s">
        <v>4670</v>
      </c>
      <c r="BY280" t="s">
        <v>109</v>
      </c>
      <c r="CF280" t="s">
        <v>109</v>
      </c>
      <c r="CL280" t="s">
        <v>109</v>
      </c>
      <c r="CN280" t="s">
        <v>109</v>
      </c>
      <c r="CP280" t="s">
        <v>4671</v>
      </c>
      <c r="CQ280" t="s">
        <v>4672</v>
      </c>
      <c r="CR280" t="s">
        <v>136</v>
      </c>
      <c r="CS280" t="str">
        <f>HYPERLINK("https://nconnect.nicmar.ac.in/pdf/433_resume_1771671119.pdf/Y2FyZWVy","View Resume")</f>
        <v>0</v>
      </c>
    </row>
    <row r="281" spans="1:97">
      <c r="A281" t="s">
        <v>772</v>
      </c>
      <c r="B281" t="s">
        <v>98</v>
      </c>
      <c r="C281" t="s">
        <v>703</v>
      </c>
      <c r="D281" t="s">
        <v>773</v>
      </c>
      <c r="E281" t="s">
        <v>4673</v>
      </c>
      <c r="F281" t="s">
        <v>4674</v>
      </c>
      <c r="G281">
        <v>9960595124</v>
      </c>
      <c r="H281" t="s">
        <v>169</v>
      </c>
      <c r="I281" t="s">
        <v>4675</v>
      </c>
      <c r="J281" t="s">
        <v>105</v>
      </c>
      <c r="K281" t="s">
        <v>526</v>
      </c>
      <c r="L281" t="s">
        <v>4676</v>
      </c>
      <c r="M281" t="s">
        <v>4677</v>
      </c>
      <c r="N281" t="s">
        <v>113</v>
      </c>
      <c r="O281" t="s">
        <v>4678</v>
      </c>
      <c r="P281" t="s">
        <v>4679</v>
      </c>
      <c r="AI281" t="s">
        <v>4680</v>
      </c>
      <c r="AJ281" t="s">
        <v>4681</v>
      </c>
      <c r="AK281" t="s">
        <v>4682</v>
      </c>
      <c r="AL281">
        <v>60</v>
      </c>
      <c r="AN281">
        <v>1995</v>
      </c>
      <c r="AO281" t="s">
        <v>113</v>
      </c>
      <c r="AP281" t="s">
        <v>4683</v>
      </c>
      <c r="AQ281" t="s">
        <v>4684</v>
      </c>
      <c r="AR281" t="s">
        <v>4685</v>
      </c>
      <c r="AS281">
        <v>57.17</v>
      </c>
      <c r="AU281">
        <v>1997</v>
      </c>
      <c r="AV281" t="s">
        <v>109</v>
      </c>
      <c r="BC281" t="s">
        <v>113</v>
      </c>
      <c r="BD281" t="s">
        <v>2744</v>
      </c>
      <c r="BE281" t="s">
        <v>4686</v>
      </c>
      <c r="BF281" t="s">
        <v>4687</v>
      </c>
      <c r="BG281">
        <v>73.25</v>
      </c>
      <c r="BI281">
        <v>2001</v>
      </c>
      <c r="BJ281">
        <v>19</v>
      </c>
      <c r="BK281" t="s">
        <v>4688</v>
      </c>
      <c r="BL281">
        <v>53</v>
      </c>
      <c r="BM281" t="s">
        <v>4689</v>
      </c>
      <c r="BN281" t="s">
        <v>113</v>
      </c>
      <c r="BO281" t="s">
        <v>2744</v>
      </c>
      <c r="BP281" t="s">
        <v>4690</v>
      </c>
      <c r="BQ281" t="s">
        <v>4691</v>
      </c>
      <c r="BR281">
        <v>64.86</v>
      </c>
      <c r="BT281">
        <v>2003</v>
      </c>
      <c r="BU281">
        <v>31</v>
      </c>
      <c r="BV281" t="s">
        <v>4692</v>
      </c>
      <c r="BW281">
        <v>33</v>
      </c>
      <c r="BY281" t="s">
        <v>113</v>
      </c>
      <c r="BZ281" t="s">
        <v>4693</v>
      </c>
      <c r="CA281" t="s">
        <v>4694</v>
      </c>
      <c r="CB281" t="s">
        <v>4695</v>
      </c>
      <c r="CC281">
        <v>60</v>
      </c>
      <c r="CE281">
        <v>2019</v>
      </c>
      <c r="CF281" t="s">
        <v>113</v>
      </c>
      <c r="CG281" t="s">
        <v>193</v>
      </c>
      <c r="CH281" t="s">
        <v>4696</v>
      </c>
      <c r="CI281" t="s">
        <v>132</v>
      </c>
      <c r="CJ281">
        <v>2014</v>
      </c>
      <c r="CL281" t="s">
        <v>109</v>
      </c>
      <c r="CN281" t="s">
        <v>113</v>
      </c>
      <c r="CO281" t="s">
        <v>4697</v>
      </c>
      <c r="CP281" t="s">
        <v>460</v>
      </c>
      <c r="CQ281" t="s">
        <v>4698</v>
      </c>
      <c r="CR281" t="s">
        <v>136</v>
      </c>
      <c r="CS281" t="str">
        <f>HYPERLINK("https://nconnect.nicmar.ac.in/pdf/423_resume_1771671632.pdf/Y2FyZWVy","View Resume")</f>
        <v>0</v>
      </c>
    </row>
    <row r="282" spans="1:97">
      <c r="A282" t="s">
        <v>137</v>
      </c>
      <c r="B282" t="s">
        <v>138</v>
      </c>
      <c r="C282" t="s">
        <v>139</v>
      </c>
      <c r="D282" t="s">
        <v>140</v>
      </c>
      <c r="E282" t="s">
        <v>4699</v>
      </c>
      <c r="F282" t="s">
        <v>4700</v>
      </c>
      <c r="G282">
        <v>9881499216</v>
      </c>
      <c r="H282" t="s">
        <v>169</v>
      </c>
      <c r="I282" t="s">
        <v>4701</v>
      </c>
      <c r="J282" t="s">
        <v>105</v>
      </c>
      <c r="K282" t="s">
        <v>1892</v>
      </c>
      <c r="L282" t="s">
        <v>4702</v>
      </c>
      <c r="M282" t="s">
        <v>4703</v>
      </c>
      <c r="N282" t="s">
        <v>109</v>
      </c>
      <c r="AI282" t="s">
        <v>4704</v>
      </c>
      <c r="AJ282" t="s">
        <v>1214</v>
      </c>
      <c r="AK282" t="s">
        <v>1297</v>
      </c>
      <c r="AL282">
        <v>71</v>
      </c>
      <c r="AN282">
        <v>1999</v>
      </c>
      <c r="AO282" t="s">
        <v>109</v>
      </c>
      <c r="AV282" t="s">
        <v>113</v>
      </c>
      <c r="AW282" t="s">
        <v>1147</v>
      </c>
      <c r="AX282" t="s">
        <v>4705</v>
      </c>
      <c r="AY282" t="s">
        <v>309</v>
      </c>
      <c r="AZ282">
        <v>81.27</v>
      </c>
      <c r="BB282">
        <v>2002</v>
      </c>
      <c r="BC282" t="s">
        <v>113</v>
      </c>
      <c r="BD282" t="s">
        <v>4706</v>
      </c>
      <c r="BE282" t="s">
        <v>4707</v>
      </c>
      <c r="BF282" t="s">
        <v>309</v>
      </c>
      <c r="BG282">
        <v>62</v>
      </c>
      <c r="BI282">
        <v>2005</v>
      </c>
      <c r="BJ282">
        <v>2</v>
      </c>
      <c r="BL282">
        <v>9</v>
      </c>
      <c r="BN282" t="s">
        <v>113</v>
      </c>
      <c r="BO282" t="s">
        <v>279</v>
      </c>
      <c r="BP282" t="s">
        <v>4708</v>
      </c>
      <c r="BQ282" t="s">
        <v>140</v>
      </c>
      <c r="BR282">
        <v>71.4</v>
      </c>
      <c r="BS282">
        <v>7.89</v>
      </c>
      <c r="BT282">
        <v>2016</v>
      </c>
      <c r="BU282">
        <v>14</v>
      </c>
      <c r="BW282">
        <v>47</v>
      </c>
      <c r="BY282" t="s">
        <v>109</v>
      </c>
      <c r="CF282" t="s">
        <v>113</v>
      </c>
      <c r="CG282" t="s">
        <v>4709</v>
      </c>
      <c r="CH282" t="s">
        <v>4710</v>
      </c>
      <c r="CI282" t="s">
        <v>132</v>
      </c>
      <c r="CJ282">
        <v>2025</v>
      </c>
      <c r="CL282" t="s">
        <v>113</v>
      </c>
      <c r="CM282" t="s">
        <v>4711</v>
      </c>
      <c r="CN282" t="s">
        <v>113</v>
      </c>
      <c r="CO282" t="s">
        <v>4712</v>
      </c>
      <c r="CP282" t="s">
        <v>4713</v>
      </c>
      <c r="CQ282" t="s">
        <v>4698</v>
      </c>
      <c r="CR282" t="str">
        <f>HYPERLINK("https://nconnect.nicmar.ac.in/public/storage/profile/6996fe8181cc9.png","Download")</f>
        <v>0</v>
      </c>
      <c r="CS282" t="str">
        <f>HYPERLINK("https://nconnect.nicmar.ac.in/pdf/83_resume_1771503118.pdf/Y2FyZWVy","View Resume")</f>
        <v>0</v>
      </c>
    </row>
    <row r="283" spans="1:97">
      <c r="A283" t="s">
        <v>192</v>
      </c>
      <c r="B283" t="s">
        <v>138</v>
      </c>
      <c r="C283" t="s">
        <v>165</v>
      </c>
      <c r="D283" t="s">
        <v>193</v>
      </c>
      <c r="E283" t="s">
        <v>4714</v>
      </c>
      <c r="F283" t="s">
        <v>4715</v>
      </c>
      <c r="G283">
        <v>9834438607</v>
      </c>
      <c r="H283" t="s">
        <v>103</v>
      </c>
      <c r="I283" t="s">
        <v>4716</v>
      </c>
      <c r="J283" t="s">
        <v>105</v>
      </c>
      <c r="K283" t="s">
        <v>879</v>
      </c>
      <c r="L283" t="s">
        <v>4717</v>
      </c>
      <c r="M283" t="s">
        <v>4718</v>
      </c>
      <c r="N283" t="s">
        <v>113</v>
      </c>
      <c r="O283" t="s">
        <v>4719</v>
      </c>
      <c r="P283" t="s">
        <v>4720</v>
      </c>
      <c r="AI283" t="s">
        <v>4721</v>
      </c>
      <c r="AJ283" t="s">
        <v>1542</v>
      </c>
      <c r="AK283" t="s">
        <v>957</v>
      </c>
      <c r="AL283">
        <v>53.86</v>
      </c>
      <c r="AN283">
        <v>1997</v>
      </c>
      <c r="AO283" t="s">
        <v>113</v>
      </c>
      <c r="AP283" t="s">
        <v>1520</v>
      </c>
      <c r="AQ283" t="s">
        <v>1542</v>
      </c>
      <c r="AR283" t="s">
        <v>4495</v>
      </c>
      <c r="AS283">
        <v>54.33</v>
      </c>
      <c r="AU283">
        <v>1999</v>
      </c>
      <c r="AV283" t="s">
        <v>109</v>
      </c>
      <c r="BC283" t="s">
        <v>113</v>
      </c>
      <c r="BD283" t="s">
        <v>1215</v>
      </c>
      <c r="BE283" t="s">
        <v>4722</v>
      </c>
      <c r="BF283" t="s">
        <v>3310</v>
      </c>
      <c r="BG283">
        <v>60</v>
      </c>
      <c r="BI283">
        <v>2003</v>
      </c>
      <c r="BJ283">
        <v>19</v>
      </c>
      <c r="BK283" t="s">
        <v>3542</v>
      </c>
      <c r="BL283">
        <v>53</v>
      </c>
      <c r="BM283" t="s">
        <v>3310</v>
      </c>
      <c r="BN283" t="s">
        <v>113</v>
      </c>
      <c r="BO283" t="s">
        <v>1215</v>
      </c>
      <c r="BP283" t="s">
        <v>4723</v>
      </c>
      <c r="BQ283" t="s">
        <v>746</v>
      </c>
      <c r="BR283">
        <v>60</v>
      </c>
      <c r="BT283">
        <v>2005</v>
      </c>
      <c r="BU283">
        <v>31</v>
      </c>
      <c r="BV283" t="s">
        <v>4724</v>
      </c>
      <c r="BW283">
        <v>33</v>
      </c>
      <c r="BY283" t="s">
        <v>109</v>
      </c>
      <c r="CF283" t="s">
        <v>113</v>
      </c>
      <c r="CG283" t="s">
        <v>841</v>
      </c>
      <c r="CH283" t="s">
        <v>4725</v>
      </c>
      <c r="CI283" t="s">
        <v>132</v>
      </c>
      <c r="CJ283">
        <v>2025</v>
      </c>
      <c r="CL283" t="s">
        <v>109</v>
      </c>
      <c r="CN283" t="s">
        <v>113</v>
      </c>
      <c r="CO283" t="s">
        <v>4726</v>
      </c>
      <c r="CP283" t="s">
        <v>342</v>
      </c>
      <c r="CQ283" t="s">
        <v>4727</v>
      </c>
      <c r="CR283" t="str">
        <f>HYPERLINK("https://nconnect.nicmar.ac.in/public/storage/profile/69997158014f2.png","Download")</f>
        <v>0</v>
      </c>
      <c r="CS283" t="str">
        <f>HYPERLINK("https://nconnect.nicmar.ac.in/pdf/424_resume_1771671801.pdf/Y2FyZWVy","View Resume")</f>
        <v>0</v>
      </c>
    </row>
    <row r="284" spans="1:97">
      <c r="A284" t="s">
        <v>137</v>
      </c>
      <c r="B284" t="s">
        <v>138</v>
      </c>
      <c r="C284" t="s">
        <v>139</v>
      </c>
      <c r="D284" t="s">
        <v>140</v>
      </c>
      <c r="E284" t="s">
        <v>4728</v>
      </c>
      <c r="F284" t="s">
        <v>4729</v>
      </c>
      <c r="G284">
        <v>9988779099</v>
      </c>
      <c r="H284" t="s">
        <v>103</v>
      </c>
      <c r="I284" t="s">
        <v>4730</v>
      </c>
      <c r="J284" t="s">
        <v>144</v>
      </c>
      <c r="K284" t="s">
        <v>4731</v>
      </c>
      <c r="L284" t="s">
        <v>4732</v>
      </c>
      <c r="M284" t="s">
        <v>4733</v>
      </c>
      <c r="N284" t="s">
        <v>109</v>
      </c>
      <c r="AI284" t="s">
        <v>4734</v>
      </c>
      <c r="AJ284" t="s">
        <v>4735</v>
      </c>
      <c r="AK284" t="s">
        <v>4736</v>
      </c>
      <c r="AL284">
        <v>59</v>
      </c>
      <c r="AN284">
        <v>2005</v>
      </c>
      <c r="AO284" t="s">
        <v>113</v>
      </c>
      <c r="AP284" t="s">
        <v>4734</v>
      </c>
      <c r="AQ284" t="s">
        <v>4735</v>
      </c>
      <c r="AR284" t="s">
        <v>4737</v>
      </c>
      <c r="AS284">
        <v>59</v>
      </c>
      <c r="AU284">
        <v>2007</v>
      </c>
      <c r="AV284" t="s">
        <v>109</v>
      </c>
      <c r="BC284" t="s">
        <v>113</v>
      </c>
      <c r="BD284" t="s">
        <v>4738</v>
      </c>
      <c r="BE284" t="s">
        <v>4739</v>
      </c>
      <c r="BF284" t="s">
        <v>156</v>
      </c>
      <c r="BG284">
        <v>71.1</v>
      </c>
      <c r="BH284">
        <v>7.9</v>
      </c>
      <c r="BI284">
        <v>2011</v>
      </c>
      <c r="BJ284">
        <v>1</v>
      </c>
      <c r="BL284">
        <v>7</v>
      </c>
      <c r="BN284" t="s">
        <v>113</v>
      </c>
      <c r="BO284" t="s">
        <v>4740</v>
      </c>
      <c r="BP284" t="s">
        <v>4741</v>
      </c>
      <c r="BQ284" t="s">
        <v>4742</v>
      </c>
      <c r="BR284">
        <v>76.5</v>
      </c>
      <c r="BS284">
        <v>8.05</v>
      </c>
      <c r="BT284">
        <v>2015</v>
      </c>
      <c r="BU284">
        <v>14</v>
      </c>
      <c r="BW284">
        <v>7</v>
      </c>
      <c r="BY284" t="s">
        <v>109</v>
      </c>
      <c r="CF284" t="s">
        <v>113</v>
      </c>
      <c r="CG284" t="s">
        <v>4743</v>
      </c>
      <c r="CH284" t="s">
        <v>4744</v>
      </c>
      <c r="CI284" t="s">
        <v>132</v>
      </c>
      <c r="CJ284">
        <v>2022</v>
      </c>
      <c r="CL284" t="s">
        <v>113</v>
      </c>
      <c r="CM284" t="s">
        <v>4745</v>
      </c>
      <c r="CN284" t="s">
        <v>113</v>
      </c>
      <c r="CO284" t="s">
        <v>4746</v>
      </c>
      <c r="CP284" t="s">
        <v>4747</v>
      </c>
      <c r="CQ284" t="s">
        <v>4748</v>
      </c>
      <c r="CR284" t="str">
        <f>HYPERLINK("https://nconnect.nicmar.ac.in/public/storage/profile/699987e257b48.png","Download")</f>
        <v>0</v>
      </c>
      <c r="CS284" t="str">
        <f>HYPERLINK("https://nconnect.nicmar.ac.in/pdf/432_resume_1771672426.pdf/Y2FyZWVy","View Resume")</f>
        <v>0</v>
      </c>
    </row>
    <row r="285" spans="1:97">
      <c r="A285" t="s">
        <v>164</v>
      </c>
      <c r="B285" t="s">
        <v>138</v>
      </c>
      <c r="C285" t="s">
        <v>165</v>
      </c>
      <c r="D285" t="s">
        <v>166</v>
      </c>
      <c r="E285" t="s">
        <v>4749</v>
      </c>
      <c r="F285" t="s">
        <v>4750</v>
      </c>
      <c r="G285">
        <v>8446520331</v>
      </c>
      <c r="H285" t="s">
        <v>103</v>
      </c>
      <c r="I285" t="s">
        <v>4751</v>
      </c>
      <c r="J285" t="s">
        <v>105</v>
      </c>
      <c r="K285" t="s">
        <v>4752</v>
      </c>
      <c r="L285" t="s">
        <v>4753</v>
      </c>
      <c r="M285" t="s">
        <v>4754</v>
      </c>
      <c r="N285" t="s">
        <v>109</v>
      </c>
      <c r="AI285" t="s">
        <v>4755</v>
      </c>
      <c r="AJ285" t="s">
        <v>4756</v>
      </c>
      <c r="AK285" t="s">
        <v>277</v>
      </c>
      <c r="AL285">
        <v>77.53</v>
      </c>
      <c r="AN285">
        <v>2009</v>
      </c>
      <c r="AO285" t="s">
        <v>113</v>
      </c>
      <c r="AP285" t="s">
        <v>4757</v>
      </c>
      <c r="AQ285" t="s">
        <v>4756</v>
      </c>
      <c r="AR285" t="s">
        <v>277</v>
      </c>
      <c r="AS285">
        <v>66.33</v>
      </c>
      <c r="AU285">
        <v>2011</v>
      </c>
      <c r="AV285" t="s">
        <v>109</v>
      </c>
      <c r="BC285" t="s">
        <v>113</v>
      </c>
      <c r="BD285" t="s">
        <v>3308</v>
      </c>
      <c r="BE285" t="s">
        <v>4758</v>
      </c>
      <c r="BF285" t="s">
        <v>1047</v>
      </c>
      <c r="BG285">
        <v>69.29</v>
      </c>
      <c r="BI285">
        <v>2015</v>
      </c>
      <c r="BJ285">
        <v>19</v>
      </c>
      <c r="BK285" t="s">
        <v>1047</v>
      </c>
      <c r="BL285">
        <v>34</v>
      </c>
      <c r="BN285" t="s">
        <v>113</v>
      </c>
      <c r="BO285" t="s">
        <v>4759</v>
      </c>
      <c r="BP285" t="s">
        <v>4759</v>
      </c>
      <c r="BQ285" t="s">
        <v>4760</v>
      </c>
      <c r="BR285">
        <v>77.9</v>
      </c>
      <c r="BS285">
        <v>7.79</v>
      </c>
      <c r="BT285">
        <v>2019</v>
      </c>
      <c r="BU285">
        <v>31</v>
      </c>
      <c r="BV285" t="s">
        <v>4761</v>
      </c>
      <c r="BW285">
        <v>53</v>
      </c>
      <c r="BX285" t="s">
        <v>4760</v>
      </c>
      <c r="BY285" t="s">
        <v>109</v>
      </c>
      <c r="CF285" t="s">
        <v>113</v>
      </c>
      <c r="CG285" t="s">
        <v>4762</v>
      </c>
      <c r="CH285" t="s">
        <v>4763</v>
      </c>
      <c r="CI285" t="s">
        <v>132</v>
      </c>
      <c r="CJ285">
        <v>2026</v>
      </c>
      <c r="CL285" t="s">
        <v>113</v>
      </c>
      <c r="CN285" t="s">
        <v>113</v>
      </c>
      <c r="CO285" t="s">
        <v>4764</v>
      </c>
      <c r="CP285" t="s">
        <v>4765</v>
      </c>
      <c r="CQ285" t="s">
        <v>4766</v>
      </c>
      <c r="CR285" t="str">
        <f>HYPERLINK("https://nconnect.nicmar.ac.in/public/storage/profile/699981d1a2599.png","Download")</f>
        <v>0</v>
      </c>
      <c r="CS285" t="str">
        <f>HYPERLINK("https://nconnect.nicmar.ac.in/pdf/430_resume_1771672063.pdf/Y2FyZWVy","View Resume")</f>
        <v>0</v>
      </c>
    </row>
    <row r="286" spans="1:97">
      <c r="A286" t="s">
        <v>192</v>
      </c>
      <c r="B286" t="s">
        <v>138</v>
      </c>
      <c r="C286" t="s">
        <v>165</v>
      </c>
      <c r="D286" t="s">
        <v>193</v>
      </c>
      <c r="E286" t="s">
        <v>4767</v>
      </c>
      <c r="F286" t="s">
        <v>4768</v>
      </c>
      <c r="G286">
        <v>9004474183</v>
      </c>
      <c r="H286" t="s">
        <v>169</v>
      </c>
      <c r="I286" t="s">
        <v>4769</v>
      </c>
      <c r="J286" t="s">
        <v>105</v>
      </c>
      <c r="K286" t="s">
        <v>526</v>
      </c>
      <c r="L286" t="s">
        <v>4770</v>
      </c>
      <c r="M286" t="s">
        <v>4771</v>
      </c>
      <c r="N286" t="s">
        <v>109</v>
      </c>
      <c r="AI286" t="s">
        <v>4772</v>
      </c>
      <c r="AJ286" t="s">
        <v>4773</v>
      </c>
      <c r="AK286" t="s">
        <v>1212</v>
      </c>
      <c r="AL286">
        <v>85</v>
      </c>
      <c r="AN286">
        <v>2006</v>
      </c>
      <c r="AO286" t="s">
        <v>113</v>
      </c>
      <c r="AP286" t="s">
        <v>4772</v>
      </c>
      <c r="AQ286" t="s">
        <v>4774</v>
      </c>
      <c r="AR286" t="s">
        <v>277</v>
      </c>
      <c r="AS286">
        <v>67</v>
      </c>
      <c r="AU286">
        <v>2008</v>
      </c>
      <c r="AV286" t="s">
        <v>109</v>
      </c>
      <c r="BC286" t="s">
        <v>113</v>
      </c>
      <c r="BD286" t="s">
        <v>256</v>
      </c>
      <c r="BE286" t="s">
        <v>4775</v>
      </c>
      <c r="BF286" t="s">
        <v>4776</v>
      </c>
      <c r="BG286">
        <v>79</v>
      </c>
      <c r="BH286">
        <v>7.9</v>
      </c>
      <c r="BI286">
        <v>2012</v>
      </c>
      <c r="BJ286">
        <v>18</v>
      </c>
      <c r="BL286">
        <v>52</v>
      </c>
      <c r="BN286" t="s">
        <v>113</v>
      </c>
      <c r="BO286" t="s">
        <v>4777</v>
      </c>
      <c r="BP286" t="s">
        <v>4778</v>
      </c>
      <c r="BQ286" t="s">
        <v>4779</v>
      </c>
      <c r="BR286">
        <v>72</v>
      </c>
      <c r="BT286">
        <v>2015</v>
      </c>
      <c r="BU286">
        <v>31</v>
      </c>
      <c r="BV286" t="s">
        <v>4780</v>
      </c>
      <c r="BW286">
        <v>33</v>
      </c>
      <c r="BY286" t="s">
        <v>109</v>
      </c>
      <c r="CF286" t="s">
        <v>113</v>
      </c>
      <c r="CG286" t="s">
        <v>746</v>
      </c>
      <c r="CH286" t="s">
        <v>4781</v>
      </c>
      <c r="CI286" t="s">
        <v>240</v>
      </c>
      <c r="CK286" t="s">
        <v>113</v>
      </c>
      <c r="CL286" t="s">
        <v>109</v>
      </c>
      <c r="CN286" t="s">
        <v>113</v>
      </c>
      <c r="CO286" t="s">
        <v>4782</v>
      </c>
      <c r="CP286" t="s">
        <v>4783</v>
      </c>
      <c r="CQ286" t="s">
        <v>4784</v>
      </c>
      <c r="CR286" t="str">
        <f>HYPERLINK("https://nconnect.nicmar.ac.in/public/storage/profile/69993da03bdda.png","Download")</f>
        <v>0</v>
      </c>
      <c r="CS286" t="str">
        <f>HYPERLINK("https://nconnect.nicmar.ac.in/pdf/436_resume_1771673851.pdf/Y2FyZWVy","View Resume")</f>
        <v>0</v>
      </c>
    </row>
    <row r="287" spans="1:97">
      <c r="A287" t="s">
        <v>846</v>
      </c>
      <c r="B287" t="s">
        <v>138</v>
      </c>
      <c r="C287" t="s">
        <v>165</v>
      </c>
      <c r="D287" t="s">
        <v>847</v>
      </c>
      <c r="E287" t="s">
        <v>4785</v>
      </c>
      <c r="F287" t="s">
        <v>4786</v>
      </c>
      <c r="G287">
        <v>9730034455</v>
      </c>
      <c r="H287" t="s">
        <v>103</v>
      </c>
      <c r="I287" t="s">
        <v>4787</v>
      </c>
      <c r="J287" t="s">
        <v>105</v>
      </c>
      <c r="K287" t="s">
        <v>4788</v>
      </c>
      <c r="L287" t="s">
        <v>4789</v>
      </c>
      <c r="M287" t="s">
        <v>4790</v>
      </c>
      <c r="N287" t="s">
        <v>109</v>
      </c>
      <c r="AI287" t="s">
        <v>4791</v>
      </c>
      <c r="AJ287" t="s">
        <v>4792</v>
      </c>
      <c r="AK287" t="s">
        <v>4793</v>
      </c>
      <c r="AL287">
        <v>68</v>
      </c>
      <c r="AN287">
        <v>1995</v>
      </c>
      <c r="AO287" t="s">
        <v>113</v>
      </c>
      <c r="AP287" t="s">
        <v>4794</v>
      </c>
      <c r="AQ287" t="s">
        <v>4792</v>
      </c>
      <c r="AR287" t="s">
        <v>4795</v>
      </c>
      <c r="AS287">
        <v>73</v>
      </c>
      <c r="AU287">
        <v>1997</v>
      </c>
      <c r="AV287" t="s">
        <v>109</v>
      </c>
      <c r="BC287" t="s">
        <v>113</v>
      </c>
      <c r="BD287" t="s">
        <v>4796</v>
      </c>
      <c r="BE287" t="s">
        <v>4796</v>
      </c>
      <c r="BF287" t="s">
        <v>4797</v>
      </c>
      <c r="BG287">
        <v>64</v>
      </c>
      <c r="BI287">
        <v>1995</v>
      </c>
      <c r="BJ287">
        <v>19</v>
      </c>
      <c r="BK287" t="s">
        <v>4798</v>
      </c>
      <c r="BL287">
        <v>53</v>
      </c>
      <c r="BM287" t="s">
        <v>4799</v>
      </c>
      <c r="BN287" t="s">
        <v>113</v>
      </c>
      <c r="BO287" t="s">
        <v>4800</v>
      </c>
      <c r="BP287" t="s">
        <v>4801</v>
      </c>
      <c r="BQ287" t="s">
        <v>4802</v>
      </c>
      <c r="BR287">
        <v>60</v>
      </c>
      <c r="BT287">
        <v>1997</v>
      </c>
      <c r="BU287">
        <v>31</v>
      </c>
      <c r="BV287" t="s">
        <v>4803</v>
      </c>
      <c r="BW287">
        <v>53</v>
      </c>
      <c r="BX287" t="s">
        <v>4804</v>
      </c>
      <c r="BY287" t="s">
        <v>113</v>
      </c>
      <c r="BZ287" t="s">
        <v>279</v>
      </c>
      <c r="CA287" t="s">
        <v>4805</v>
      </c>
      <c r="CB287" t="s">
        <v>4806</v>
      </c>
      <c r="CC287">
        <v>68</v>
      </c>
      <c r="CD287" t="s">
        <v>4807</v>
      </c>
      <c r="CE287">
        <v>2020</v>
      </c>
      <c r="CF287" t="s">
        <v>113</v>
      </c>
      <c r="CG287" t="s">
        <v>4808</v>
      </c>
      <c r="CH287" t="s">
        <v>4809</v>
      </c>
      <c r="CI287" t="s">
        <v>132</v>
      </c>
      <c r="CJ287">
        <v>2017</v>
      </c>
      <c r="CL287" t="s">
        <v>113</v>
      </c>
      <c r="CM287" t="s">
        <v>4810</v>
      </c>
      <c r="CN287" t="s">
        <v>113</v>
      </c>
      <c r="CO287" t="s">
        <v>4811</v>
      </c>
      <c r="CP287" t="s">
        <v>435</v>
      </c>
      <c r="CQ287" t="s">
        <v>4812</v>
      </c>
      <c r="CR287" t="str">
        <f>HYPERLINK("https://nconnect.nicmar.ac.in/public/storage/profile/69984c1fc7dde.png","Download")</f>
        <v>0</v>
      </c>
      <c r="CS287" t="str">
        <f>HYPERLINK("https://nconnect.nicmar.ac.in/pdf/377_resume_1771674546.pdf/Y2FyZWVy","View Resume")</f>
        <v>0</v>
      </c>
    </row>
    <row r="288" spans="1:97">
      <c r="A288" t="s">
        <v>1203</v>
      </c>
      <c r="B288" t="s">
        <v>138</v>
      </c>
      <c r="C288" t="s">
        <v>165</v>
      </c>
      <c r="D288" t="s">
        <v>1204</v>
      </c>
      <c r="E288" t="s">
        <v>4785</v>
      </c>
      <c r="F288" t="s">
        <v>4786</v>
      </c>
      <c r="G288">
        <v>9730034455</v>
      </c>
      <c r="H288" t="s">
        <v>103</v>
      </c>
      <c r="I288" t="s">
        <v>4787</v>
      </c>
      <c r="J288" t="s">
        <v>105</v>
      </c>
      <c r="K288" t="s">
        <v>4788</v>
      </c>
      <c r="L288" t="s">
        <v>4789</v>
      </c>
      <c r="M288" t="s">
        <v>4790</v>
      </c>
      <c r="N288" t="s">
        <v>109</v>
      </c>
      <c r="AI288" t="s">
        <v>4791</v>
      </c>
      <c r="AJ288" t="s">
        <v>4792</v>
      </c>
      <c r="AK288" t="s">
        <v>4793</v>
      </c>
      <c r="AL288">
        <v>68</v>
      </c>
      <c r="AN288">
        <v>1995</v>
      </c>
      <c r="AO288" t="s">
        <v>113</v>
      </c>
      <c r="AP288" t="s">
        <v>4794</v>
      </c>
      <c r="AQ288" t="s">
        <v>4792</v>
      </c>
      <c r="AR288" t="s">
        <v>4795</v>
      </c>
      <c r="AS288">
        <v>73</v>
      </c>
      <c r="AU288">
        <v>1997</v>
      </c>
      <c r="AV288" t="s">
        <v>109</v>
      </c>
      <c r="BC288" t="s">
        <v>113</v>
      </c>
      <c r="BD288" t="s">
        <v>4796</v>
      </c>
      <c r="BE288" t="s">
        <v>4796</v>
      </c>
      <c r="BF288" t="s">
        <v>4797</v>
      </c>
      <c r="BG288">
        <v>64</v>
      </c>
      <c r="BI288">
        <v>1995</v>
      </c>
      <c r="BJ288">
        <v>19</v>
      </c>
      <c r="BK288" t="s">
        <v>4798</v>
      </c>
      <c r="BL288">
        <v>53</v>
      </c>
      <c r="BM288" t="s">
        <v>4799</v>
      </c>
      <c r="BN288" t="s">
        <v>113</v>
      </c>
      <c r="BO288" t="s">
        <v>4800</v>
      </c>
      <c r="BP288" t="s">
        <v>4801</v>
      </c>
      <c r="BQ288" t="s">
        <v>4802</v>
      </c>
      <c r="BR288">
        <v>60</v>
      </c>
      <c r="BT288">
        <v>1997</v>
      </c>
      <c r="BU288">
        <v>31</v>
      </c>
      <c r="BV288" t="s">
        <v>4803</v>
      </c>
      <c r="BW288">
        <v>53</v>
      </c>
      <c r="BX288" t="s">
        <v>4804</v>
      </c>
      <c r="BY288" t="s">
        <v>113</v>
      </c>
      <c r="BZ288" t="s">
        <v>279</v>
      </c>
      <c r="CA288" t="s">
        <v>4805</v>
      </c>
      <c r="CB288" t="s">
        <v>4806</v>
      </c>
      <c r="CC288">
        <v>68</v>
      </c>
      <c r="CD288" t="s">
        <v>4807</v>
      </c>
      <c r="CE288">
        <v>2020</v>
      </c>
      <c r="CF288" t="s">
        <v>113</v>
      </c>
      <c r="CG288" t="s">
        <v>4808</v>
      </c>
      <c r="CH288" t="s">
        <v>4809</v>
      </c>
      <c r="CI288" t="s">
        <v>132</v>
      </c>
      <c r="CJ288">
        <v>2017</v>
      </c>
      <c r="CL288" t="s">
        <v>113</v>
      </c>
      <c r="CM288" t="s">
        <v>4810</v>
      </c>
      <c r="CN288" t="s">
        <v>113</v>
      </c>
      <c r="CO288" t="s">
        <v>4811</v>
      </c>
      <c r="CP288" t="s">
        <v>435</v>
      </c>
      <c r="CQ288" t="s">
        <v>4813</v>
      </c>
      <c r="CR288" t="str">
        <f>HYPERLINK("https://nconnect.nicmar.ac.in/public/storage/profile/69984c1fc7dde.png","Download")</f>
        <v>0</v>
      </c>
      <c r="CS288" t="str">
        <f>HYPERLINK("https://nconnect.nicmar.ac.in/pdf/377_resume_1771674546.pdf/Y2FyZWVy","View Resume")</f>
        <v>0</v>
      </c>
    </row>
    <row r="289" spans="1:97">
      <c r="A289" t="s">
        <v>343</v>
      </c>
      <c r="B289" t="s">
        <v>98</v>
      </c>
      <c r="C289" t="s">
        <v>295</v>
      </c>
      <c r="D289" t="s">
        <v>344</v>
      </c>
      <c r="E289" t="s">
        <v>4814</v>
      </c>
      <c r="F289" t="s">
        <v>4815</v>
      </c>
      <c r="G289">
        <v>8055698750</v>
      </c>
      <c r="H289" t="s">
        <v>103</v>
      </c>
      <c r="I289" t="s">
        <v>4816</v>
      </c>
      <c r="J289" t="s">
        <v>105</v>
      </c>
      <c r="K289" t="s">
        <v>4817</v>
      </c>
      <c r="L289" t="s">
        <v>4818</v>
      </c>
      <c r="M289" t="s">
        <v>4819</v>
      </c>
      <c r="N289" t="s">
        <v>109</v>
      </c>
      <c r="AI289" t="s">
        <v>4820</v>
      </c>
      <c r="AJ289" t="s">
        <v>4821</v>
      </c>
      <c r="AK289" t="s">
        <v>1212</v>
      </c>
      <c r="AL289">
        <v>65.33</v>
      </c>
      <c r="AN289">
        <v>2006</v>
      </c>
      <c r="AO289" t="s">
        <v>113</v>
      </c>
      <c r="AP289" t="s">
        <v>4822</v>
      </c>
      <c r="AQ289" t="s">
        <v>4821</v>
      </c>
      <c r="AR289" t="s">
        <v>277</v>
      </c>
      <c r="AS289">
        <v>55.83</v>
      </c>
      <c r="AU289">
        <v>2008</v>
      </c>
      <c r="AV289" t="s">
        <v>109</v>
      </c>
      <c r="BC289" t="s">
        <v>113</v>
      </c>
      <c r="BD289" t="s">
        <v>4823</v>
      </c>
      <c r="BE289" t="s">
        <v>4824</v>
      </c>
      <c r="BF289" t="s">
        <v>309</v>
      </c>
      <c r="BG289">
        <v>58.93</v>
      </c>
      <c r="BH289">
        <v>6.14</v>
      </c>
      <c r="BI289">
        <v>2012</v>
      </c>
      <c r="BJ289">
        <v>2</v>
      </c>
      <c r="BL289">
        <v>9</v>
      </c>
      <c r="BN289" t="s">
        <v>113</v>
      </c>
      <c r="BO289" t="s">
        <v>4825</v>
      </c>
      <c r="BP289" t="s">
        <v>4825</v>
      </c>
      <c r="BQ289" t="s">
        <v>4826</v>
      </c>
      <c r="BR289">
        <v>74.2</v>
      </c>
      <c r="BS289">
        <v>7.42</v>
      </c>
      <c r="BT289">
        <v>2016</v>
      </c>
      <c r="BU289">
        <v>16</v>
      </c>
      <c r="BW289">
        <v>49</v>
      </c>
      <c r="BY289" t="s">
        <v>109</v>
      </c>
      <c r="CF289" t="s">
        <v>109</v>
      </c>
      <c r="CL289" t="s">
        <v>113</v>
      </c>
      <c r="CN289" t="s">
        <v>113</v>
      </c>
      <c r="CO289" t="s">
        <v>4827</v>
      </c>
      <c r="CP289" t="s">
        <v>4828</v>
      </c>
      <c r="CQ289" t="s">
        <v>4829</v>
      </c>
      <c r="CR289" t="s">
        <v>136</v>
      </c>
      <c r="CS289" t="str">
        <f>HYPERLINK("https://nconnect.nicmar.ac.in/pdf/441_resume_1771674731.pdf/Y2FyZWVy","View Resume")</f>
        <v>0</v>
      </c>
    </row>
    <row r="290" spans="1:97">
      <c r="A290" t="s">
        <v>137</v>
      </c>
      <c r="B290" t="s">
        <v>138</v>
      </c>
      <c r="C290" t="s">
        <v>139</v>
      </c>
      <c r="D290" t="s">
        <v>140</v>
      </c>
      <c r="E290" t="s">
        <v>4830</v>
      </c>
      <c r="F290" t="s">
        <v>4831</v>
      </c>
      <c r="G290">
        <v>8179559666</v>
      </c>
      <c r="H290" t="s">
        <v>169</v>
      </c>
      <c r="I290" t="s">
        <v>4832</v>
      </c>
      <c r="J290" t="s">
        <v>144</v>
      </c>
      <c r="K290" t="s">
        <v>1339</v>
      </c>
      <c r="L290" t="s">
        <v>4833</v>
      </c>
      <c r="M290" t="s">
        <v>4834</v>
      </c>
      <c r="N290" t="s">
        <v>109</v>
      </c>
      <c r="AI290" t="s">
        <v>4835</v>
      </c>
      <c r="AJ290" t="s">
        <v>4836</v>
      </c>
      <c r="AK290" t="s">
        <v>4837</v>
      </c>
      <c r="AL290">
        <v>81</v>
      </c>
      <c r="AN290">
        <v>2006</v>
      </c>
      <c r="AO290" t="s">
        <v>113</v>
      </c>
      <c r="AP290" t="s">
        <v>4838</v>
      </c>
      <c r="AQ290" t="s">
        <v>3520</v>
      </c>
      <c r="AR290" t="s">
        <v>4837</v>
      </c>
      <c r="AS290">
        <v>79</v>
      </c>
      <c r="AU290">
        <v>2008</v>
      </c>
      <c r="AV290" t="s">
        <v>109</v>
      </c>
      <c r="BC290" t="s">
        <v>113</v>
      </c>
      <c r="BD290" t="s">
        <v>4839</v>
      </c>
      <c r="BE290" t="s">
        <v>4840</v>
      </c>
      <c r="BF290" t="s">
        <v>309</v>
      </c>
      <c r="BG290">
        <v>83</v>
      </c>
      <c r="BI290">
        <v>2012</v>
      </c>
      <c r="BJ290">
        <v>1</v>
      </c>
      <c r="BL290">
        <v>9</v>
      </c>
      <c r="BN290" t="s">
        <v>113</v>
      </c>
      <c r="BO290" t="s">
        <v>4841</v>
      </c>
      <c r="BP290" t="s">
        <v>4842</v>
      </c>
      <c r="BQ290" t="s">
        <v>140</v>
      </c>
      <c r="BR290">
        <v>81</v>
      </c>
      <c r="BS290">
        <v>8.12</v>
      </c>
      <c r="BT290">
        <v>2015</v>
      </c>
      <c r="BU290">
        <v>14</v>
      </c>
      <c r="BW290">
        <v>47</v>
      </c>
      <c r="BY290" t="s">
        <v>109</v>
      </c>
      <c r="CF290" t="s">
        <v>113</v>
      </c>
      <c r="CG290" t="s">
        <v>4843</v>
      </c>
      <c r="CH290" t="s">
        <v>4844</v>
      </c>
      <c r="CI290" t="s">
        <v>240</v>
      </c>
      <c r="CK290" t="s">
        <v>109</v>
      </c>
      <c r="CL290" t="s">
        <v>109</v>
      </c>
      <c r="CN290" t="s">
        <v>113</v>
      </c>
      <c r="CO290" t="s">
        <v>4845</v>
      </c>
      <c r="CP290" t="s">
        <v>460</v>
      </c>
      <c r="CQ290" t="s">
        <v>4846</v>
      </c>
      <c r="CR290" t="s">
        <v>136</v>
      </c>
      <c r="CS290" t="str">
        <f>HYPERLINK("https://nconnect.nicmar.ac.in/pdf/443_resume_1771675141.pdf/Y2FyZWVy","View Resume")</f>
        <v>0</v>
      </c>
    </row>
    <row r="291" spans="1:97">
      <c r="A291" t="s">
        <v>3528</v>
      </c>
      <c r="B291" t="s">
        <v>318</v>
      </c>
      <c r="C291" t="s">
        <v>99</v>
      </c>
      <c r="D291" t="s">
        <v>3529</v>
      </c>
      <c r="E291" t="s">
        <v>4847</v>
      </c>
      <c r="F291" t="s">
        <v>4848</v>
      </c>
      <c r="G291">
        <v>8500149032</v>
      </c>
      <c r="H291" t="s">
        <v>103</v>
      </c>
      <c r="I291" t="s">
        <v>4849</v>
      </c>
      <c r="J291" t="s">
        <v>144</v>
      </c>
      <c r="K291" t="s">
        <v>4850</v>
      </c>
      <c r="L291" t="s">
        <v>4851</v>
      </c>
      <c r="M291" t="s">
        <v>4852</v>
      </c>
      <c r="N291" t="s">
        <v>109</v>
      </c>
      <c r="O291" t="s">
        <v>4853</v>
      </c>
      <c r="AI291" t="s">
        <v>4854</v>
      </c>
      <c r="AJ291" t="s">
        <v>4855</v>
      </c>
      <c r="AK291" t="s">
        <v>2579</v>
      </c>
      <c r="AL291">
        <v>73</v>
      </c>
      <c r="AN291">
        <v>2008</v>
      </c>
      <c r="AO291" t="s">
        <v>113</v>
      </c>
      <c r="AP291" t="s">
        <v>4856</v>
      </c>
      <c r="AQ291" t="s">
        <v>4857</v>
      </c>
      <c r="AR291" t="s">
        <v>4858</v>
      </c>
      <c r="AS291">
        <v>85.7</v>
      </c>
      <c r="AU291">
        <v>2010</v>
      </c>
      <c r="AV291" t="s">
        <v>113</v>
      </c>
      <c r="AW291" t="s">
        <v>4859</v>
      </c>
      <c r="AX291" t="s">
        <v>4860</v>
      </c>
      <c r="AY291" t="s">
        <v>4861</v>
      </c>
      <c r="AZ291">
        <v>65</v>
      </c>
      <c r="BB291">
        <v>2018</v>
      </c>
      <c r="BC291" t="s">
        <v>113</v>
      </c>
      <c r="BD291" t="s">
        <v>4862</v>
      </c>
      <c r="BE291" t="s">
        <v>4863</v>
      </c>
      <c r="BF291" t="s">
        <v>309</v>
      </c>
      <c r="BG291">
        <v>72.56</v>
      </c>
      <c r="BI291">
        <v>2014</v>
      </c>
      <c r="BJ291">
        <v>1</v>
      </c>
      <c r="BL291">
        <v>9</v>
      </c>
      <c r="BN291" t="s">
        <v>113</v>
      </c>
      <c r="BO291" t="s">
        <v>4864</v>
      </c>
      <c r="BP291" t="s">
        <v>4864</v>
      </c>
      <c r="BQ291" t="s">
        <v>4865</v>
      </c>
      <c r="BR291">
        <v>75.7</v>
      </c>
      <c r="BS291">
        <v>7.57</v>
      </c>
      <c r="BT291">
        <v>2017</v>
      </c>
      <c r="BU291">
        <v>24</v>
      </c>
      <c r="BW291">
        <v>50</v>
      </c>
      <c r="BY291" t="s">
        <v>109</v>
      </c>
      <c r="BZ291" t="s">
        <v>4866</v>
      </c>
      <c r="CA291" t="s">
        <v>4867</v>
      </c>
      <c r="CB291" t="s">
        <v>4868</v>
      </c>
      <c r="CC291">
        <v>65</v>
      </c>
      <c r="CE291">
        <v>2018</v>
      </c>
      <c r="CF291" t="s">
        <v>113</v>
      </c>
      <c r="CG291" t="s">
        <v>4869</v>
      </c>
      <c r="CH291" t="s">
        <v>4870</v>
      </c>
      <c r="CI291" t="s">
        <v>132</v>
      </c>
      <c r="CJ291">
        <v>2025</v>
      </c>
      <c r="CL291" t="s">
        <v>113</v>
      </c>
      <c r="CM291" t="s">
        <v>4871</v>
      </c>
      <c r="CN291" t="s">
        <v>113</v>
      </c>
      <c r="CO291" t="s">
        <v>4872</v>
      </c>
      <c r="CP291" t="s">
        <v>4873</v>
      </c>
      <c r="CQ291" t="s">
        <v>4874</v>
      </c>
      <c r="CR291" t="str">
        <f>HYPERLINK("https://nconnect.nicmar.ac.in/public/storage/profile/6999a3e0ef2f1.png","Download")</f>
        <v>0</v>
      </c>
      <c r="CS291" t="str">
        <f>HYPERLINK("https://nconnect.nicmar.ac.in/pdf/79_resume_1771675194.pdf/Y2FyZWVy","View Resume")</f>
        <v>0</v>
      </c>
    </row>
    <row r="292" spans="1:97">
      <c r="A292" t="s">
        <v>137</v>
      </c>
      <c r="B292" t="s">
        <v>138</v>
      </c>
      <c r="C292" t="s">
        <v>139</v>
      </c>
      <c r="D292" t="s">
        <v>140</v>
      </c>
      <c r="E292" t="s">
        <v>4875</v>
      </c>
      <c r="F292" t="s">
        <v>4876</v>
      </c>
      <c r="G292">
        <v>8220864165</v>
      </c>
      <c r="H292" t="s">
        <v>103</v>
      </c>
      <c r="I292" t="s">
        <v>4877</v>
      </c>
      <c r="J292" t="s">
        <v>144</v>
      </c>
      <c r="K292" t="s">
        <v>4878</v>
      </c>
      <c r="L292" t="s">
        <v>4879</v>
      </c>
      <c r="M292" t="s">
        <v>4880</v>
      </c>
      <c r="N292" t="s">
        <v>109</v>
      </c>
      <c r="AI292" t="s">
        <v>4881</v>
      </c>
      <c r="AJ292" t="s">
        <v>1231</v>
      </c>
      <c r="AK292" t="s">
        <v>4882</v>
      </c>
      <c r="AL292">
        <v>92.4</v>
      </c>
      <c r="AN292">
        <v>2008</v>
      </c>
      <c r="AO292" t="s">
        <v>113</v>
      </c>
      <c r="AP292" t="s">
        <v>4881</v>
      </c>
      <c r="AQ292" t="s">
        <v>1231</v>
      </c>
      <c r="AR292" t="s">
        <v>4883</v>
      </c>
      <c r="AS292">
        <v>85.6</v>
      </c>
      <c r="AU292">
        <v>2010</v>
      </c>
      <c r="AV292" t="s">
        <v>109</v>
      </c>
      <c r="BB292">
        <v>2014</v>
      </c>
      <c r="BC292" t="s">
        <v>113</v>
      </c>
      <c r="BD292" t="s">
        <v>4884</v>
      </c>
      <c r="BE292" t="s">
        <v>4885</v>
      </c>
      <c r="BF292" t="s">
        <v>309</v>
      </c>
      <c r="BG292">
        <v>77.15</v>
      </c>
      <c r="BI292">
        <v>2014</v>
      </c>
      <c r="BJ292">
        <v>1</v>
      </c>
      <c r="BL292">
        <v>9</v>
      </c>
      <c r="BN292" t="s">
        <v>113</v>
      </c>
      <c r="BO292" t="s">
        <v>964</v>
      </c>
      <c r="BP292" t="s">
        <v>4886</v>
      </c>
      <c r="BQ292" t="s">
        <v>140</v>
      </c>
      <c r="BR292">
        <v>91.5</v>
      </c>
      <c r="BS292">
        <v>9.15</v>
      </c>
      <c r="BT292">
        <v>2016</v>
      </c>
      <c r="BU292">
        <v>14</v>
      </c>
      <c r="BW292">
        <v>47</v>
      </c>
      <c r="BY292" t="s">
        <v>109</v>
      </c>
      <c r="CF292" t="s">
        <v>113</v>
      </c>
      <c r="CG292" t="s">
        <v>4887</v>
      </c>
      <c r="CH292" t="s">
        <v>4888</v>
      </c>
      <c r="CI292" t="s">
        <v>132</v>
      </c>
      <c r="CJ292">
        <v>2025</v>
      </c>
      <c r="CL292" t="s">
        <v>113</v>
      </c>
      <c r="CM292" t="s">
        <v>4889</v>
      </c>
      <c r="CN292" t="s">
        <v>109</v>
      </c>
      <c r="CP292" t="s">
        <v>4890</v>
      </c>
      <c r="CQ292" t="s">
        <v>4891</v>
      </c>
      <c r="CR292" t="str">
        <f>HYPERLINK("https://nconnect.nicmar.ac.in/public/storage/profile/69999ce50b3f9.png","Download")</f>
        <v>0</v>
      </c>
      <c r="CS292" t="str">
        <f>HYPERLINK("https://nconnect.nicmar.ac.in/pdf/447_resume_1771676864.pdf/Y2FyZWVy","View Resume")</f>
        <v>0</v>
      </c>
    </row>
    <row r="293" spans="1:97">
      <c r="A293" t="s">
        <v>223</v>
      </c>
      <c r="B293" t="s">
        <v>138</v>
      </c>
      <c r="C293" t="s">
        <v>165</v>
      </c>
      <c r="D293" t="s">
        <v>224</v>
      </c>
      <c r="E293" t="s">
        <v>4892</v>
      </c>
      <c r="F293" t="s">
        <v>4893</v>
      </c>
      <c r="G293">
        <v>8755051869</v>
      </c>
      <c r="H293" t="s">
        <v>103</v>
      </c>
      <c r="I293" t="s">
        <v>4894</v>
      </c>
      <c r="J293" t="s">
        <v>105</v>
      </c>
      <c r="K293" t="s">
        <v>4895</v>
      </c>
      <c r="L293" t="s">
        <v>4896</v>
      </c>
      <c r="M293" t="s">
        <v>4897</v>
      </c>
      <c r="N293" t="s">
        <v>109</v>
      </c>
      <c r="AI293" t="s">
        <v>4898</v>
      </c>
      <c r="AJ293" t="s">
        <v>4899</v>
      </c>
      <c r="AK293" t="s">
        <v>4900</v>
      </c>
      <c r="AL293">
        <v>54</v>
      </c>
      <c r="AN293">
        <v>2000</v>
      </c>
      <c r="AO293" t="s">
        <v>113</v>
      </c>
      <c r="AP293" t="s">
        <v>4898</v>
      </c>
      <c r="AQ293" t="s">
        <v>4899</v>
      </c>
      <c r="AR293" t="s">
        <v>4901</v>
      </c>
      <c r="AS293">
        <v>56.4</v>
      </c>
      <c r="AU293">
        <v>2002</v>
      </c>
      <c r="AV293" t="s">
        <v>109</v>
      </c>
      <c r="BC293" t="s">
        <v>113</v>
      </c>
      <c r="BD293" t="s">
        <v>1299</v>
      </c>
      <c r="BE293" t="s">
        <v>1299</v>
      </c>
      <c r="BF293" t="s">
        <v>4902</v>
      </c>
      <c r="BG293">
        <v>55</v>
      </c>
      <c r="BI293">
        <v>2009</v>
      </c>
      <c r="BJ293">
        <v>19</v>
      </c>
      <c r="BK293" t="s">
        <v>1984</v>
      </c>
      <c r="BL293">
        <v>24</v>
      </c>
      <c r="BN293" t="s">
        <v>113</v>
      </c>
      <c r="BO293" t="s">
        <v>4903</v>
      </c>
      <c r="BP293" t="s">
        <v>4904</v>
      </c>
      <c r="BQ293" t="s">
        <v>4905</v>
      </c>
      <c r="BR293">
        <v>74</v>
      </c>
      <c r="BT293">
        <v>2013</v>
      </c>
      <c r="BU293">
        <v>31</v>
      </c>
      <c r="BV293" t="s">
        <v>339</v>
      </c>
      <c r="BW293">
        <v>24</v>
      </c>
      <c r="BY293" t="s">
        <v>109</v>
      </c>
      <c r="CF293" t="s">
        <v>113</v>
      </c>
      <c r="CG293" t="s">
        <v>841</v>
      </c>
      <c r="CH293" t="s">
        <v>4906</v>
      </c>
      <c r="CI293" t="s">
        <v>132</v>
      </c>
      <c r="CJ293">
        <v>2019</v>
      </c>
      <c r="CL293" t="s">
        <v>109</v>
      </c>
      <c r="CN293" t="s">
        <v>113</v>
      </c>
      <c r="CO293" t="s">
        <v>4907</v>
      </c>
      <c r="CP293" t="s">
        <v>4908</v>
      </c>
      <c r="CQ293" t="s">
        <v>4909</v>
      </c>
      <c r="CR293" t="s">
        <v>136</v>
      </c>
      <c r="CS293" t="str">
        <f>HYPERLINK("https://nconnect.nicmar.ac.in/pdf/446_resume_1771678058.pdf/Y2FyZWVy","View Resume")</f>
        <v>0</v>
      </c>
    </row>
    <row r="294" spans="1:97">
      <c r="A294" t="s">
        <v>192</v>
      </c>
      <c r="B294" t="s">
        <v>138</v>
      </c>
      <c r="C294" t="s">
        <v>165</v>
      </c>
      <c r="D294" t="s">
        <v>193</v>
      </c>
      <c r="E294" t="s">
        <v>4892</v>
      </c>
      <c r="F294" t="s">
        <v>4893</v>
      </c>
      <c r="G294">
        <v>8755051869</v>
      </c>
      <c r="H294" t="s">
        <v>103</v>
      </c>
      <c r="I294" t="s">
        <v>4894</v>
      </c>
      <c r="J294" t="s">
        <v>105</v>
      </c>
      <c r="K294" t="s">
        <v>4895</v>
      </c>
      <c r="L294" t="s">
        <v>4896</v>
      </c>
      <c r="M294" t="s">
        <v>4897</v>
      </c>
      <c r="N294" t="s">
        <v>109</v>
      </c>
      <c r="AI294" t="s">
        <v>4898</v>
      </c>
      <c r="AJ294" t="s">
        <v>4899</v>
      </c>
      <c r="AK294" t="s">
        <v>4900</v>
      </c>
      <c r="AL294">
        <v>54</v>
      </c>
      <c r="AN294">
        <v>2000</v>
      </c>
      <c r="AO294" t="s">
        <v>113</v>
      </c>
      <c r="AP294" t="s">
        <v>4898</v>
      </c>
      <c r="AQ294" t="s">
        <v>4899</v>
      </c>
      <c r="AR294" t="s">
        <v>4901</v>
      </c>
      <c r="AS294">
        <v>56.4</v>
      </c>
      <c r="AU294">
        <v>2002</v>
      </c>
      <c r="AV294" t="s">
        <v>109</v>
      </c>
      <c r="BC294" t="s">
        <v>113</v>
      </c>
      <c r="BD294" t="s">
        <v>1299</v>
      </c>
      <c r="BE294" t="s">
        <v>1299</v>
      </c>
      <c r="BF294" t="s">
        <v>4902</v>
      </c>
      <c r="BG294">
        <v>55</v>
      </c>
      <c r="BI294">
        <v>2009</v>
      </c>
      <c r="BJ294">
        <v>19</v>
      </c>
      <c r="BK294" t="s">
        <v>1984</v>
      </c>
      <c r="BL294">
        <v>24</v>
      </c>
      <c r="BN294" t="s">
        <v>113</v>
      </c>
      <c r="BO294" t="s">
        <v>4903</v>
      </c>
      <c r="BP294" t="s">
        <v>4904</v>
      </c>
      <c r="BQ294" t="s">
        <v>4905</v>
      </c>
      <c r="BR294">
        <v>74</v>
      </c>
      <c r="BT294">
        <v>2013</v>
      </c>
      <c r="BU294">
        <v>31</v>
      </c>
      <c r="BV294" t="s">
        <v>339</v>
      </c>
      <c r="BW294">
        <v>24</v>
      </c>
      <c r="BY294" t="s">
        <v>109</v>
      </c>
      <c r="CF294" t="s">
        <v>113</v>
      </c>
      <c r="CG294" t="s">
        <v>841</v>
      </c>
      <c r="CH294" t="s">
        <v>4906</v>
      </c>
      <c r="CI294" t="s">
        <v>132</v>
      </c>
      <c r="CJ294">
        <v>2019</v>
      </c>
      <c r="CL294" t="s">
        <v>109</v>
      </c>
      <c r="CN294" t="s">
        <v>113</v>
      </c>
      <c r="CO294" t="s">
        <v>4907</v>
      </c>
      <c r="CP294" t="s">
        <v>4908</v>
      </c>
      <c r="CQ294" t="s">
        <v>4909</v>
      </c>
      <c r="CR294" t="s">
        <v>136</v>
      </c>
      <c r="CS294" t="str">
        <f>HYPERLINK("https://nconnect.nicmar.ac.in/pdf/446_resume_1771678058.pdf/Y2FyZWVy","View Resume")</f>
        <v>0</v>
      </c>
    </row>
    <row r="295" spans="1:97">
      <c r="A295" t="s">
        <v>3528</v>
      </c>
      <c r="B295" t="s">
        <v>318</v>
      </c>
      <c r="C295" t="s">
        <v>99</v>
      </c>
      <c r="D295" t="s">
        <v>3529</v>
      </c>
      <c r="E295" t="s">
        <v>4910</v>
      </c>
      <c r="F295" t="s">
        <v>4911</v>
      </c>
      <c r="G295">
        <v>8550931270</v>
      </c>
      <c r="H295" t="s">
        <v>103</v>
      </c>
      <c r="I295" t="s">
        <v>4912</v>
      </c>
      <c r="J295" t="s">
        <v>105</v>
      </c>
      <c r="K295" t="s">
        <v>4913</v>
      </c>
      <c r="L295" t="s">
        <v>4914</v>
      </c>
      <c r="M295" t="s">
        <v>4915</v>
      </c>
      <c r="N295" t="s">
        <v>109</v>
      </c>
      <c r="AI295" t="s">
        <v>4916</v>
      </c>
      <c r="AJ295" t="s">
        <v>4917</v>
      </c>
      <c r="AK295" t="s">
        <v>4918</v>
      </c>
      <c r="AL295">
        <v>63.6</v>
      </c>
      <c r="AN295">
        <v>2001</v>
      </c>
      <c r="AO295" t="s">
        <v>113</v>
      </c>
      <c r="AP295" t="s">
        <v>4919</v>
      </c>
      <c r="AQ295" t="s">
        <v>4917</v>
      </c>
      <c r="AR295" t="s">
        <v>4920</v>
      </c>
      <c r="AS295">
        <v>60.0</v>
      </c>
      <c r="AU295">
        <v>2003</v>
      </c>
      <c r="AV295" t="s">
        <v>109</v>
      </c>
      <c r="BC295" t="s">
        <v>113</v>
      </c>
      <c r="BD295" t="s">
        <v>3308</v>
      </c>
      <c r="BE295" t="s">
        <v>4921</v>
      </c>
      <c r="BF295" t="s">
        <v>4922</v>
      </c>
      <c r="BG295">
        <v>60.39</v>
      </c>
      <c r="BI295">
        <v>2009</v>
      </c>
      <c r="BJ295">
        <v>8</v>
      </c>
      <c r="BL295">
        <v>2</v>
      </c>
      <c r="BN295" t="s">
        <v>113</v>
      </c>
      <c r="BO295" t="s">
        <v>4923</v>
      </c>
      <c r="BP295" t="s">
        <v>4924</v>
      </c>
      <c r="BQ295" t="s">
        <v>4925</v>
      </c>
      <c r="BR295">
        <v>65.03</v>
      </c>
      <c r="BT295">
        <v>2013</v>
      </c>
      <c r="BU295">
        <v>31</v>
      </c>
      <c r="BV295" t="s">
        <v>4926</v>
      </c>
      <c r="BW295">
        <v>3</v>
      </c>
      <c r="BY295" t="s">
        <v>109</v>
      </c>
      <c r="CF295" t="s">
        <v>113</v>
      </c>
      <c r="CG295" t="s">
        <v>4927</v>
      </c>
      <c r="CH295" t="s">
        <v>4928</v>
      </c>
      <c r="CI295" t="s">
        <v>132</v>
      </c>
      <c r="CJ295">
        <v>2023</v>
      </c>
      <c r="CL295" t="s">
        <v>109</v>
      </c>
      <c r="CN295" t="s">
        <v>113</v>
      </c>
      <c r="CO295" t="s">
        <v>4929</v>
      </c>
      <c r="CP295" t="s">
        <v>4930</v>
      </c>
      <c r="CQ295" t="s">
        <v>4931</v>
      </c>
      <c r="CR295" t="s">
        <v>136</v>
      </c>
      <c r="CS295" t="str">
        <f>HYPERLINK("https://nconnect.nicmar.ac.in/pdf/440_resume_1771677644.pdf/Y2FyZWVy","View Resume")</f>
        <v>0</v>
      </c>
    </row>
    <row r="296" spans="1:97">
      <c r="A296" t="s">
        <v>1116</v>
      </c>
      <c r="B296" t="s">
        <v>98</v>
      </c>
      <c r="C296" t="s">
        <v>99</v>
      </c>
      <c r="D296" t="s">
        <v>1117</v>
      </c>
      <c r="E296" t="s">
        <v>4910</v>
      </c>
      <c r="F296" t="s">
        <v>4911</v>
      </c>
      <c r="G296">
        <v>8550931270</v>
      </c>
      <c r="H296" t="s">
        <v>103</v>
      </c>
      <c r="I296" t="s">
        <v>4912</v>
      </c>
      <c r="J296" t="s">
        <v>105</v>
      </c>
      <c r="K296" t="s">
        <v>4913</v>
      </c>
      <c r="L296" t="s">
        <v>4914</v>
      </c>
      <c r="M296" t="s">
        <v>4915</v>
      </c>
      <c r="N296" t="s">
        <v>109</v>
      </c>
      <c r="AI296" t="s">
        <v>4916</v>
      </c>
      <c r="AJ296" t="s">
        <v>4917</v>
      </c>
      <c r="AK296" t="s">
        <v>4918</v>
      </c>
      <c r="AL296">
        <v>63.6</v>
      </c>
      <c r="AN296">
        <v>2001</v>
      </c>
      <c r="AO296" t="s">
        <v>113</v>
      </c>
      <c r="AP296" t="s">
        <v>4919</v>
      </c>
      <c r="AQ296" t="s">
        <v>4917</v>
      </c>
      <c r="AR296" t="s">
        <v>4920</v>
      </c>
      <c r="AS296">
        <v>60.0</v>
      </c>
      <c r="AU296">
        <v>2003</v>
      </c>
      <c r="AV296" t="s">
        <v>109</v>
      </c>
      <c r="BC296" t="s">
        <v>113</v>
      </c>
      <c r="BD296" t="s">
        <v>3308</v>
      </c>
      <c r="BE296" t="s">
        <v>4921</v>
      </c>
      <c r="BF296" t="s">
        <v>4922</v>
      </c>
      <c r="BG296">
        <v>60.39</v>
      </c>
      <c r="BI296">
        <v>2009</v>
      </c>
      <c r="BJ296">
        <v>8</v>
      </c>
      <c r="BL296">
        <v>2</v>
      </c>
      <c r="BN296" t="s">
        <v>113</v>
      </c>
      <c r="BO296" t="s">
        <v>4923</v>
      </c>
      <c r="BP296" t="s">
        <v>4924</v>
      </c>
      <c r="BQ296" t="s">
        <v>4925</v>
      </c>
      <c r="BR296">
        <v>65.03</v>
      </c>
      <c r="BT296">
        <v>2013</v>
      </c>
      <c r="BU296">
        <v>31</v>
      </c>
      <c r="BV296" t="s">
        <v>4926</v>
      </c>
      <c r="BW296">
        <v>3</v>
      </c>
      <c r="BY296" t="s">
        <v>109</v>
      </c>
      <c r="CF296" t="s">
        <v>113</v>
      </c>
      <c r="CG296" t="s">
        <v>4927</v>
      </c>
      <c r="CH296" t="s">
        <v>4928</v>
      </c>
      <c r="CI296" t="s">
        <v>132</v>
      </c>
      <c r="CJ296">
        <v>2023</v>
      </c>
      <c r="CL296" t="s">
        <v>109</v>
      </c>
      <c r="CN296" t="s">
        <v>113</v>
      </c>
      <c r="CO296" t="s">
        <v>4929</v>
      </c>
      <c r="CP296" t="s">
        <v>4930</v>
      </c>
      <c r="CQ296" t="s">
        <v>4931</v>
      </c>
      <c r="CR296" t="s">
        <v>136</v>
      </c>
      <c r="CS296" t="str">
        <f>HYPERLINK("https://nconnect.nicmar.ac.in/pdf/440_resume_1771677644.pdf/Y2FyZWVy","View Resume")</f>
        <v>0</v>
      </c>
    </row>
    <row r="297" spans="1:97">
      <c r="A297" t="s">
        <v>190</v>
      </c>
      <c r="B297" t="s">
        <v>138</v>
      </c>
      <c r="C297" t="s">
        <v>139</v>
      </c>
      <c r="D297" t="s">
        <v>191</v>
      </c>
      <c r="E297" t="s">
        <v>4932</v>
      </c>
      <c r="F297" t="s">
        <v>4933</v>
      </c>
      <c r="G297">
        <v>9161216285</v>
      </c>
      <c r="H297" t="s">
        <v>103</v>
      </c>
      <c r="I297" t="s">
        <v>4934</v>
      </c>
      <c r="J297" t="s">
        <v>144</v>
      </c>
      <c r="K297" t="s">
        <v>505</v>
      </c>
      <c r="L297" t="s">
        <v>4935</v>
      </c>
      <c r="M297" t="s">
        <v>4936</v>
      </c>
      <c r="N297" t="s">
        <v>109</v>
      </c>
      <c r="AI297" t="s">
        <v>4937</v>
      </c>
      <c r="AJ297" t="s">
        <v>4938</v>
      </c>
      <c r="AK297" t="s">
        <v>277</v>
      </c>
      <c r="AL297">
        <v>63</v>
      </c>
      <c r="AN297">
        <v>2007</v>
      </c>
      <c r="AO297" t="s">
        <v>113</v>
      </c>
      <c r="AP297" t="s">
        <v>4938</v>
      </c>
      <c r="AQ297" t="s">
        <v>4938</v>
      </c>
      <c r="AR297" t="s">
        <v>277</v>
      </c>
      <c r="AS297">
        <v>64</v>
      </c>
      <c r="AU297">
        <v>2009</v>
      </c>
      <c r="AV297" t="s">
        <v>109</v>
      </c>
      <c r="BC297" t="s">
        <v>113</v>
      </c>
      <c r="BD297" t="s">
        <v>4939</v>
      </c>
      <c r="BE297" t="s">
        <v>4940</v>
      </c>
      <c r="BF297" t="s">
        <v>281</v>
      </c>
      <c r="BG297">
        <v>52</v>
      </c>
      <c r="BI297">
        <v>2012</v>
      </c>
      <c r="BJ297">
        <v>19</v>
      </c>
      <c r="BK297" t="s">
        <v>282</v>
      </c>
      <c r="BL297">
        <v>53</v>
      </c>
      <c r="BM297" t="s">
        <v>281</v>
      </c>
      <c r="BN297" t="s">
        <v>113</v>
      </c>
      <c r="BO297" t="s">
        <v>4941</v>
      </c>
      <c r="BP297" t="s">
        <v>4941</v>
      </c>
      <c r="BQ297" t="s">
        <v>281</v>
      </c>
      <c r="BR297">
        <v>64</v>
      </c>
      <c r="BS297">
        <v>6.8</v>
      </c>
      <c r="BT297">
        <v>2014</v>
      </c>
      <c r="BU297">
        <v>31</v>
      </c>
      <c r="BV297" t="s">
        <v>285</v>
      </c>
      <c r="BW297">
        <v>53</v>
      </c>
      <c r="BX297" t="s">
        <v>281</v>
      </c>
      <c r="BY297" t="s">
        <v>109</v>
      </c>
      <c r="CF297" t="s">
        <v>113</v>
      </c>
      <c r="CG297" t="s">
        <v>281</v>
      </c>
      <c r="CH297" t="s">
        <v>4942</v>
      </c>
      <c r="CI297" t="s">
        <v>132</v>
      </c>
      <c r="CJ297">
        <v>2022</v>
      </c>
      <c r="CL297" t="s">
        <v>113</v>
      </c>
      <c r="CM297" t="s">
        <v>4943</v>
      </c>
      <c r="CN297" t="s">
        <v>109</v>
      </c>
      <c r="CP297" t="s">
        <v>460</v>
      </c>
      <c r="CQ297" t="s">
        <v>4944</v>
      </c>
      <c r="CR297" t="s">
        <v>136</v>
      </c>
      <c r="CS297" t="str">
        <f>HYPERLINK("https://nconnect.nicmar.ac.in/pdf/145_resume_1771680711.pdf/Y2FyZWVy","View Resume")</f>
        <v>0</v>
      </c>
    </row>
    <row r="298" spans="1:97">
      <c r="A298" t="s">
        <v>846</v>
      </c>
      <c r="B298" t="s">
        <v>138</v>
      </c>
      <c r="C298" t="s">
        <v>165</v>
      </c>
      <c r="D298" t="s">
        <v>847</v>
      </c>
      <c r="E298" t="s">
        <v>4945</v>
      </c>
      <c r="F298" t="s">
        <v>4946</v>
      </c>
      <c r="G298">
        <v>9860702321</v>
      </c>
      <c r="H298" t="s">
        <v>169</v>
      </c>
      <c r="I298" t="s">
        <v>4947</v>
      </c>
      <c r="J298" t="s">
        <v>105</v>
      </c>
      <c r="K298" t="s">
        <v>4948</v>
      </c>
      <c r="L298" t="s">
        <v>4949</v>
      </c>
      <c r="M298" t="s">
        <v>4950</v>
      </c>
      <c r="N298" t="s">
        <v>109</v>
      </c>
      <c r="AI298" t="s">
        <v>3090</v>
      </c>
      <c r="AJ298" t="s">
        <v>4951</v>
      </c>
      <c r="AK298" t="s">
        <v>342</v>
      </c>
      <c r="AL298">
        <v>71.99</v>
      </c>
      <c r="AN298">
        <v>2000</v>
      </c>
      <c r="AO298" t="s">
        <v>113</v>
      </c>
      <c r="AP298" t="s">
        <v>4952</v>
      </c>
      <c r="AQ298" t="s">
        <v>4953</v>
      </c>
      <c r="AR298" t="s">
        <v>277</v>
      </c>
      <c r="AS298">
        <v>61.99</v>
      </c>
      <c r="AU298">
        <v>2002</v>
      </c>
      <c r="AV298" t="s">
        <v>113</v>
      </c>
      <c r="AW298" t="s">
        <v>4954</v>
      </c>
      <c r="AX298" t="s">
        <v>4955</v>
      </c>
      <c r="AY298" t="s">
        <v>4956</v>
      </c>
      <c r="AZ298">
        <v>80</v>
      </c>
      <c r="BB298">
        <v>2025</v>
      </c>
      <c r="BC298" t="s">
        <v>113</v>
      </c>
      <c r="BD298" t="s">
        <v>914</v>
      </c>
      <c r="BE298" t="s">
        <v>4957</v>
      </c>
      <c r="BF298" t="s">
        <v>4958</v>
      </c>
      <c r="BG298">
        <v>65.99</v>
      </c>
      <c r="BI298">
        <v>2008</v>
      </c>
      <c r="BJ298">
        <v>19</v>
      </c>
      <c r="BK298" t="s">
        <v>4959</v>
      </c>
      <c r="BL298">
        <v>53</v>
      </c>
      <c r="BM298" t="s">
        <v>4960</v>
      </c>
      <c r="BN298" t="s">
        <v>113</v>
      </c>
      <c r="BO298" t="s">
        <v>4961</v>
      </c>
      <c r="BP298" t="s">
        <v>4962</v>
      </c>
      <c r="BQ298" t="s">
        <v>4963</v>
      </c>
      <c r="BR298">
        <v>66.01</v>
      </c>
      <c r="BT298">
        <v>2010</v>
      </c>
      <c r="BU298">
        <v>31</v>
      </c>
      <c r="BV298" t="s">
        <v>4964</v>
      </c>
      <c r="BW298">
        <v>53</v>
      </c>
      <c r="BX298" t="s">
        <v>4963</v>
      </c>
      <c r="BY298" t="s">
        <v>113</v>
      </c>
      <c r="BZ298" t="s">
        <v>124</v>
      </c>
      <c r="CA298" t="s">
        <v>4965</v>
      </c>
      <c r="CB298" t="s">
        <v>4966</v>
      </c>
      <c r="CC298">
        <v>66</v>
      </c>
      <c r="CE298">
        <v>2026</v>
      </c>
      <c r="CF298" t="s">
        <v>113</v>
      </c>
      <c r="CG298" t="s">
        <v>4966</v>
      </c>
      <c r="CH298" t="s">
        <v>3475</v>
      </c>
      <c r="CI298" t="s">
        <v>240</v>
      </c>
      <c r="CK298" t="s">
        <v>109</v>
      </c>
      <c r="CL298" t="s">
        <v>113</v>
      </c>
      <c r="CN298" t="s">
        <v>113</v>
      </c>
      <c r="CO298" t="s">
        <v>4967</v>
      </c>
      <c r="CP298" t="s">
        <v>4968</v>
      </c>
      <c r="CQ298" t="s">
        <v>4969</v>
      </c>
      <c r="CR298" t="s">
        <v>136</v>
      </c>
      <c r="CS298" t="str">
        <f>HYPERLINK("https://nconnect.nicmar.ac.in/pdf/455_resume_1771681470.pdf/Y2FyZWVy","View Resume")</f>
        <v>0</v>
      </c>
    </row>
    <row r="299" spans="1:97">
      <c r="A299" t="s">
        <v>656</v>
      </c>
      <c r="B299" t="s">
        <v>318</v>
      </c>
      <c r="C299" t="s">
        <v>139</v>
      </c>
      <c r="D299" t="s">
        <v>140</v>
      </c>
      <c r="E299" t="s">
        <v>4970</v>
      </c>
      <c r="F299" t="s">
        <v>4971</v>
      </c>
      <c r="G299">
        <v>7042348398</v>
      </c>
      <c r="H299" t="s">
        <v>103</v>
      </c>
      <c r="I299" t="s">
        <v>4972</v>
      </c>
      <c r="J299" t="s">
        <v>105</v>
      </c>
      <c r="K299" t="s">
        <v>4973</v>
      </c>
      <c r="L299" t="s">
        <v>4974</v>
      </c>
      <c r="M299" t="s">
        <v>4975</v>
      </c>
      <c r="N299" t="s">
        <v>109</v>
      </c>
      <c r="AI299" t="s">
        <v>4976</v>
      </c>
      <c r="AJ299" t="s">
        <v>1231</v>
      </c>
      <c r="AK299" t="s">
        <v>4977</v>
      </c>
      <c r="AL299">
        <v>68.6</v>
      </c>
      <c r="AN299">
        <v>2002</v>
      </c>
      <c r="AO299" t="s">
        <v>113</v>
      </c>
      <c r="AP299" t="s">
        <v>4978</v>
      </c>
      <c r="AQ299" t="s">
        <v>819</v>
      </c>
      <c r="AR299" t="s">
        <v>4979</v>
      </c>
      <c r="AS299">
        <v>64.6</v>
      </c>
      <c r="AU299">
        <v>2005</v>
      </c>
      <c r="AV299" t="s">
        <v>109</v>
      </c>
      <c r="BC299" t="s">
        <v>113</v>
      </c>
      <c r="BD299" t="s">
        <v>819</v>
      </c>
      <c r="BE299" t="s">
        <v>819</v>
      </c>
      <c r="BF299" t="s">
        <v>309</v>
      </c>
      <c r="BG299">
        <v>82.02</v>
      </c>
      <c r="BH299">
        <v>9.32</v>
      </c>
      <c r="BI299">
        <v>2009</v>
      </c>
      <c r="BJ299">
        <v>1</v>
      </c>
      <c r="BL299">
        <v>9</v>
      </c>
      <c r="BN299" t="s">
        <v>113</v>
      </c>
      <c r="BO299" t="s">
        <v>4980</v>
      </c>
      <c r="BP299" t="s">
        <v>4981</v>
      </c>
      <c r="BQ299" t="s">
        <v>4982</v>
      </c>
      <c r="BR299">
        <v>82.75</v>
      </c>
      <c r="BS299">
        <v>3.31</v>
      </c>
      <c r="BT299">
        <v>2012</v>
      </c>
      <c r="BU299">
        <v>31</v>
      </c>
      <c r="BV299" t="s">
        <v>4983</v>
      </c>
      <c r="BW299">
        <v>47</v>
      </c>
      <c r="BY299" t="s">
        <v>109</v>
      </c>
      <c r="CF299" t="s">
        <v>113</v>
      </c>
      <c r="CG299" t="s">
        <v>140</v>
      </c>
      <c r="CH299" t="s">
        <v>4368</v>
      </c>
      <c r="CI299" t="s">
        <v>132</v>
      </c>
      <c r="CJ299">
        <v>2023</v>
      </c>
      <c r="CL299" t="s">
        <v>113</v>
      </c>
      <c r="CN299" t="s">
        <v>113</v>
      </c>
      <c r="CO299" t="s">
        <v>4984</v>
      </c>
      <c r="CP299" t="s">
        <v>4985</v>
      </c>
      <c r="CQ299" t="s">
        <v>4986</v>
      </c>
      <c r="CR299" t="str">
        <f>HYPERLINK("https://nconnect.nicmar.ac.in/public/storage/profile/69998eafa6413.png","Download")</f>
        <v>0</v>
      </c>
      <c r="CS299" t="str">
        <f>HYPERLINK("https://nconnect.nicmar.ac.in/pdf/439_resume_1771682888.pdf/Y2FyZWVy","View Resume")</f>
        <v>0</v>
      </c>
    </row>
    <row r="300" spans="1:97">
      <c r="A300" t="s">
        <v>656</v>
      </c>
      <c r="B300" t="s">
        <v>318</v>
      </c>
      <c r="C300" t="s">
        <v>139</v>
      </c>
      <c r="D300" t="s">
        <v>140</v>
      </c>
      <c r="E300" t="s">
        <v>4987</v>
      </c>
      <c r="F300" t="s">
        <v>4988</v>
      </c>
      <c r="G300">
        <v>7869248437</v>
      </c>
      <c r="H300" t="s">
        <v>103</v>
      </c>
      <c r="I300" t="s">
        <v>4989</v>
      </c>
      <c r="J300" t="s">
        <v>144</v>
      </c>
      <c r="K300" t="s">
        <v>526</v>
      </c>
      <c r="L300" t="s">
        <v>4990</v>
      </c>
      <c r="M300" t="s">
        <v>4991</v>
      </c>
      <c r="N300" t="s">
        <v>109</v>
      </c>
      <c r="AI300" t="s">
        <v>4992</v>
      </c>
      <c r="AJ300" t="s">
        <v>4993</v>
      </c>
      <c r="AK300" t="s">
        <v>4994</v>
      </c>
      <c r="AL300">
        <v>63.6</v>
      </c>
      <c r="AN300">
        <v>1992</v>
      </c>
      <c r="AO300" t="s">
        <v>113</v>
      </c>
      <c r="AP300" t="s">
        <v>4995</v>
      </c>
      <c r="AQ300" t="s">
        <v>4996</v>
      </c>
      <c r="AR300" t="s">
        <v>277</v>
      </c>
      <c r="AS300">
        <v>57.8</v>
      </c>
      <c r="AU300">
        <v>1994</v>
      </c>
      <c r="AV300" t="s">
        <v>109</v>
      </c>
      <c r="BC300" t="s">
        <v>113</v>
      </c>
      <c r="BD300" t="s">
        <v>4997</v>
      </c>
      <c r="BE300" t="s">
        <v>4998</v>
      </c>
      <c r="BF300" t="s">
        <v>309</v>
      </c>
      <c r="BG300">
        <v>71.31</v>
      </c>
      <c r="BI300">
        <v>1999</v>
      </c>
      <c r="BJ300">
        <v>2</v>
      </c>
      <c r="BL300">
        <v>9</v>
      </c>
      <c r="BN300" t="s">
        <v>113</v>
      </c>
      <c r="BO300" t="s">
        <v>4999</v>
      </c>
      <c r="BP300" t="s">
        <v>5000</v>
      </c>
      <c r="BQ300" t="s">
        <v>5001</v>
      </c>
      <c r="BR300">
        <v>71.3</v>
      </c>
      <c r="BT300">
        <v>2011</v>
      </c>
      <c r="BU300">
        <v>31</v>
      </c>
      <c r="BV300" t="s">
        <v>5002</v>
      </c>
      <c r="BW300">
        <v>5</v>
      </c>
      <c r="BY300" t="s">
        <v>109</v>
      </c>
      <c r="CF300" t="s">
        <v>113</v>
      </c>
      <c r="CG300" t="s">
        <v>140</v>
      </c>
      <c r="CH300" t="s">
        <v>1366</v>
      </c>
      <c r="CI300" t="s">
        <v>132</v>
      </c>
      <c r="CJ300">
        <v>2018</v>
      </c>
      <c r="CL300" t="s">
        <v>113</v>
      </c>
      <c r="CN300" t="s">
        <v>113</v>
      </c>
      <c r="CO300" t="s">
        <v>5003</v>
      </c>
      <c r="CP300" t="s">
        <v>5004</v>
      </c>
      <c r="CQ300" t="s">
        <v>5005</v>
      </c>
      <c r="CR300" t="str">
        <f>HYPERLINK("https://nconnect.nicmar.ac.in/public/storage/profile/69999eeeafe68.png","Download")</f>
        <v>0</v>
      </c>
      <c r="CS300" t="str">
        <f>HYPERLINK("https://nconnect.nicmar.ac.in/pdf/448_resume_1771682264.pdf/Y2FyZWVy","View Resume")</f>
        <v>0</v>
      </c>
    </row>
    <row r="301" spans="1:97">
      <c r="A301" t="s">
        <v>137</v>
      </c>
      <c r="B301" t="s">
        <v>138</v>
      </c>
      <c r="C301" t="s">
        <v>139</v>
      </c>
      <c r="D301" t="s">
        <v>140</v>
      </c>
      <c r="E301" t="s">
        <v>5006</v>
      </c>
      <c r="F301" t="s">
        <v>5007</v>
      </c>
      <c r="G301">
        <v>8296184415</v>
      </c>
      <c r="H301" t="s">
        <v>103</v>
      </c>
      <c r="I301" t="s">
        <v>5008</v>
      </c>
      <c r="J301" t="s">
        <v>144</v>
      </c>
      <c r="K301" t="s">
        <v>5009</v>
      </c>
      <c r="L301" t="s">
        <v>5010</v>
      </c>
      <c r="M301" t="s">
        <v>5011</v>
      </c>
      <c r="N301" t="s">
        <v>109</v>
      </c>
      <c r="AI301" t="s">
        <v>5012</v>
      </c>
      <c r="AJ301" t="s">
        <v>5013</v>
      </c>
      <c r="AK301" t="s">
        <v>579</v>
      </c>
      <c r="AL301">
        <v>87</v>
      </c>
      <c r="AN301">
        <v>2011</v>
      </c>
      <c r="AO301" t="s">
        <v>113</v>
      </c>
      <c r="AP301" t="s">
        <v>5014</v>
      </c>
      <c r="AQ301" t="s">
        <v>5015</v>
      </c>
      <c r="AR301" t="s">
        <v>5016</v>
      </c>
      <c r="AS301">
        <v>85</v>
      </c>
      <c r="AU301">
        <v>2013</v>
      </c>
      <c r="AV301" t="s">
        <v>109</v>
      </c>
      <c r="BC301" t="s">
        <v>113</v>
      </c>
      <c r="BD301" t="s">
        <v>5017</v>
      </c>
      <c r="BE301" t="s">
        <v>5018</v>
      </c>
      <c r="BF301" t="s">
        <v>2467</v>
      </c>
      <c r="BG301">
        <v>78.9</v>
      </c>
      <c r="BH301">
        <v>8.64</v>
      </c>
      <c r="BI301">
        <v>2017</v>
      </c>
      <c r="BJ301">
        <v>2</v>
      </c>
      <c r="BL301">
        <v>9</v>
      </c>
      <c r="BN301" t="s">
        <v>113</v>
      </c>
      <c r="BO301" t="s">
        <v>5017</v>
      </c>
      <c r="BP301" t="s">
        <v>5019</v>
      </c>
      <c r="BQ301" t="s">
        <v>5020</v>
      </c>
      <c r="BR301">
        <v>72</v>
      </c>
      <c r="BS301">
        <v>8</v>
      </c>
      <c r="BT301">
        <v>2019</v>
      </c>
      <c r="BU301">
        <v>14</v>
      </c>
      <c r="BW301">
        <v>47</v>
      </c>
      <c r="BY301" t="s">
        <v>109</v>
      </c>
      <c r="CF301" t="s">
        <v>109</v>
      </c>
      <c r="CL301" t="s">
        <v>109</v>
      </c>
      <c r="CN301" t="s">
        <v>113</v>
      </c>
      <c r="CO301" t="s">
        <v>5021</v>
      </c>
      <c r="CP301" t="s">
        <v>5022</v>
      </c>
      <c r="CQ301" t="s">
        <v>5023</v>
      </c>
      <c r="CR301" t="s">
        <v>136</v>
      </c>
      <c r="CS301" t="str">
        <f>HYPERLINK("https://nconnect.nicmar.ac.in/pdf/445_resume_1771682727.pdf/Y2FyZWVy","View Resume")</f>
        <v>0</v>
      </c>
    </row>
    <row r="302" spans="1:97">
      <c r="A302" t="s">
        <v>317</v>
      </c>
      <c r="B302" t="s">
        <v>318</v>
      </c>
      <c r="C302" t="s">
        <v>165</v>
      </c>
      <c r="D302" t="s">
        <v>319</v>
      </c>
      <c r="E302" t="s">
        <v>5024</v>
      </c>
      <c r="F302" t="s">
        <v>5025</v>
      </c>
      <c r="G302">
        <v>9398829523</v>
      </c>
      <c r="H302" t="s">
        <v>103</v>
      </c>
      <c r="I302" t="s">
        <v>5026</v>
      </c>
      <c r="J302" t="s">
        <v>105</v>
      </c>
      <c r="K302" t="s">
        <v>5027</v>
      </c>
      <c r="L302" t="s">
        <v>5028</v>
      </c>
      <c r="M302" t="s">
        <v>5029</v>
      </c>
      <c r="N302" t="s">
        <v>109</v>
      </c>
      <c r="AI302" t="s">
        <v>5030</v>
      </c>
      <c r="AJ302" t="s">
        <v>5031</v>
      </c>
      <c r="AK302" t="s">
        <v>5032</v>
      </c>
      <c r="AL302">
        <v>78</v>
      </c>
      <c r="AN302">
        <v>1994</v>
      </c>
      <c r="AO302" t="s">
        <v>113</v>
      </c>
      <c r="AP302" t="s">
        <v>5033</v>
      </c>
      <c r="AQ302" t="s">
        <v>5034</v>
      </c>
      <c r="AR302" t="s">
        <v>2645</v>
      </c>
      <c r="AS302">
        <v>77</v>
      </c>
      <c r="AU302">
        <v>1996</v>
      </c>
      <c r="AV302" t="s">
        <v>109</v>
      </c>
      <c r="BC302" t="s">
        <v>113</v>
      </c>
      <c r="BD302" t="s">
        <v>2583</v>
      </c>
      <c r="BE302" t="s">
        <v>3342</v>
      </c>
      <c r="BF302" t="s">
        <v>1047</v>
      </c>
      <c r="BG302">
        <v>60</v>
      </c>
      <c r="BI302">
        <v>2000</v>
      </c>
      <c r="BJ302">
        <v>19</v>
      </c>
      <c r="BK302" t="s">
        <v>2445</v>
      </c>
      <c r="BL302">
        <v>34</v>
      </c>
      <c r="BN302" t="s">
        <v>113</v>
      </c>
      <c r="BO302" t="s">
        <v>5035</v>
      </c>
      <c r="BP302" t="s">
        <v>5036</v>
      </c>
      <c r="BQ302" t="s">
        <v>5037</v>
      </c>
      <c r="BR302">
        <v>69</v>
      </c>
      <c r="BT302">
        <v>2009</v>
      </c>
      <c r="BU302">
        <v>3</v>
      </c>
      <c r="BW302">
        <v>23</v>
      </c>
      <c r="BY302" t="s">
        <v>113</v>
      </c>
      <c r="BZ302" t="s">
        <v>5038</v>
      </c>
      <c r="CA302" t="s">
        <v>1896</v>
      </c>
      <c r="CB302" t="s">
        <v>5039</v>
      </c>
      <c r="CC302">
        <v>71</v>
      </c>
      <c r="CD302">
        <v>7.1</v>
      </c>
      <c r="CE302">
        <v>2002</v>
      </c>
      <c r="CF302" t="s">
        <v>113</v>
      </c>
      <c r="CG302" t="s">
        <v>5040</v>
      </c>
      <c r="CH302" t="s">
        <v>5041</v>
      </c>
      <c r="CI302" t="s">
        <v>132</v>
      </c>
      <c r="CJ302">
        <v>2017</v>
      </c>
      <c r="CL302" t="s">
        <v>109</v>
      </c>
      <c r="CN302" t="s">
        <v>113</v>
      </c>
      <c r="CO302" t="s">
        <v>5042</v>
      </c>
      <c r="CP302" t="s">
        <v>5043</v>
      </c>
      <c r="CQ302" t="s">
        <v>5044</v>
      </c>
      <c r="CR302" t="str">
        <f>HYPERLINK("https://nconnect.nicmar.ac.in/public/storage/profile/6999b475e5b3e.png","Download")</f>
        <v>0</v>
      </c>
      <c r="CS302" t="str">
        <f>HYPERLINK("https://nconnect.nicmar.ac.in/pdf/452_resume_1771682382.pdf/Y2FyZWVy","View Resume")</f>
        <v>0</v>
      </c>
    </row>
    <row r="303" spans="1:97">
      <c r="A303" t="s">
        <v>846</v>
      </c>
      <c r="B303" t="s">
        <v>138</v>
      </c>
      <c r="C303" t="s">
        <v>165</v>
      </c>
      <c r="D303" t="s">
        <v>847</v>
      </c>
      <c r="E303" t="s">
        <v>5045</v>
      </c>
      <c r="F303" t="s">
        <v>5046</v>
      </c>
      <c r="G303">
        <v>9844526335</v>
      </c>
      <c r="H303" t="s">
        <v>103</v>
      </c>
      <c r="I303" t="s">
        <v>5047</v>
      </c>
      <c r="J303" t="s">
        <v>105</v>
      </c>
      <c r="K303" t="s">
        <v>526</v>
      </c>
      <c r="L303" t="s">
        <v>5048</v>
      </c>
      <c r="M303" t="s">
        <v>5049</v>
      </c>
      <c r="N303" t="s">
        <v>109</v>
      </c>
      <c r="AI303" t="s">
        <v>5050</v>
      </c>
      <c r="AJ303" t="s">
        <v>5051</v>
      </c>
      <c r="AK303" t="s">
        <v>5052</v>
      </c>
      <c r="AL303">
        <v>47.84</v>
      </c>
      <c r="AN303">
        <v>2000</v>
      </c>
      <c r="AO303" t="s">
        <v>113</v>
      </c>
      <c r="AP303" t="s">
        <v>5053</v>
      </c>
      <c r="AQ303" t="s">
        <v>5051</v>
      </c>
      <c r="AR303" t="s">
        <v>5054</v>
      </c>
      <c r="AS303">
        <v>73.66</v>
      </c>
      <c r="AU303">
        <v>2002</v>
      </c>
      <c r="AV303" t="s">
        <v>109</v>
      </c>
      <c r="BC303" t="s">
        <v>113</v>
      </c>
      <c r="BD303" t="s">
        <v>5055</v>
      </c>
      <c r="BE303" t="s">
        <v>5056</v>
      </c>
      <c r="BF303" t="s">
        <v>5057</v>
      </c>
      <c r="BG303">
        <v>74.52</v>
      </c>
      <c r="BI303">
        <v>2005</v>
      </c>
      <c r="BJ303">
        <v>19</v>
      </c>
      <c r="BK303" t="s">
        <v>515</v>
      </c>
      <c r="BL303">
        <v>17</v>
      </c>
      <c r="BN303" t="s">
        <v>113</v>
      </c>
      <c r="BO303" t="s">
        <v>5058</v>
      </c>
      <c r="BP303" t="s">
        <v>5059</v>
      </c>
      <c r="BQ303" t="s">
        <v>5060</v>
      </c>
      <c r="BR303">
        <v>65</v>
      </c>
      <c r="BT303">
        <v>2015</v>
      </c>
      <c r="BU303">
        <v>31</v>
      </c>
      <c r="BV303" t="s">
        <v>5061</v>
      </c>
      <c r="BW303">
        <v>17</v>
      </c>
      <c r="BY303" t="s">
        <v>109</v>
      </c>
      <c r="CF303" t="s">
        <v>113</v>
      </c>
      <c r="CG303" t="s">
        <v>1071</v>
      </c>
      <c r="CH303" t="s">
        <v>5055</v>
      </c>
      <c r="CI303" t="s">
        <v>132</v>
      </c>
      <c r="CJ303">
        <v>2022</v>
      </c>
      <c r="CL303" t="s">
        <v>113</v>
      </c>
      <c r="CM303" t="s">
        <v>5062</v>
      </c>
      <c r="CN303" t="s">
        <v>113</v>
      </c>
      <c r="CO303" t="s">
        <v>5063</v>
      </c>
      <c r="CP303" t="s">
        <v>5064</v>
      </c>
      <c r="CQ303" t="s">
        <v>5065</v>
      </c>
      <c r="CR303" t="s">
        <v>136</v>
      </c>
      <c r="CS303" t="str">
        <f>HYPERLINK("https://nconnect.nicmar.ac.in/pdf/391_resume_1771684267.pdf/Y2FyZWVy","View Resume")</f>
        <v>0</v>
      </c>
    </row>
    <row r="304" spans="1:97">
      <c r="A304" t="s">
        <v>372</v>
      </c>
      <c r="B304" t="s">
        <v>98</v>
      </c>
      <c r="C304" t="s">
        <v>165</v>
      </c>
      <c r="D304" t="s">
        <v>224</v>
      </c>
      <c r="E304" t="s">
        <v>5066</v>
      </c>
      <c r="F304" t="s">
        <v>5067</v>
      </c>
      <c r="G304">
        <v>8410333041</v>
      </c>
      <c r="H304" t="s">
        <v>103</v>
      </c>
      <c r="I304" t="s">
        <v>5068</v>
      </c>
      <c r="J304" t="s">
        <v>105</v>
      </c>
      <c r="K304" t="s">
        <v>484</v>
      </c>
      <c r="L304" t="s">
        <v>5069</v>
      </c>
      <c r="M304" t="s">
        <v>5070</v>
      </c>
      <c r="N304" t="s">
        <v>109</v>
      </c>
      <c r="AI304" t="s">
        <v>5071</v>
      </c>
      <c r="AJ304" t="s">
        <v>5072</v>
      </c>
      <c r="AK304" t="s">
        <v>5073</v>
      </c>
      <c r="AL304">
        <v>76.88</v>
      </c>
      <c r="AM304">
        <v>8.09</v>
      </c>
      <c r="AN304">
        <v>1988</v>
      </c>
      <c r="AO304" t="s">
        <v>113</v>
      </c>
      <c r="AP304" t="s">
        <v>5074</v>
      </c>
      <c r="AQ304" t="s">
        <v>5075</v>
      </c>
      <c r="AR304" t="s">
        <v>5076</v>
      </c>
      <c r="AS304">
        <v>62.88</v>
      </c>
      <c r="AT304">
        <v>6.18</v>
      </c>
      <c r="AU304">
        <v>1990</v>
      </c>
      <c r="AV304" t="s">
        <v>113</v>
      </c>
      <c r="AW304" t="s">
        <v>5077</v>
      </c>
      <c r="AX304" t="s">
        <v>5078</v>
      </c>
      <c r="AY304" t="s">
        <v>5079</v>
      </c>
      <c r="AZ304">
        <v>57</v>
      </c>
      <c r="BA304">
        <v>6</v>
      </c>
      <c r="BB304">
        <v>1996</v>
      </c>
      <c r="BC304" t="s">
        <v>113</v>
      </c>
      <c r="BD304" t="s">
        <v>1902</v>
      </c>
      <c r="BE304" t="s">
        <v>5080</v>
      </c>
      <c r="BF304" t="s">
        <v>839</v>
      </c>
      <c r="BG304">
        <v>62.02</v>
      </c>
      <c r="BH304">
        <v>6.52</v>
      </c>
      <c r="BI304">
        <v>2000</v>
      </c>
      <c r="BJ304">
        <v>19</v>
      </c>
      <c r="BK304" t="s">
        <v>515</v>
      </c>
      <c r="BL304">
        <v>24</v>
      </c>
      <c r="BN304" t="s">
        <v>113</v>
      </c>
      <c r="BO304" t="s">
        <v>5081</v>
      </c>
      <c r="BP304" t="s">
        <v>5082</v>
      </c>
      <c r="BQ304" t="s">
        <v>841</v>
      </c>
      <c r="BR304">
        <v>61.88</v>
      </c>
      <c r="BS304">
        <v>6.5</v>
      </c>
      <c r="BT304">
        <v>2004</v>
      </c>
      <c r="BU304">
        <v>31</v>
      </c>
      <c r="BV304" t="s">
        <v>518</v>
      </c>
      <c r="BW304">
        <v>53</v>
      </c>
      <c r="BX304" t="s">
        <v>839</v>
      </c>
      <c r="BY304" t="s">
        <v>113</v>
      </c>
      <c r="BZ304" t="s">
        <v>5083</v>
      </c>
      <c r="CA304" t="s">
        <v>5084</v>
      </c>
      <c r="CB304" t="s">
        <v>5085</v>
      </c>
      <c r="CC304">
        <v>52</v>
      </c>
      <c r="CD304">
        <v>5.47</v>
      </c>
      <c r="CE304">
        <v>2016</v>
      </c>
      <c r="CF304" t="s">
        <v>113</v>
      </c>
      <c r="CG304" t="s">
        <v>5086</v>
      </c>
      <c r="CH304" t="s">
        <v>5087</v>
      </c>
      <c r="CI304" t="s">
        <v>132</v>
      </c>
      <c r="CJ304">
        <v>2011</v>
      </c>
      <c r="CL304" t="s">
        <v>113</v>
      </c>
      <c r="CM304" t="s">
        <v>5088</v>
      </c>
      <c r="CN304" t="s">
        <v>113</v>
      </c>
      <c r="CO304" t="s">
        <v>5089</v>
      </c>
      <c r="CP304" t="s">
        <v>460</v>
      </c>
      <c r="CQ304" t="s">
        <v>5090</v>
      </c>
      <c r="CR304" t="s">
        <v>136</v>
      </c>
      <c r="CS304" t="str">
        <f>HYPERLINK("https://nconnect.nicmar.ac.in/pdf/457_resume_1771687784.pdf/Y2FyZWVy","View Resume")</f>
        <v>0</v>
      </c>
    </row>
    <row r="305" spans="1:97">
      <c r="A305" t="s">
        <v>656</v>
      </c>
      <c r="B305" t="s">
        <v>318</v>
      </c>
      <c r="C305" t="s">
        <v>139</v>
      </c>
      <c r="D305" t="s">
        <v>140</v>
      </c>
      <c r="E305" t="s">
        <v>5091</v>
      </c>
      <c r="F305" t="s">
        <v>5092</v>
      </c>
      <c r="G305">
        <v>9677355773</v>
      </c>
      <c r="H305" t="s">
        <v>103</v>
      </c>
      <c r="I305" t="s">
        <v>5093</v>
      </c>
      <c r="J305" t="s">
        <v>105</v>
      </c>
      <c r="K305" t="s">
        <v>777</v>
      </c>
      <c r="L305" t="s">
        <v>5094</v>
      </c>
      <c r="M305" t="s">
        <v>5095</v>
      </c>
      <c r="N305" t="s">
        <v>109</v>
      </c>
      <c r="AI305" t="s">
        <v>5096</v>
      </c>
      <c r="AJ305" t="s">
        <v>5097</v>
      </c>
      <c r="AK305" t="s">
        <v>5098</v>
      </c>
      <c r="AL305">
        <v>83.02</v>
      </c>
      <c r="AN305">
        <v>2006</v>
      </c>
      <c r="AO305" t="s">
        <v>113</v>
      </c>
      <c r="AP305" t="s">
        <v>5099</v>
      </c>
      <c r="AQ305" t="s">
        <v>5097</v>
      </c>
      <c r="AR305" t="s">
        <v>5100</v>
      </c>
      <c r="AS305">
        <v>73.08</v>
      </c>
      <c r="AU305">
        <v>2008</v>
      </c>
      <c r="AV305" t="s">
        <v>109</v>
      </c>
      <c r="BC305" t="s">
        <v>113</v>
      </c>
      <c r="BD305" t="s">
        <v>942</v>
      </c>
      <c r="BE305" t="s">
        <v>5101</v>
      </c>
      <c r="BF305" t="s">
        <v>354</v>
      </c>
      <c r="BG305">
        <v>75.4</v>
      </c>
      <c r="BH305">
        <v>7.54</v>
      </c>
      <c r="BI305">
        <v>2012</v>
      </c>
      <c r="BJ305">
        <v>1</v>
      </c>
      <c r="BL305">
        <v>9</v>
      </c>
      <c r="BN305" t="s">
        <v>113</v>
      </c>
      <c r="BO305" t="s">
        <v>5102</v>
      </c>
      <c r="BP305" t="s">
        <v>5103</v>
      </c>
      <c r="BQ305" t="s">
        <v>2043</v>
      </c>
      <c r="BR305">
        <v>89.2</v>
      </c>
      <c r="BS305">
        <v>8.92</v>
      </c>
      <c r="BT305">
        <v>2015</v>
      </c>
      <c r="BU305">
        <v>14</v>
      </c>
      <c r="BW305">
        <v>47</v>
      </c>
      <c r="BY305" t="s">
        <v>113</v>
      </c>
      <c r="BZ305" t="s">
        <v>5104</v>
      </c>
      <c r="CA305" t="s">
        <v>5105</v>
      </c>
      <c r="CB305" t="s">
        <v>5106</v>
      </c>
      <c r="CC305">
        <v>84.4</v>
      </c>
      <c r="CD305">
        <v>8.44</v>
      </c>
      <c r="CE305">
        <v>2026</v>
      </c>
      <c r="CF305" t="s">
        <v>113</v>
      </c>
      <c r="CG305" t="s">
        <v>5107</v>
      </c>
      <c r="CH305" t="s">
        <v>5108</v>
      </c>
      <c r="CI305" t="s">
        <v>132</v>
      </c>
      <c r="CJ305">
        <v>2023</v>
      </c>
      <c r="CL305" t="s">
        <v>113</v>
      </c>
      <c r="CM305" t="s">
        <v>5109</v>
      </c>
      <c r="CN305" t="s">
        <v>113</v>
      </c>
      <c r="CO305" t="s">
        <v>5110</v>
      </c>
      <c r="CP305" t="s">
        <v>5111</v>
      </c>
      <c r="CQ305" t="s">
        <v>5112</v>
      </c>
      <c r="CR305" t="str">
        <f>HYPERLINK("https://nconnect.nicmar.ac.in/public/storage/profile/6999d15e07fa6.png","Download")</f>
        <v>0</v>
      </c>
      <c r="CS305" t="str">
        <f>HYPERLINK("https://nconnect.nicmar.ac.in/pdf/265_resume_1771688094.pdf/Y2FyZWVy","View Resume")</f>
        <v>0</v>
      </c>
    </row>
    <row r="306" spans="1:97">
      <c r="A306" t="s">
        <v>137</v>
      </c>
      <c r="B306" t="s">
        <v>138</v>
      </c>
      <c r="C306" t="s">
        <v>139</v>
      </c>
      <c r="D306" t="s">
        <v>140</v>
      </c>
      <c r="E306" t="s">
        <v>5091</v>
      </c>
      <c r="F306" t="s">
        <v>5092</v>
      </c>
      <c r="G306">
        <v>9677355773</v>
      </c>
      <c r="H306" t="s">
        <v>103</v>
      </c>
      <c r="I306" t="s">
        <v>5093</v>
      </c>
      <c r="J306" t="s">
        <v>105</v>
      </c>
      <c r="K306" t="s">
        <v>777</v>
      </c>
      <c r="L306" t="s">
        <v>5094</v>
      </c>
      <c r="M306" t="s">
        <v>5095</v>
      </c>
      <c r="N306" t="s">
        <v>109</v>
      </c>
      <c r="AI306" t="s">
        <v>5096</v>
      </c>
      <c r="AJ306" t="s">
        <v>5097</v>
      </c>
      <c r="AK306" t="s">
        <v>5098</v>
      </c>
      <c r="AL306">
        <v>83.02</v>
      </c>
      <c r="AN306">
        <v>2006</v>
      </c>
      <c r="AO306" t="s">
        <v>113</v>
      </c>
      <c r="AP306" t="s">
        <v>5099</v>
      </c>
      <c r="AQ306" t="s">
        <v>5097</v>
      </c>
      <c r="AR306" t="s">
        <v>5100</v>
      </c>
      <c r="AS306">
        <v>73.08</v>
      </c>
      <c r="AU306">
        <v>2008</v>
      </c>
      <c r="AV306" t="s">
        <v>109</v>
      </c>
      <c r="BC306" t="s">
        <v>113</v>
      </c>
      <c r="BD306" t="s">
        <v>942</v>
      </c>
      <c r="BE306" t="s">
        <v>5101</v>
      </c>
      <c r="BF306" t="s">
        <v>354</v>
      </c>
      <c r="BG306">
        <v>75.4</v>
      </c>
      <c r="BH306">
        <v>7.54</v>
      </c>
      <c r="BI306">
        <v>2012</v>
      </c>
      <c r="BJ306">
        <v>1</v>
      </c>
      <c r="BL306">
        <v>9</v>
      </c>
      <c r="BN306" t="s">
        <v>113</v>
      </c>
      <c r="BO306" t="s">
        <v>5102</v>
      </c>
      <c r="BP306" t="s">
        <v>5103</v>
      </c>
      <c r="BQ306" t="s">
        <v>2043</v>
      </c>
      <c r="BR306">
        <v>89.2</v>
      </c>
      <c r="BS306">
        <v>8.92</v>
      </c>
      <c r="BT306">
        <v>2015</v>
      </c>
      <c r="BU306">
        <v>14</v>
      </c>
      <c r="BW306">
        <v>47</v>
      </c>
      <c r="BY306" t="s">
        <v>113</v>
      </c>
      <c r="BZ306" t="s">
        <v>5104</v>
      </c>
      <c r="CA306" t="s">
        <v>5105</v>
      </c>
      <c r="CB306" t="s">
        <v>5106</v>
      </c>
      <c r="CC306">
        <v>84.4</v>
      </c>
      <c r="CD306">
        <v>8.44</v>
      </c>
      <c r="CE306">
        <v>2026</v>
      </c>
      <c r="CF306" t="s">
        <v>113</v>
      </c>
      <c r="CG306" t="s">
        <v>5107</v>
      </c>
      <c r="CH306" t="s">
        <v>5108</v>
      </c>
      <c r="CI306" t="s">
        <v>132</v>
      </c>
      <c r="CJ306">
        <v>2023</v>
      </c>
      <c r="CL306" t="s">
        <v>113</v>
      </c>
      <c r="CM306" t="s">
        <v>5109</v>
      </c>
      <c r="CN306" t="s">
        <v>113</v>
      </c>
      <c r="CO306" t="s">
        <v>5110</v>
      </c>
      <c r="CP306" t="s">
        <v>5111</v>
      </c>
      <c r="CQ306" t="s">
        <v>5113</v>
      </c>
      <c r="CR306" t="str">
        <f>HYPERLINK("https://nconnect.nicmar.ac.in/public/storage/profile/6999d15e07fa6.png","Download")</f>
        <v>0</v>
      </c>
      <c r="CS306" t="str">
        <f>HYPERLINK("https://nconnect.nicmar.ac.in/pdf/265_resume_1771688094.pdf/Y2FyZWVy","View Resume")</f>
        <v>0</v>
      </c>
    </row>
    <row r="307" spans="1:97">
      <c r="A307" t="s">
        <v>501</v>
      </c>
      <c r="B307" t="s">
        <v>138</v>
      </c>
      <c r="C307" t="s">
        <v>165</v>
      </c>
      <c r="D307" t="s">
        <v>319</v>
      </c>
      <c r="E307" t="s">
        <v>5114</v>
      </c>
      <c r="F307" t="s">
        <v>5115</v>
      </c>
      <c r="G307">
        <v>9721352113</v>
      </c>
      <c r="H307" t="s">
        <v>169</v>
      </c>
      <c r="I307" t="s">
        <v>5116</v>
      </c>
      <c r="J307" t="s">
        <v>105</v>
      </c>
      <c r="K307" t="s">
        <v>505</v>
      </c>
      <c r="L307" t="s">
        <v>5117</v>
      </c>
      <c r="M307" t="s">
        <v>5118</v>
      </c>
      <c r="N307" t="s">
        <v>109</v>
      </c>
      <c r="AI307" t="s">
        <v>5119</v>
      </c>
      <c r="AJ307" t="s">
        <v>5120</v>
      </c>
      <c r="AK307" t="s">
        <v>782</v>
      </c>
      <c r="AL307">
        <v>90</v>
      </c>
      <c r="AN307">
        <v>2007</v>
      </c>
      <c r="AO307" t="s">
        <v>113</v>
      </c>
      <c r="AP307" t="s">
        <v>5119</v>
      </c>
      <c r="AQ307" t="s">
        <v>5120</v>
      </c>
      <c r="AR307" t="s">
        <v>5121</v>
      </c>
      <c r="AS307">
        <v>73.3</v>
      </c>
      <c r="AU307">
        <v>2009</v>
      </c>
      <c r="AV307" t="s">
        <v>113</v>
      </c>
      <c r="AW307" t="s">
        <v>5122</v>
      </c>
      <c r="AX307" t="s">
        <v>5123</v>
      </c>
      <c r="AY307" t="s">
        <v>1330</v>
      </c>
      <c r="AZ307">
        <v>88.8</v>
      </c>
      <c r="BA307">
        <v>8.88</v>
      </c>
      <c r="BB307">
        <v>2014</v>
      </c>
      <c r="BC307" t="s">
        <v>113</v>
      </c>
      <c r="BD307" t="s">
        <v>5124</v>
      </c>
      <c r="BE307" t="s">
        <v>5125</v>
      </c>
      <c r="BF307" t="s">
        <v>839</v>
      </c>
      <c r="BG307">
        <v>65.3</v>
      </c>
      <c r="BI307">
        <v>2012</v>
      </c>
      <c r="BJ307">
        <v>19</v>
      </c>
      <c r="BK307" t="s">
        <v>515</v>
      </c>
      <c r="BL307">
        <v>23</v>
      </c>
      <c r="BN307" t="s">
        <v>113</v>
      </c>
      <c r="BO307" t="s">
        <v>5126</v>
      </c>
      <c r="BP307" t="s">
        <v>5127</v>
      </c>
      <c r="BQ307" t="s">
        <v>338</v>
      </c>
      <c r="BR307">
        <v>70.3</v>
      </c>
      <c r="BT307">
        <v>2016</v>
      </c>
      <c r="BU307">
        <v>31</v>
      </c>
      <c r="BV307" t="s">
        <v>5128</v>
      </c>
      <c r="BW307">
        <v>23</v>
      </c>
      <c r="BY307" t="s">
        <v>109</v>
      </c>
      <c r="CF307" t="s">
        <v>113</v>
      </c>
      <c r="CG307" t="s">
        <v>5129</v>
      </c>
      <c r="CH307" t="s">
        <v>1593</v>
      </c>
      <c r="CI307" t="s">
        <v>132</v>
      </c>
      <c r="CJ307">
        <v>2023</v>
      </c>
      <c r="CL307" t="s">
        <v>113</v>
      </c>
      <c r="CN307" t="s">
        <v>109</v>
      </c>
      <c r="CP307" t="s">
        <v>4226</v>
      </c>
      <c r="CQ307" t="s">
        <v>5113</v>
      </c>
      <c r="CR307" t="str">
        <f>HYPERLINK("https://nconnect.nicmar.ac.in/public/storage/profile/6999d117e3701.png","Download")</f>
        <v>0</v>
      </c>
      <c r="CS307" t="str">
        <f>HYPERLINK("https://nconnect.nicmar.ac.in/pdf/461_resume_1771688566.pdf/Y2FyZWVy","View Resume")</f>
        <v>0</v>
      </c>
    </row>
    <row r="308" spans="1:97">
      <c r="A308" t="s">
        <v>192</v>
      </c>
      <c r="B308" t="s">
        <v>138</v>
      </c>
      <c r="C308" t="s">
        <v>165</v>
      </c>
      <c r="D308" t="s">
        <v>193</v>
      </c>
      <c r="E308" t="s">
        <v>5130</v>
      </c>
      <c r="F308" t="s">
        <v>5131</v>
      </c>
      <c r="G308">
        <v>7841865844</v>
      </c>
      <c r="H308" t="s">
        <v>169</v>
      </c>
      <c r="I308" t="s">
        <v>5132</v>
      </c>
      <c r="J308" t="s">
        <v>105</v>
      </c>
      <c r="K308" t="s">
        <v>423</v>
      </c>
      <c r="L308" t="s">
        <v>5133</v>
      </c>
      <c r="M308" t="s">
        <v>5134</v>
      </c>
      <c r="N308" t="s">
        <v>109</v>
      </c>
      <c r="AI308" t="s">
        <v>5135</v>
      </c>
      <c r="AJ308" t="s">
        <v>5136</v>
      </c>
      <c r="AK308" t="s">
        <v>5137</v>
      </c>
      <c r="AL308">
        <v>86</v>
      </c>
      <c r="AM308">
        <v>8.6</v>
      </c>
      <c r="AN308">
        <v>2001</v>
      </c>
      <c r="AO308" t="s">
        <v>113</v>
      </c>
      <c r="AP308" t="s">
        <v>5135</v>
      </c>
      <c r="AQ308" t="s">
        <v>5136</v>
      </c>
      <c r="AR308" t="s">
        <v>668</v>
      </c>
      <c r="AS308">
        <v>82</v>
      </c>
      <c r="AT308">
        <v>8.2</v>
      </c>
      <c r="AU308">
        <v>2003</v>
      </c>
      <c r="AV308" t="s">
        <v>109</v>
      </c>
      <c r="BC308" t="s">
        <v>113</v>
      </c>
      <c r="BD308" t="s">
        <v>5138</v>
      </c>
      <c r="BE308" t="s">
        <v>5139</v>
      </c>
      <c r="BF308" t="s">
        <v>5140</v>
      </c>
      <c r="BG308">
        <v>68</v>
      </c>
      <c r="BH308">
        <v>6.8</v>
      </c>
      <c r="BI308">
        <v>2006</v>
      </c>
      <c r="BJ308">
        <v>19</v>
      </c>
      <c r="BK308" t="s">
        <v>2077</v>
      </c>
      <c r="BL308">
        <v>11</v>
      </c>
      <c r="BN308" t="s">
        <v>113</v>
      </c>
      <c r="BO308" t="s">
        <v>5138</v>
      </c>
      <c r="BP308" t="s">
        <v>5141</v>
      </c>
      <c r="BQ308" t="s">
        <v>5142</v>
      </c>
      <c r="BR308">
        <v>67</v>
      </c>
      <c r="BS308">
        <v>6.7</v>
      </c>
      <c r="BT308">
        <v>2008</v>
      </c>
      <c r="BU308">
        <v>31</v>
      </c>
      <c r="BV308" t="s">
        <v>339</v>
      </c>
      <c r="BW308">
        <v>33</v>
      </c>
      <c r="BY308" t="s">
        <v>109</v>
      </c>
      <c r="CF308" t="s">
        <v>113</v>
      </c>
      <c r="CG308" t="s">
        <v>193</v>
      </c>
      <c r="CH308" t="s">
        <v>5143</v>
      </c>
      <c r="CI308" t="s">
        <v>132</v>
      </c>
      <c r="CJ308">
        <v>2025</v>
      </c>
      <c r="CL308" t="s">
        <v>113</v>
      </c>
      <c r="CN308" t="s">
        <v>109</v>
      </c>
      <c r="CP308" t="s">
        <v>5144</v>
      </c>
      <c r="CQ308" t="s">
        <v>5145</v>
      </c>
      <c r="CR308" t="s">
        <v>136</v>
      </c>
      <c r="CS308" t="str">
        <f>HYPERLINK("https://nconnect.nicmar.ac.in/pdf/466_resume_1771688996.pdf/Y2FyZWVy","View Resume")</f>
        <v>0</v>
      </c>
    </row>
    <row r="309" spans="1:97">
      <c r="A309" t="s">
        <v>501</v>
      </c>
      <c r="B309" t="s">
        <v>138</v>
      </c>
      <c r="C309" t="s">
        <v>165</v>
      </c>
      <c r="D309" t="s">
        <v>319</v>
      </c>
      <c r="E309" t="s">
        <v>5146</v>
      </c>
      <c r="F309" t="s">
        <v>5147</v>
      </c>
      <c r="G309">
        <v>9967036969</v>
      </c>
      <c r="H309" t="s">
        <v>103</v>
      </c>
      <c r="I309" t="s">
        <v>5148</v>
      </c>
      <c r="J309" t="s">
        <v>105</v>
      </c>
      <c r="K309" t="s">
        <v>423</v>
      </c>
      <c r="L309" t="s">
        <v>5149</v>
      </c>
      <c r="M309" t="s">
        <v>5150</v>
      </c>
      <c r="N309" t="s">
        <v>109</v>
      </c>
      <c r="AI309" t="s">
        <v>5151</v>
      </c>
      <c r="AJ309" t="s">
        <v>1542</v>
      </c>
      <c r="AK309" t="s">
        <v>5152</v>
      </c>
      <c r="AL309">
        <v>77.06</v>
      </c>
      <c r="AM309">
        <v>0</v>
      </c>
      <c r="AN309">
        <v>1996</v>
      </c>
      <c r="AO309" t="s">
        <v>113</v>
      </c>
      <c r="AP309" t="s">
        <v>5153</v>
      </c>
      <c r="AQ309" t="s">
        <v>1542</v>
      </c>
      <c r="AR309" t="s">
        <v>5154</v>
      </c>
      <c r="AS309">
        <v>73</v>
      </c>
      <c r="AU309">
        <v>1998</v>
      </c>
      <c r="AV309" t="s">
        <v>109</v>
      </c>
      <c r="BC309" t="s">
        <v>113</v>
      </c>
      <c r="BD309" t="s">
        <v>3093</v>
      </c>
      <c r="BE309" t="s">
        <v>5155</v>
      </c>
      <c r="BF309" t="s">
        <v>5156</v>
      </c>
      <c r="BG309">
        <v>56.68</v>
      </c>
      <c r="BI309">
        <v>2003</v>
      </c>
      <c r="BJ309">
        <v>19</v>
      </c>
      <c r="BK309" t="s">
        <v>5157</v>
      </c>
      <c r="BL309">
        <v>11</v>
      </c>
      <c r="BN309" t="s">
        <v>113</v>
      </c>
      <c r="BO309" t="s">
        <v>3093</v>
      </c>
      <c r="BP309" t="s">
        <v>5158</v>
      </c>
      <c r="BQ309" t="s">
        <v>5159</v>
      </c>
      <c r="BR309">
        <v>60</v>
      </c>
      <c r="BT309">
        <v>2008</v>
      </c>
      <c r="BU309">
        <v>31</v>
      </c>
      <c r="BV309" t="s">
        <v>5160</v>
      </c>
      <c r="BW309">
        <v>23</v>
      </c>
      <c r="BY309" t="s">
        <v>109</v>
      </c>
      <c r="CF309" t="s">
        <v>113</v>
      </c>
      <c r="CG309" t="s">
        <v>338</v>
      </c>
      <c r="CH309" t="s">
        <v>5161</v>
      </c>
      <c r="CI309" t="s">
        <v>240</v>
      </c>
      <c r="CK309" t="s">
        <v>113</v>
      </c>
      <c r="CL309" t="s">
        <v>113</v>
      </c>
      <c r="CM309" t="s">
        <v>5162</v>
      </c>
      <c r="CN309" t="s">
        <v>113</v>
      </c>
      <c r="CO309" t="s">
        <v>5163</v>
      </c>
      <c r="CP309" t="s">
        <v>5164</v>
      </c>
      <c r="CQ309" t="s">
        <v>5165</v>
      </c>
      <c r="CR309" t="s">
        <v>136</v>
      </c>
      <c r="CS309" t="str">
        <f>HYPERLINK("https://nconnect.nicmar.ac.in/pdf/460_resume_1771689439.pdf/Y2FyZWVy","View Resume")</f>
        <v>0</v>
      </c>
    </row>
    <row r="310" spans="1:97">
      <c r="A310" t="s">
        <v>501</v>
      </c>
      <c r="B310" t="s">
        <v>138</v>
      </c>
      <c r="C310" t="s">
        <v>165</v>
      </c>
      <c r="D310" t="s">
        <v>319</v>
      </c>
      <c r="E310" t="s">
        <v>5117</v>
      </c>
      <c r="F310" t="s">
        <v>5166</v>
      </c>
      <c r="G310">
        <v>8377955094</v>
      </c>
      <c r="H310" t="s">
        <v>103</v>
      </c>
      <c r="I310" t="s">
        <v>5167</v>
      </c>
      <c r="J310" t="s">
        <v>105</v>
      </c>
      <c r="K310" t="s">
        <v>505</v>
      </c>
      <c r="L310" t="s">
        <v>5168</v>
      </c>
      <c r="M310" t="s">
        <v>5169</v>
      </c>
      <c r="N310" t="s">
        <v>109</v>
      </c>
      <c r="AI310" t="s">
        <v>5170</v>
      </c>
      <c r="AJ310" t="s">
        <v>5171</v>
      </c>
      <c r="AK310" t="s">
        <v>782</v>
      </c>
      <c r="AL310">
        <v>70</v>
      </c>
      <c r="AN310">
        <v>2005</v>
      </c>
      <c r="AO310" t="s">
        <v>113</v>
      </c>
      <c r="AP310" t="s">
        <v>5172</v>
      </c>
      <c r="AQ310" t="s">
        <v>5173</v>
      </c>
      <c r="AR310" t="s">
        <v>5174</v>
      </c>
      <c r="AS310">
        <v>67</v>
      </c>
      <c r="AU310">
        <v>2008</v>
      </c>
      <c r="AV310" t="s">
        <v>113</v>
      </c>
      <c r="AW310" t="s">
        <v>641</v>
      </c>
      <c r="AX310" t="s">
        <v>5175</v>
      </c>
      <c r="AY310" t="s">
        <v>338</v>
      </c>
      <c r="AZ310">
        <v>91.7</v>
      </c>
      <c r="BB310">
        <v>2014</v>
      </c>
      <c r="BC310" t="s">
        <v>113</v>
      </c>
      <c r="BD310" t="s">
        <v>5176</v>
      </c>
      <c r="BE310" t="s">
        <v>5177</v>
      </c>
      <c r="BF310" t="s">
        <v>5142</v>
      </c>
      <c r="BG310">
        <v>75.57</v>
      </c>
      <c r="BI310">
        <v>2012</v>
      </c>
      <c r="BJ310">
        <v>19</v>
      </c>
      <c r="BK310" t="s">
        <v>2503</v>
      </c>
      <c r="BL310">
        <v>23</v>
      </c>
      <c r="BN310" t="s">
        <v>113</v>
      </c>
      <c r="BO310" t="s">
        <v>5178</v>
      </c>
      <c r="BP310" t="s">
        <v>5179</v>
      </c>
      <c r="BQ310" t="s">
        <v>746</v>
      </c>
      <c r="BR310">
        <v>68.1</v>
      </c>
      <c r="BT310">
        <v>2016</v>
      </c>
      <c r="BU310">
        <v>31</v>
      </c>
      <c r="BV310" t="s">
        <v>339</v>
      </c>
      <c r="BW310">
        <v>33</v>
      </c>
      <c r="BY310" t="s">
        <v>109</v>
      </c>
      <c r="CF310" t="s">
        <v>113</v>
      </c>
      <c r="CG310" t="s">
        <v>1330</v>
      </c>
      <c r="CH310" t="s">
        <v>5180</v>
      </c>
      <c r="CI310" t="s">
        <v>132</v>
      </c>
      <c r="CJ310">
        <v>2023</v>
      </c>
      <c r="CL310" t="s">
        <v>113</v>
      </c>
      <c r="CM310" t="s">
        <v>5181</v>
      </c>
      <c r="CN310" t="s">
        <v>113</v>
      </c>
      <c r="CO310" t="s">
        <v>5182</v>
      </c>
      <c r="CP310" t="s">
        <v>267</v>
      </c>
      <c r="CQ310" t="s">
        <v>5183</v>
      </c>
      <c r="CR310" t="str">
        <f>HYPERLINK("https://nconnect.nicmar.ac.in/public/storage/profile/6999d84e57ab1.png","Download")</f>
        <v>0</v>
      </c>
      <c r="CS310" t="str">
        <f>HYPERLINK("https://nconnect.nicmar.ac.in/pdf/464_resume_1771689997.pdf/Y2FyZWVy","View Resume")</f>
        <v>0</v>
      </c>
    </row>
    <row r="311" spans="1:97">
      <c r="A311" t="s">
        <v>190</v>
      </c>
      <c r="B311" t="s">
        <v>138</v>
      </c>
      <c r="C311" t="s">
        <v>139</v>
      </c>
      <c r="D311" t="s">
        <v>191</v>
      </c>
      <c r="E311" t="s">
        <v>5184</v>
      </c>
      <c r="F311" t="s">
        <v>5185</v>
      </c>
      <c r="G311">
        <v>8053710960</v>
      </c>
      <c r="H311" t="s">
        <v>103</v>
      </c>
      <c r="I311" t="s">
        <v>5186</v>
      </c>
      <c r="J311" t="s">
        <v>105</v>
      </c>
      <c r="K311" t="s">
        <v>505</v>
      </c>
      <c r="L311" t="s">
        <v>5187</v>
      </c>
      <c r="M311" t="s">
        <v>5188</v>
      </c>
      <c r="N311" t="s">
        <v>109</v>
      </c>
      <c r="AI311" t="s">
        <v>5189</v>
      </c>
      <c r="AJ311" t="s">
        <v>5190</v>
      </c>
      <c r="AK311" t="s">
        <v>5191</v>
      </c>
      <c r="AL311">
        <v>75.24</v>
      </c>
      <c r="AN311">
        <v>2009</v>
      </c>
      <c r="AO311" t="s">
        <v>113</v>
      </c>
      <c r="AP311" t="s">
        <v>5192</v>
      </c>
      <c r="AQ311" t="s">
        <v>5190</v>
      </c>
      <c r="AR311" t="s">
        <v>5193</v>
      </c>
      <c r="AS311">
        <v>69.24</v>
      </c>
      <c r="AU311">
        <v>2012</v>
      </c>
      <c r="AV311" t="s">
        <v>109</v>
      </c>
      <c r="BC311" t="s">
        <v>113</v>
      </c>
      <c r="BD311" t="s">
        <v>5194</v>
      </c>
      <c r="BE311" t="s">
        <v>5195</v>
      </c>
      <c r="BF311" t="s">
        <v>1543</v>
      </c>
      <c r="BG311">
        <v>65.24</v>
      </c>
      <c r="BI311">
        <v>2015</v>
      </c>
      <c r="BJ311">
        <v>19</v>
      </c>
      <c r="BL311">
        <v>53</v>
      </c>
      <c r="BN311" t="s">
        <v>113</v>
      </c>
      <c r="BO311" t="s">
        <v>5196</v>
      </c>
      <c r="BP311" t="s">
        <v>5196</v>
      </c>
      <c r="BQ311" t="s">
        <v>4386</v>
      </c>
      <c r="BR311">
        <v>59.24</v>
      </c>
      <c r="BT311">
        <v>2017</v>
      </c>
      <c r="BU311">
        <v>31</v>
      </c>
      <c r="BW311">
        <v>53</v>
      </c>
      <c r="BY311" t="s">
        <v>113</v>
      </c>
      <c r="BZ311" t="s">
        <v>5197</v>
      </c>
      <c r="CA311" t="s">
        <v>5198</v>
      </c>
      <c r="CB311" t="s">
        <v>4386</v>
      </c>
      <c r="CC311">
        <v>100</v>
      </c>
      <c r="CE311">
        <v>2024</v>
      </c>
      <c r="CF311" t="s">
        <v>113</v>
      </c>
      <c r="CG311" t="s">
        <v>4386</v>
      </c>
      <c r="CH311" t="s">
        <v>1090</v>
      </c>
      <c r="CI311" t="s">
        <v>132</v>
      </c>
      <c r="CJ311">
        <v>2022</v>
      </c>
      <c r="CL311" t="s">
        <v>113</v>
      </c>
      <c r="CM311" t="s">
        <v>5199</v>
      </c>
      <c r="CN311" t="s">
        <v>113</v>
      </c>
      <c r="CO311" t="s">
        <v>5200</v>
      </c>
      <c r="CP311" t="s">
        <v>460</v>
      </c>
      <c r="CQ311" t="s">
        <v>5201</v>
      </c>
      <c r="CR311" t="s">
        <v>136</v>
      </c>
      <c r="CS311" t="str">
        <f>HYPERLINK("https://nconnect.nicmar.ac.in/pdf/467_resume_1771692138.pdf/Y2FyZWVy","View Resume")</f>
        <v>0</v>
      </c>
    </row>
    <row r="312" spans="1:97">
      <c r="A312" t="s">
        <v>190</v>
      </c>
      <c r="B312" t="s">
        <v>138</v>
      </c>
      <c r="C312" t="s">
        <v>139</v>
      </c>
      <c r="D312" t="s">
        <v>191</v>
      </c>
      <c r="E312" t="s">
        <v>5202</v>
      </c>
      <c r="F312" t="s">
        <v>5203</v>
      </c>
      <c r="G312">
        <v>9641054306</v>
      </c>
      <c r="H312" t="s">
        <v>103</v>
      </c>
      <c r="I312" t="s">
        <v>5204</v>
      </c>
      <c r="J312" t="s">
        <v>105</v>
      </c>
      <c r="K312" t="s">
        <v>247</v>
      </c>
      <c r="L312" t="s">
        <v>5205</v>
      </c>
      <c r="M312" t="s">
        <v>5206</v>
      </c>
      <c r="N312" t="s">
        <v>109</v>
      </c>
      <c r="AI312" t="s">
        <v>5207</v>
      </c>
      <c r="AJ312" t="s">
        <v>5208</v>
      </c>
      <c r="AK312" t="s">
        <v>5209</v>
      </c>
      <c r="AL312">
        <v>70.25</v>
      </c>
      <c r="AN312">
        <v>2006</v>
      </c>
      <c r="AO312" t="s">
        <v>113</v>
      </c>
      <c r="AP312" t="s">
        <v>5210</v>
      </c>
      <c r="AQ312" t="s">
        <v>5211</v>
      </c>
      <c r="AR312" t="s">
        <v>5212</v>
      </c>
      <c r="AS312">
        <v>68.8</v>
      </c>
      <c r="AU312">
        <v>2008</v>
      </c>
      <c r="AV312" t="s">
        <v>109</v>
      </c>
      <c r="AW312" t="s">
        <v>5213</v>
      </c>
      <c r="AX312" t="s">
        <v>5214</v>
      </c>
      <c r="AY312" t="s">
        <v>281</v>
      </c>
      <c r="AZ312">
        <v>60.25</v>
      </c>
      <c r="BB312">
        <v>2012</v>
      </c>
      <c r="BC312" t="s">
        <v>113</v>
      </c>
      <c r="BD312" t="s">
        <v>5215</v>
      </c>
      <c r="BE312" t="s">
        <v>5216</v>
      </c>
      <c r="BF312" t="s">
        <v>2191</v>
      </c>
      <c r="BG312">
        <v>60.25</v>
      </c>
      <c r="BI312">
        <v>2012</v>
      </c>
      <c r="BJ312">
        <v>19</v>
      </c>
      <c r="BK312" t="s">
        <v>5217</v>
      </c>
      <c r="BL312">
        <v>53</v>
      </c>
      <c r="BM312" t="s">
        <v>281</v>
      </c>
      <c r="BN312" t="s">
        <v>113</v>
      </c>
      <c r="BO312" t="s">
        <v>5218</v>
      </c>
      <c r="BP312" t="s">
        <v>5219</v>
      </c>
      <c r="BQ312" t="s">
        <v>281</v>
      </c>
      <c r="BR312">
        <v>85.3</v>
      </c>
      <c r="BS312">
        <v>8.53</v>
      </c>
      <c r="BT312">
        <v>2014</v>
      </c>
      <c r="BU312">
        <v>31</v>
      </c>
      <c r="BV312" t="s">
        <v>5220</v>
      </c>
      <c r="BW312">
        <v>53</v>
      </c>
      <c r="BX312" t="s">
        <v>4386</v>
      </c>
      <c r="BY312" t="s">
        <v>109</v>
      </c>
      <c r="CF312" t="s">
        <v>113</v>
      </c>
      <c r="CG312" t="s">
        <v>4386</v>
      </c>
      <c r="CH312" t="s">
        <v>5221</v>
      </c>
      <c r="CI312" t="s">
        <v>132</v>
      </c>
      <c r="CJ312">
        <v>2021</v>
      </c>
      <c r="CL312" t="s">
        <v>109</v>
      </c>
      <c r="CN312" t="s">
        <v>113</v>
      </c>
      <c r="CO312" t="s">
        <v>5222</v>
      </c>
      <c r="CP312" t="s">
        <v>5209</v>
      </c>
      <c r="CQ312" t="s">
        <v>5223</v>
      </c>
      <c r="CR312" t="s">
        <v>136</v>
      </c>
      <c r="CS312" t="str">
        <f>HYPERLINK("https://nconnect.nicmar.ac.in/pdf/471_resume_1771697434.pdf/Y2FyZWVy","View Resume")</f>
        <v>0</v>
      </c>
    </row>
    <row r="313" spans="1:97">
      <c r="A313" t="s">
        <v>317</v>
      </c>
      <c r="B313" t="s">
        <v>318</v>
      </c>
      <c r="C313" t="s">
        <v>165</v>
      </c>
      <c r="D313" t="s">
        <v>319</v>
      </c>
      <c r="E313" t="s">
        <v>5224</v>
      </c>
      <c r="F313" t="s">
        <v>5225</v>
      </c>
      <c r="G313">
        <v>9820273565</v>
      </c>
      <c r="H313" t="s">
        <v>103</v>
      </c>
      <c r="I313" t="s">
        <v>2700</v>
      </c>
      <c r="J313" t="s">
        <v>105</v>
      </c>
      <c r="K313" t="s">
        <v>5226</v>
      </c>
      <c r="L313" t="s">
        <v>5227</v>
      </c>
      <c r="M313" t="s">
        <v>5228</v>
      </c>
      <c r="N313" t="s">
        <v>109</v>
      </c>
      <c r="AI313" t="s">
        <v>5229</v>
      </c>
      <c r="AJ313" t="s">
        <v>447</v>
      </c>
      <c r="AK313" t="s">
        <v>5230</v>
      </c>
      <c r="AL313">
        <v>64.26</v>
      </c>
      <c r="AN313">
        <v>2001</v>
      </c>
      <c r="AO313" t="s">
        <v>113</v>
      </c>
      <c r="AP313" t="s">
        <v>5231</v>
      </c>
      <c r="AQ313" t="s">
        <v>447</v>
      </c>
      <c r="AR313" t="s">
        <v>839</v>
      </c>
      <c r="AS313">
        <v>65.33</v>
      </c>
      <c r="AU313">
        <v>2003</v>
      </c>
      <c r="AV313" t="s">
        <v>109</v>
      </c>
      <c r="BC313" t="s">
        <v>113</v>
      </c>
      <c r="BD313" t="s">
        <v>3093</v>
      </c>
      <c r="BE313" t="s">
        <v>5232</v>
      </c>
      <c r="BF313" t="s">
        <v>839</v>
      </c>
      <c r="BG313">
        <v>56.71</v>
      </c>
      <c r="BI313">
        <v>2006</v>
      </c>
      <c r="BJ313">
        <v>19</v>
      </c>
      <c r="BK313" t="s">
        <v>4134</v>
      </c>
      <c r="BL313">
        <v>53</v>
      </c>
      <c r="BM313" t="s">
        <v>839</v>
      </c>
      <c r="BN313" t="s">
        <v>113</v>
      </c>
      <c r="BO313" t="s">
        <v>3093</v>
      </c>
      <c r="BP313" t="s">
        <v>5233</v>
      </c>
      <c r="BQ313" t="s">
        <v>803</v>
      </c>
      <c r="BR313">
        <v>56.71</v>
      </c>
      <c r="BT313">
        <v>2023</v>
      </c>
      <c r="BU313">
        <v>31</v>
      </c>
      <c r="BV313" t="s">
        <v>5234</v>
      </c>
      <c r="BW313">
        <v>23</v>
      </c>
      <c r="BY313" t="s">
        <v>113</v>
      </c>
      <c r="BZ313" t="s">
        <v>3093</v>
      </c>
      <c r="CA313" t="s">
        <v>5235</v>
      </c>
      <c r="CB313" t="s">
        <v>803</v>
      </c>
      <c r="CC313">
        <v>55.55</v>
      </c>
      <c r="CE313">
        <v>2023</v>
      </c>
      <c r="CF313" t="s">
        <v>113</v>
      </c>
      <c r="CG313" t="s">
        <v>1526</v>
      </c>
      <c r="CH313" t="s">
        <v>5236</v>
      </c>
      <c r="CI313" t="s">
        <v>132</v>
      </c>
      <c r="CJ313">
        <v>2017</v>
      </c>
      <c r="CL313" t="s">
        <v>113</v>
      </c>
      <c r="CM313" t="s">
        <v>5237</v>
      </c>
      <c r="CN313" t="s">
        <v>113</v>
      </c>
      <c r="CO313" t="s">
        <v>5238</v>
      </c>
      <c r="CP313" t="s">
        <v>460</v>
      </c>
      <c r="CQ313" t="s">
        <v>5239</v>
      </c>
      <c r="CR313" t="s">
        <v>136</v>
      </c>
      <c r="CS313" t="str">
        <f>HYPERLINK("https://nconnect.nicmar.ac.in/pdf/465_resume_1771698182.PDF/Y2FyZWVy","View Resume")</f>
        <v>0</v>
      </c>
    </row>
    <row r="314" spans="1:97">
      <c r="A314" t="s">
        <v>702</v>
      </c>
      <c r="B314" t="s">
        <v>138</v>
      </c>
      <c r="C314" t="s">
        <v>703</v>
      </c>
      <c r="D314" t="s">
        <v>704</v>
      </c>
      <c r="E314" t="s">
        <v>5240</v>
      </c>
      <c r="F314" t="s">
        <v>5241</v>
      </c>
      <c r="G314">
        <v>8583988484</v>
      </c>
      <c r="H314" t="s">
        <v>169</v>
      </c>
      <c r="I314" t="s">
        <v>5242</v>
      </c>
      <c r="J314" t="s">
        <v>144</v>
      </c>
      <c r="K314" t="s">
        <v>423</v>
      </c>
      <c r="L314" t="s">
        <v>5243</v>
      </c>
      <c r="M314" t="s">
        <v>5244</v>
      </c>
      <c r="N314" t="s">
        <v>109</v>
      </c>
      <c r="AI314" t="s">
        <v>5245</v>
      </c>
      <c r="AJ314" t="s">
        <v>5246</v>
      </c>
      <c r="AK314" t="s">
        <v>5247</v>
      </c>
      <c r="AL314">
        <v>96.8</v>
      </c>
      <c r="AN314">
        <v>2017</v>
      </c>
      <c r="AO314" t="s">
        <v>113</v>
      </c>
      <c r="AP314" t="s">
        <v>5248</v>
      </c>
      <c r="AQ314" t="s">
        <v>5249</v>
      </c>
      <c r="AR314" t="s">
        <v>5250</v>
      </c>
      <c r="AS314">
        <v>95.4</v>
      </c>
      <c r="AU314">
        <v>2019</v>
      </c>
      <c r="AV314" t="s">
        <v>109</v>
      </c>
      <c r="BC314" t="s">
        <v>113</v>
      </c>
      <c r="BD314" t="s">
        <v>5251</v>
      </c>
      <c r="BE314" t="s">
        <v>5252</v>
      </c>
      <c r="BF314" t="s">
        <v>5253</v>
      </c>
      <c r="BG314">
        <v>91.1</v>
      </c>
      <c r="BH314">
        <v>9.61</v>
      </c>
      <c r="BI314">
        <v>2024</v>
      </c>
      <c r="BJ314">
        <v>8</v>
      </c>
      <c r="BL314">
        <v>3</v>
      </c>
      <c r="BN314" t="s">
        <v>113</v>
      </c>
      <c r="BO314" t="s">
        <v>539</v>
      </c>
      <c r="BP314" t="s">
        <v>5254</v>
      </c>
      <c r="BQ314" t="s">
        <v>5255</v>
      </c>
      <c r="BR314">
        <v>93.8</v>
      </c>
      <c r="BS314">
        <v>9.38</v>
      </c>
      <c r="BT314">
        <v>2026</v>
      </c>
      <c r="BU314">
        <v>24</v>
      </c>
      <c r="BW314">
        <v>35</v>
      </c>
      <c r="BY314" t="s">
        <v>109</v>
      </c>
      <c r="CF314" t="s">
        <v>109</v>
      </c>
      <c r="CL314" t="s">
        <v>109</v>
      </c>
      <c r="CN314" t="s">
        <v>113</v>
      </c>
      <c r="CO314" t="s">
        <v>5256</v>
      </c>
      <c r="CP314" t="s">
        <v>5257</v>
      </c>
      <c r="CQ314" t="s">
        <v>5258</v>
      </c>
      <c r="CR314" t="s">
        <v>136</v>
      </c>
      <c r="CS314" t="str">
        <f>HYPERLINK("https://nconnect.nicmar.ac.in/pdf/478_resume_1771734216.pdf/Y2FyZWVy","View Resume")</f>
        <v>0</v>
      </c>
    </row>
    <row r="315" spans="1:97">
      <c r="A315" t="s">
        <v>164</v>
      </c>
      <c r="B315" t="s">
        <v>138</v>
      </c>
      <c r="C315" t="s">
        <v>165</v>
      </c>
      <c r="D315" t="s">
        <v>166</v>
      </c>
      <c r="E315" t="s">
        <v>5259</v>
      </c>
      <c r="F315" t="s">
        <v>5260</v>
      </c>
      <c r="G315">
        <v>7217616929</v>
      </c>
      <c r="H315" t="s">
        <v>103</v>
      </c>
      <c r="I315" t="s">
        <v>5261</v>
      </c>
      <c r="J315" t="s">
        <v>144</v>
      </c>
      <c r="K315" t="s">
        <v>145</v>
      </c>
      <c r="L315" t="s">
        <v>5262</v>
      </c>
      <c r="M315" t="s">
        <v>5263</v>
      </c>
      <c r="N315" t="s">
        <v>109</v>
      </c>
      <c r="AI315" t="s">
        <v>5264</v>
      </c>
      <c r="AJ315" t="s">
        <v>5265</v>
      </c>
      <c r="AK315" t="s">
        <v>5266</v>
      </c>
      <c r="AL315">
        <v>60</v>
      </c>
      <c r="AN315">
        <v>2011</v>
      </c>
      <c r="AO315" t="s">
        <v>113</v>
      </c>
      <c r="AP315" t="s">
        <v>5267</v>
      </c>
      <c r="AQ315" t="s">
        <v>5265</v>
      </c>
      <c r="AR315" t="s">
        <v>5268</v>
      </c>
      <c r="AS315">
        <v>80</v>
      </c>
      <c r="AU315">
        <v>2013</v>
      </c>
      <c r="AV315" t="s">
        <v>109</v>
      </c>
      <c r="BC315" t="s">
        <v>113</v>
      </c>
      <c r="BD315" t="s">
        <v>1299</v>
      </c>
      <c r="BE315" t="s">
        <v>5269</v>
      </c>
      <c r="BF315" t="s">
        <v>281</v>
      </c>
      <c r="BG315">
        <v>66.47</v>
      </c>
      <c r="BI315">
        <v>2016</v>
      </c>
      <c r="BJ315">
        <v>19</v>
      </c>
      <c r="BK315" t="s">
        <v>5270</v>
      </c>
      <c r="BL315">
        <v>53</v>
      </c>
      <c r="BM315" t="s">
        <v>281</v>
      </c>
      <c r="BN315" t="s">
        <v>113</v>
      </c>
      <c r="BO315" t="s">
        <v>5271</v>
      </c>
      <c r="BP315" t="s">
        <v>5272</v>
      </c>
      <c r="BQ315" t="s">
        <v>184</v>
      </c>
      <c r="BR315">
        <v>81.1</v>
      </c>
      <c r="BT315">
        <v>2018</v>
      </c>
      <c r="BU315">
        <v>31</v>
      </c>
      <c r="BV315" t="s">
        <v>184</v>
      </c>
      <c r="BW315">
        <v>53</v>
      </c>
      <c r="BX315" t="s">
        <v>184</v>
      </c>
      <c r="BY315" t="s">
        <v>113</v>
      </c>
      <c r="BZ315" t="s">
        <v>1299</v>
      </c>
      <c r="CA315" t="s">
        <v>5273</v>
      </c>
      <c r="CB315" t="s">
        <v>5274</v>
      </c>
      <c r="CC315">
        <v>81</v>
      </c>
      <c r="CE315">
        <v>2021</v>
      </c>
      <c r="CF315" t="s">
        <v>113</v>
      </c>
      <c r="CG315" t="s">
        <v>184</v>
      </c>
      <c r="CH315" t="s">
        <v>5275</v>
      </c>
      <c r="CI315" t="s">
        <v>240</v>
      </c>
      <c r="CK315" t="s">
        <v>109</v>
      </c>
      <c r="CL315" t="s">
        <v>113</v>
      </c>
      <c r="CM315" t="s">
        <v>5276</v>
      </c>
      <c r="CN315" t="s">
        <v>113</v>
      </c>
      <c r="CO315" t="s">
        <v>5277</v>
      </c>
      <c r="CP315" t="s">
        <v>5278</v>
      </c>
      <c r="CQ315" t="s">
        <v>5279</v>
      </c>
      <c r="CR315" t="s">
        <v>136</v>
      </c>
      <c r="CS315" t="str">
        <f>HYPERLINK("https://nconnect.nicmar.ac.in/pdf/480_resume_1771737753.pdf/Y2FyZWVy","View Resume")</f>
        <v>0</v>
      </c>
    </row>
    <row r="316" spans="1:97">
      <c r="A316" t="s">
        <v>802</v>
      </c>
      <c r="B316" t="s">
        <v>138</v>
      </c>
      <c r="C316" t="s">
        <v>165</v>
      </c>
      <c r="D316" t="s">
        <v>803</v>
      </c>
      <c r="E316" t="s">
        <v>5280</v>
      </c>
      <c r="F316" t="s">
        <v>5281</v>
      </c>
      <c r="G316">
        <v>8879511712</v>
      </c>
      <c r="H316" t="s">
        <v>103</v>
      </c>
      <c r="I316" t="s">
        <v>5282</v>
      </c>
      <c r="J316" t="s">
        <v>105</v>
      </c>
      <c r="K316" t="s">
        <v>5283</v>
      </c>
      <c r="L316" t="s">
        <v>5284</v>
      </c>
      <c r="M316" t="s">
        <v>5285</v>
      </c>
      <c r="N316" t="s">
        <v>109</v>
      </c>
      <c r="AI316" t="s">
        <v>5286</v>
      </c>
      <c r="AJ316" t="s">
        <v>5287</v>
      </c>
      <c r="AK316" t="s">
        <v>5288</v>
      </c>
      <c r="AL316">
        <v>72</v>
      </c>
      <c r="AM316">
        <v>7.6</v>
      </c>
      <c r="AN316">
        <v>2012</v>
      </c>
      <c r="AO316" t="s">
        <v>109</v>
      </c>
      <c r="AV316" t="s">
        <v>109</v>
      </c>
      <c r="BC316" t="s">
        <v>113</v>
      </c>
      <c r="BD316" t="s">
        <v>3475</v>
      </c>
      <c r="BE316" t="s">
        <v>5289</v>
      </c>
      <c r="BF316" t="s">
        <v>5290</v>
      </c>
      <c r="BG316">
        <v>59.6</v>
      </c>
      <c r="BH316">
        <v>5.96</v>
      </c>
      <c r="BI316">
        <v>2019</v>
      </c>
      <c r="BJ316">
        <v>19</v>
      </c>
      <c r="BK316" t="s">
        <v>5291</v>
      </c>
      <c r="BL316">
        <v>53</v>
      </c>
      <c r="BM316" t="s">
        <v>5292</v>
      </c>
      <c r="BN316" t="s">
        <v>113</v>
      </c>
      <c r="BO316" t="s">
        <v>5293</v>
      </c>
      <c r="BP316" t="s">
        <v>5294</v>
      </c>
      <c r="BQ316" t="s">
        <v>5295</v>
      </c>
      <c r="BR316">
        <v>61</v>
      </c>
      <c r="BT316">
        <v>2020</v>
      </c>
      <c r="BU316">
        <v>31</v>
      </c>
      <c r="BV316" t="s">
        <v>5296</v>
      </c>
      <c r="BW316">
        <v>53</v>
      </c>
      <c r="BX316" t="s">
        <v>5297</v>
      </c>
      <c r="BY316" t="s">
        <v>109</v>
      </c>
      <c r="CF316" t="s">
        <v>113</v>
      </c>
      <c r="CG316" t="s">
        <v>5298</v>
      </c>
      <c r="CH316" t="s">
        <v>5299</v>
      </c>
      <c r="CI316" t="s">
        <v>132</v>
      </c>
      <c r="CJ316">
        <v>2024</v>
      </c>
      <c r="CL316" t="s">
        <v>109</v>
      </c>
      <c r="CN316" t="s">
        <v>109</v>
      </c>
      <c r="CP316" t="s">
        <v>460</v>
      </c>
      <c r="CQ316" t="s">
        <v>5300</v>
      </c>
      <c r="CR316" t="str">
        <f>HYPERLINK("https://nconnect.nicmar.ac.in/public/storage/profile/699a93d344c5d.png","Download")</f>
        <v>0</v>
      </c>
      <c r="CS316" t="str">
        <f>HYPERLINK("https://nconnect.nicmar.ac.in/pdf/479_resume_1771737762.pdf/Y2FyZWVy","View Resume")</f>
        <v>0</v>
      </c>
    </row>
    <row r="317" spans="1:97">
      <c r="A317" t="s">
        <v>521</v>
      </c>
      <c r="B317" t="s">
        <v>138</v>
      </c>
      <c r="C317" t="s">
        <v>165</v>
      </c>
      <c r="D317" t="s">
        <v>522</v>
      </c>
      <c r="E317" t="s">
        <v>5259</v>
      </c>
      <c r="F317" t="s">
        <v>5260</v>
      </c>
      <c r="G317">
        <v>7217616929</v>
      </c>
      <c r="H317" t="s">
        <v>103</v>
      </c>
      <c r="I317" t="s">
        <v>5261</v>
      </c>
      <c r="J317" t="s">
        <v>144</v>
      </c>
      <c r="K317" t="s">
        <v>145</v>
      </c>
      <c r="L317" t="s">
        <v>5262</v>
      </c>
      <c r="M317" t="s">
        <v>5263</v>
      </c>
      <c r="N317" t="s">
        <v>109</v>
      </c>
      <c r="AI317" t="s">
        <v>5264</v>
      </c>
      <c r="AJ317" t="s">
        <v>5265</v>
      </c>
      <c r="AK317" t="s">
        <v>5266</v>
      </c>
      <c r="AL317">
        <v>60</v>
      </c>
      <c r="AN317">
        <v>2011</v>
      </c>
      <c r="AO317" t="s">
        <v>113</v>
      </c>
      <c r="AP317" t="s">
        <v>5267</v>
      </c>
      <c r="AQ317" t="s">
        <v>5265</v>
      </c>
      <c r="AR317" t="s">
        <v>5268</v>
      </c>
      <c r="AS317">
        <v>80</v>
      </c>
      <c r="AU317">
        <v>2013</v>
      </c>
      <c r="AV317" t="s">
        <v>109</v>
      </c>
      <c r="BC317" t="s">
        <v>113</v>
      </c>
      <c r="BD317" t="s">
        <v>1299</v>
      </c>
      <c r="BE317" t="s">
        <v>5269</v>
      </c>
      <c r="BF317" t="s">
        <v>281</v>
      </c>
      <c r="BG317">
        <v>66.47</v>
      </c>
      <c r="BI317">
        <v>2016</v>
      </c>
      <c r="BJ317">
        <v>19</v>
      </c>
      <c r="BK317" t="s">
        <v>5270</v>
      </c>
      <c r="BL317">
        <v>53</v>
      </c>
      <c r="BM317" t="s">
        <v>281</v>
      </c>
      <c r="BN317" t="s">
        <v>113</v>
      </c>
      <c r="BO317" t="s">
        <v>5271</v>
      </c>
      <c r="BP317" t="s">
        <v>5272</v>
      </c>
      <c r="BQ317" t="s">
        <v>184</v>
      </c>
      <c r="BR317">
        <v>81.1</v>
      </c>
      <c r="BT317">
        <v>2018</v>
      </c>
      <c r="BU317">
        <v>31</v>
      </c>
      <c r="BV317" t="s">
        <v>184</v>
      </c>
      <c r="BW317">
        <v>53</v>
      </c>
      <c r="BX317" t="s">
        <v>184</v>
      </c>
      <c r="BY317" t="s">
        <v>113</v>
      </c>
      <c r="BZ317" t="s">
        <v>1299</v>
      </c>
      <c r="CA317" t="s">
        <v>5273</v>
      </c>
      <c r="CB317" t="s">
        <v>5274</v>
      </c>
      <c r="CC317">
        <v>81</v>
      </c>
      <c r="CE317">
        <v>2021</v>
      </c>
      <c r="CF317" t="s">
        <v>113</v>
      </c>
      <c r="CG317" t="s">
        <v>184</v>
      </c>
      <c r="CH317" t="s">
        <v>5275</v>
      </c>
      <c r="CI317" t="s">
        <v>240</v>
      </c>
      <c r="CK317" t="s">
        <v>109</v>
      </c>
      <c r="CL317" t="s">
        <v>113</v>
      </c>
      <c r="CM317" t="s">
        <v>5276</v>
      </c>
      <c r="CN317" t="s">
        <v>113</v>
      </c>
      <c r="CO317" t="s">
        <v>5277</v>
      </c>
      <c r="CP317" t="s">
        <v>5278</v>
      </c>
      <c r="CQ317" t="s">
        <v>5301</v>
      </c>
      <c r="CR317" t="s">
        <v>136</v>
      </c>
      <c r="CS317" t="str">
        <f>HYPERLINK("https://nconnect.nicmar.ac.in/pdf/480_resume_1771737753.pdf/Y2FyZWVy","View Resume")</f>
        <v>0</v>
      </c>
    </row>
    <row r="318" spans="1:97">
      <c r="A318" t="s">
        <v>223</v>
      </c>
      <c r="B318" t="s">
        <v>138</v>
      </c>
      <c r="C318" t="s">
        <v>165</v>
      </c>
      <c r="D318" t="s">
        <v>224</v>
      </c>
      <c r="E318" t="s">
        <v>5302</v>
      </c>
      <c r="F318" t="s">
        <v>5303</v>
      </c>
      <c r="G318">
        <v>7719059585</v>
      </c>
      <c r="H318" t="s">
        <v>103</v>
      </c>
      <c r="I318" t="s">
        <v>5304</v>
      </c>
      <c r="J318" t="s">
        <v>105</v>
      </c>
      <c r="K318" t="s">
        <v>5305</v>
      </c>
      <c r="L318" t="s">
        <v>5306</v>
      </c>
      <c r="M318" t="s">
        <v>5307</v>
      </c>
      <c r="N318" t="s">
        <v>109</v>
      </c>
      <c r="AI318" t="s">
        <v>5308</v>
      </c>
      <c r="AJ318" t="s">
        <v>2841</v>
      </c>
      <c r="AK318" t="s">
        <v>5309</v>
      </c>
      <c r="AL318">
        <v>57.2</v>
      </c>
      <c r="AN318">
        <v>1999</v>
      </c>
      <c r="AO318" t="s">
        <v>113</v>
      </c>
      <c r="AP318" t="s">
        <v>5310</v>
      </c>
      <c r="AQ318" t="s">
        <v>2841</v>
      </c>
      <c r="AR318" t="s">
        <v>5311</v>
      </c>
      <c r="AS318">
        <v>52.5</v>
      </c>
      <c r="AU318">
        <v>2001</v>
      </c>
      <c r="AV318" t="s">
        <v>109</v>
      </c>
      <c r="BC318" t="s">
        <v>113</v>
      </c>
      <c r="BD318" t="s">
        <v>2744</v>
      </c>
      <c r="BE318" t="s">
        <v>5310</v>
      </c>
      <c r="BF318" t="s">
        <v>777</v>
      </c>
      <c r="BG318">
        <v>54.83</v>
      </c>
      <c r="BI318">
        <v>2005</v>
      </c>
      <c r="BJ318">
        <v>19</v>
      </c>
      <c r="BL318">
        <v>53</v>
      </c>
      <c r="BM318" t="s">
        <v>777</v>
      </c>
      <c r="BN318" t="s">
        <v>113</v>
      </c>
      <c r="BO318" t="s">
        <v>5312</v>
      </c>
      <c r="BP318" t="s">
        <v>5313</v>
      </c>
      <c r="BQ318" t="s">
        <v>1686</v>
      </c>
      <c r="BR318">
        <v>55</v>
      </c>
      <c r="BT318">
        <v>2012</v>
      </c>
      <c r="BU318">
        <v>31</v>
      </c>
      <c r="BV318" t="s">
        <v>987</v>
      </c>
      <c r="BW318">
        <v>53</v>
      </c>
      <c r="BX318" t="s">
        <v>5314</v>
      </c>
      <c r="BY318" t="s">
        <v>113</v>
      </c>
      <c r="BZ318" t="s">
        <v>5312</v>
      </c>
      <c r="CA318" t="s">
        <v>5315</v>
      </c>
      <c r="CB318" t="s">
        <v>777</v>
      </c>
      <c r="CC318">
        <v>53</v>
      </c>
      <c r="CE318">
        <v>2008</v>
      </c>
      <c r="CF318" t="s">
        <v>113</v>
      </c>
      <c r="CG318" t="s">
        <v>2285</v>
      </c>
      <c r="CH318" t="s">
        <v>3292</v>
      </c>
      <c r="CI318" t="s">
        <v>132</v>
      </c>
      <c r="CJ318">
        <v>2026</v>
      </c>
      <c r="CL318" t="s">
        <v>113</v>
      </c>
      <c r="CM318" t="s">
        <v>5316</v>
      </c>
      <c r="CN318" t="s">
        <v>109</v>
      </c>
      <c r="CP318" t="s">
        <v>5317</v>
      </c>
      <c r="CQ318" t="s">
        <v>5318</v>
      </c>
      <c r="CR318" t="s">
        <v>136</v>
      </c>
      <c r="CS318" t="str">
        <f>HYPERLINK("https://nconnect.nicmar.ac.in/pdf/476_resume_1771739318.pdf/Y2FyZWVy","View Resume")</f>
        <v>0</v>
      </c>
    </row>
    <row r="319" spans="1:97">
      <c r="A319" t="s">
        <v>294</v>
      </c>
      <c r="B319" t="s">
        <v>138</v>
      </c>
      <c r="C319" t="s">
        <v>295</v>
      </c>
      <c r="D319" t="s">
        <v>296</v>
      </c>
      <c r="E319" t="s">
        <v>5319</v>
      </c>
      <c r="F319" t="s">
        <v>5320</v>
      </c>
      <c r="G319">
        <v>9787781194</v>
      </c>
      <c r="H319" t="s">
        <v>169</v>
      </c>
      <c r="I319" t="s">
        <v>5321</v>
      </c>
      <c r="J319" t="s">
        <v>144</v>
      </c>
      <c r="K319" t="s">
        <v>5322</v>
      </c>
      <c r="L319" t="s">
        <v>5323</v>
      </c>
      <c r="M319" t="s">
        <v>5324</v>
      </c>
      <c r="N319" t="s">
        <v>109</v>
      </c>
      <c r="AI319" t="s">
        <v>5325</v>
      </c>
      <c r="AJ319" t="s">
        <v>5326</v>
      </c>
      <c r="AK319" t="s">
        <v>5327</v>
      </c>
      <c r="AL319">
        <v>96</v>
      </c>
      <c r="AN319">
        <v>2010</v>
      </c>
      <c r="AO319" t="s">
        <v>113</v>
      </c>
      <c r="AP319" t="s">
        <v>5325</v>
      </c>
      <c r="AQ319" t="s">
        <v>5326</v>
      </c>
      <c r="AR319" t="s">
        <v>5328</v>
      </c>
      <c r="AS319">
        <v>95.41</v>
      </c>
      <c r="AU319">
        <v>2012</v>
      </c>
      <c r="AV319" t="s">
        <v>109</v>
      </c>
      <c r="BC319" t="s">
        <v>113</v>
      </c>
      <c r="BD319" t="s">
        <v>2561</v>
      </c>
      <c r="BE319" t="s">
        <v>5329</v>
      </c>
      <c r="BF319" t="s">
        <v>5330</v>
      </c>
      <c r="BG319">
        <v>84.6</v>
      </c>
      <c r="BH319">
        <v>8.46</v>
      </c>
      <c r="BI319">
        <v>2016</v>
      </c>
      <c r="BJ319">
        <v>2</v>
      </c>
      <c r="BL319">
        <v>9</v>
      </c>
      <c r="BN319" t="s">
        <v>113</v>
      </c>
      <c r="BO319" t="s">
        <v>2561</v>
      </c>
      <c r="BP319" t="s">
        <v>5329</v>
      </c>
      <c r="BQ319" t="s">
        <v>5331</v>
      </c>
      <c r="BR319">
        <v>93.3</v>
      </c>
      <c r="BS319">
        <v>9.33</v>
      </c>
      <c r="BT319">
        <v>2018</v>
      </c>
      <c r="BU319">
        <v>13</v>
      </c>
      <c r="BW319">
        <v>53</v>
      </c>
      <c r="BX319" t="s">
        <v>5332</v>
      </c>
      <c r="BY319" t="s">
        <v>109</v>
      </c>
      <c r="CF319" t="s">
        <v>113</v>
      </c>
      <c r="CG319" t="s">
        <v>5333</v>
      </c>
      <c r="CH319" t="s">
        <v>5329</v>
      </c>
      <c r="CI319" t="s">
        <v>240</v>
      </c>
      <c r="CK319" t="s">
        <v>109</v>
      </c>
      <c r="CL319" t="s">
        <v>113</v>
      </c>
      <c r="CM319" t="s">
        <v>5334</v>
      </c>
      <c r="CN319" t="s">
        <v>113</v>
      </c>
      <c r="CO319" t="s">
        <v>5335</v>
      </c>
      <c r="CP319" t="s">
        <v>5336</v>
      </c>
      <c r="CQ319" t="s">
        <v>5337</v>
      </c>
      <c r="CR319" t="s">
        <v>136</v>
      </c>
      <c r="CS319" t="str">
        <f>HYPERLINK("https://nconnect.nicmar.ac.in/pdf/484_resume_1771741603.pdf/Y2FyZWVy","View Resume")</f>
        <v>0</v>
      </c>
    </row>
    <row r="320" spans="1:97">
      <c r="A320" t="s">
        <v>137</v>
      </c>
      <c r="B320" t="s">
        <v>138</v>
      </c>
      <c r="C320" t="s">
        <v>139</v>
      </c>
      <c r="D320" t="s">
        <v>140</v>
      </c>
      <c r="E320" t="s">
        <v>5338</v>
      </c>
      <c r="F320" t="s">
        <v>5339</v>
      </c>
      <c r="G320">
        <v>9603112235</v>
      </c>
      <c r="H320" t="s">
        <v>103</v>
      </c>
      <c r="I320" t="s">
        <v>5340</v>
      </c>
      <c r="J320" t="s">
        <v>144</v>
      </c>
      <c r="K320" t="s">
        <v>5341</v>
      </c>
      <c r="L320" t="s">
        <v>5342</v>
      </c>
      <c r="M320" t="s">
        <v>5343</v>
      </c>
      <c r="N320" t="s">
        <v>109</v>
      </c>
      <c r="AI320" t="s">
        <v>5344</v>
      </c>
      <c r="AJ320" t="s">
        <v>5345</v>
      </c>
      <c r="AK320" t="s">
        <v>5346</v>
      </c>
      <c r="AL320">
        <v>92</v>
      </c>
      <c r="AM320">
        <v>9.2</v>
      </c>
      <c r="AN320">
        <v>2017</v>
      </c>
      <c r="AO320" t="s">
        <v>113</v>
      </c>
      <c r="AP320" t="s">
        <v>5347</v>
      </c>
      <c r="AQ320" t="s">
        <v>3635</v>
      </c>
      <c r="AR320" t="s">
        <v>5348</v>
      </c>
      <c r="AS320">
        <v>95.4</v>
      </c>
      <c r="AT320">
        <v>9.88</v>
      </c>
      <c r="AU320">
        <v>2019</v>
      </c>
      <c r="AV320" t="s">
        <v>109</v>
      </c>
      <c r="BC320" t="s">
        <v>113</v>
      </c>
      <c r="BD320" t="s">
        <v>5349</v>
      </c>
      <c r="BE320" t="s">
        <v>5350</v>
      </c>
      <c r="BF320" t="s">
        <v>309</v>
      </c>
      <c r="BG320">
        <v>73</v>
      </c>
      <c r="BH320">
        <v>7.82</v>
      </c>
      <c r="BI320">
        <v>2023</v>
      </c>
      <c r="BJ320">
        <v>1</v>
      </c>
      <c r="BL320">
        <v>9</v>
      </c>
      <c r="BN320" t="s">
        <v>113</v>
      </c>
      <c r="BO320" t="s">
        <v>5351</v>
      </c>
      <c r="BP320" t="s">
        <v>5352</v>
      </c>
      <c r="BQ320" t="s">
        <v>140</v>
      </c>
      <c r="BR320">
        <v>77</v>
      </c>
      <c r="BS320">
        <v>8.2</v>
      </c>
      <c r="BT320">
        <v>2026</v>
      </c>
      <c r="BU320">
        <v>14</v>
      </c>
      <c r="BW320">
        <v>47</v>
      </c>
      <c r="BY320" t="s">
        <v>109</v>
      </c>
      <c r="CF320" t="s">
        <v>109</v>
      </c>
      <c r="CJ320">
        <v>2026</v>
      </c>
      <c r="CL320" t="s">
        <v>109</v>
      </c>
      <c r="CN320" t="s">
        <v>109</v>
      </c>
      <c r="CP320" t="s">
        <v>5353</v>
      </c>
      <c r="CQ320" t="s">
        <v>5354</v>
      </c>
      <c r="CR320" t="str">
        <f>HYPERLINK("https://nconnect.nicmar.ac.in/public/storage/profile/699a98c813c9e.png","Download")</f>
        <v>0</v>
      </c>
      <c r="CS320" t="str">
        <f>HYPERLINK("https://nconnect.nicmar.ac.in/pdf/485_resume_1771742825.pdf/Y2FyZWVy","View Resume")</f>
        <v>0</v>
      </c>
    </row>
    <row r="321" spans="1:97">
      <c r="A321" t="s">
        <v>223</v>
      </c>
      <c r="B321" t="s">
        <v>138</v>
      </c>
      <c r="C321" t="s">
        <v>165</v>
      </c>
      <c r="D321" t="s">
        <v>224</v>
      </c>
      <c r="E321" t="s">
        <v>1291</v>
      </c>
      <c r="F321" t="s">
        <v>5355</v>
      </c>
      <c r="G321">
        <v>9798934657</v>
      </c>
      <c r="H321" t="s">
        <v>103</v>
      </c>
      <c r="I321" t="s">
        <v>5356</v>
      </c>
      <c r="J321" t="s">
        <v>105</v>
      </c>
      <c r="K321" t="s">
        <v>505</v>
      </c>
      <c r="L321" t="s">
        <v>5357</v>
      </c>
      <c r="M321" t="s">
        <v>5358</v>
      </c>
      <c r="N321" t="s">
        <v>109</v>
      </c>
      <c r="AI321" t="s">
        <v>5359</v>
      </c>
      <c r="AJ321" t="s">
        <v>5360</v>
      </c>
      <c r="AK321" t="s">
        <v>5361</v>
      </c>
      <c r="AL321">
        <v>62.8</v>
      </c>
      <c r="AN321">
        <v>2005</v>
      </c>
      <c r="AO321" t="s">
        <v>113</v>
      </c>
      <c r="AP321" t="s">
        <v>5362</v>
      </c>
      <c r="AQ321" t="s">
        <v>5363</v>
      </c>
      <c r="AR321" t="s">
        <v>3149</v>
      </c>
      <c r="AS321">
        <v>61.4</v>
      </c>
      <c r="AU321">
        <v>2008</v>
      </c>
      <c r="AV321" t="s">
        <v>109</v>
      </c>
      <c r="BC321" t="s">
        <v>113</v>
      </c>
      <c r="BD321" t="s">
        <v>513</v>
      </c>
      <c r="BE321" t="s">
        <v>5364</v>
      </c>
      <c r="BF321" t="s">
        <v>5365</v>
      </c>
      <c r="BG321">
        <v>64.5</v>
      </c>
      <c r="BI321">
        <v>2013</v>
      </c>
      <c r="BJ321">
        <v>19</v>
      </c>
      <c r="BK321" t="s">
        <v>5366</v>
      </c>
      <c r="BL321">
        <v>20</v>
      </c>
      <c r="BN321" t="s">
        <v>113</v>
      </c>
      <c r="BO321" t="s">
        <v>5367</v>
      </c>
      <c r="BP321" t="s">
        <v>5368</v>
      </c>
      <c r="BQ321" t="s">
        <v>1686</v>
      </c>
      <c r="BR321">
        <v>68.5</v>
      </c>
      <c r="BT321">
        <v>2015</v>
      </c>
      <c r="BU321">
        <v>31</v>
      </c>
      <c r="BV321" t="s">
        <v>339</v>
      </c>
      <c r="BW321">
        <v>53</v>
      </c>
      <c r="BX321" t="s">
        <v>1686</v>
      </c>
      <c r="BY321" t="s">
        <v>109</v>
      </c>
      <c r="CF321" t="s">
        <v>113</v>
      </c>
      <c r="CG321" t="s">
        <v>5369</v>
      </c>
      <c r="CH321" t="s">
        <v>4170</v>
      </c>
      <c r="CI321" t="s">
        <v>132</v>
      </c>
      <c r="CJ321">
        <v>2024</v>
      </c>
      <c r="CL321" t="s">
        <v>109</v>
      </c>
      <c r="CN321" t="s">
        <v>113</v>
      </c>
      <c r="CO321" t="s">
        <v>5370</v>
      </c>
      <c r="CP321" t="s">
        <v>5371</v>
      </c>
      <c r="CQ321" t="s">
        <v>5372</v>
      </c>
      <c r="CR321" t="s">
        <v>136</v>
      </c>
      <c r="CS321" t="str">
        <f>HYPERLINK("https://nconnect.nicmar.ac.in/pdf/482_resume_1771743008.pdf/Y2FyZWVy","View Resume")</f>
        <v>0</v>
      </c>
    </row>
    <row r="322" spans="1:97">
      <c r="A322" t="s">
        <v>501</v>
      </c>
      <c r="B322" t="s">
        <v>138</v>
      </c>
      <c r="C322" t="s">
        <v>165</v>
      </c>
      <c r="D322" t="s">
        <v>319</v>
      </c>
      <c r="E322" t="s">
        <v>5373</v>
      </c>
      <c r="F322" t="s">
        <v>5374</v>
      </c>
      <c r="G322">
        <v>9774350732</v>
      </c>
      <c r="H322" t="s">
        <v>169</v>
      </c>
      <c r="I322" t="s">
        <v>5375</v>
      </c>
      <c r="J322" t="s">
        <v>904</v>
      </c>
      <c r="K322" t="s">
        <v>484</v>
      </c>
      <c r="L322" t="s">
        <v>5376</v>
      </c>
      <c r="M322" t="s">
        <v>5377</v>
      </c>
      <c r="N322" t="s">
        <v>109</v>
      </c>
      <c r="AI322" t="s">
        <v>5378</v>
      </c>
      <c r="AJ322" t="s">
        <v>5379</v>
      </c>
      <c r="AK322" t="s">
        <v>5380</v>
      </c>
      <c r="AL322">
        <v>88.5</v>
      </c>
      <c r="AN322">
        <v>2004</v>
      </c>
      <c r="AO322" t="s">
        <v>113</v>
      </c>
      <c r="AP322" t="s">
        <v>5381</v>
      </c>
      <c r="AQ322" t="s">
        <v>5382</v>
      </c>
      <c r="AR322" t="s">
        <v>1425</v>
      </c>
      <c r="AS322">
        <v>77</v>
      </c>
      <c r="AU322">
        <v>2006</v>
      </c>
      <c r="AV322" t="s">
        <v>109</v>
      </c>
      <c r="BC322" t="s">
        <v>113</v>
      </c>
      <c r="BD322" t="s">
        <v>5383</v>
      </c>
      <c r="BE322" t="s">
        <v>5384</v>
      </c>
      <c r="BF322" t="s">
        <v>5385</v>
      </c>
      <c r="BG322">
        <v>81</v>
      </c>
      <c r="BI322">
        <v>2010</v>
      </c>
      <c r="BJ322">
        <v>19</v>
      </c>
      <c r="BK322" t="s">
        <v>515</v>
      </c>
      <c r="BL322">
        <v>23</v>
      </c>
      <c r="BN322" t="s">
        <v>113</v>
      </c>
      <c r="BO322" t="s">
        <v>5383</v>
      </c>
      <c r="BP322" t="s">
        <v>5386</v>
      </c>
      <c r="BQ322" t="s">
        <v>338</v>
      </c>
      <c r="BR322">
        <v>78</v>
      </c>
      <c r="BT322">
        <v>2012</v>
      </c>
      <c r="BU322">
        <v>31</v>
      </c>
      <c r="BV322" t="s">
        <v>339</v>
      </c>
      <c r="BW322">
        <v>23</v>
      </c>
      <c r="BY322" t="s">
        <v>113</v>
      </c>
      <c r="BZ322" t="s">
        <v>1902</v>
      </c>
      <c r="CA322" t="s">
        <v>124</v>
      </c>
      <c r="CB322" t="s">
        <v>839</v>
      </c>
      <c r="CC322">
        <v>68</v>
      </c>
      <c r="CE322">
        <v>2014</v>
      </c>
      <c r="CF322" t="s">
        <v>113</v>
      </c>
      <c r="CG322" t="s">
        <v>1526</v>
      </c>
      <c r="CH322" t="s">
        <v>279</v>
      </c>
      <c r="CI322" t="s">
        <v>132</v>
      </c>
      <c r="CJ322">
        <v>2025</v>
      </c>
      <c r="CL322" t="s">
        <v>113</v>
      </c>
      <c r="CM322" t="s">
        <v>5387</v>
      </c>
      <c r="CN322" t="s">
        <v>113</v>
      </c>
      <c r="CO322" t="s">
        <v>5388</v>
      </c>
      <c r="CP322" t="s">
        <v>460</v>
      </c>
      <c r="CQ322" t="s">
        <v>5389</v>
      </c>
      <c r="CR322" t="str">
        <f>HYPERLINK("https://nconnect.nicmar.ac.in/public/storage/profile/699aac9045a31.png","Download")</f>
        <v>0</v>
      </c>
      <c r="CS322" t="str">
        <f>HYPERLINK("https://nconnect.nicmar.ac.in/pdf/483_resume_1771744293.pdf/Y2FyZWVy","View Resume")</f>
        <v>0</v>
      </c>
    </row>
    <row r="323" spans="1:97">
      <c r="A323" t="s">
        <v>501</v>
      </c>
      <c r="B323" t="s">
        <v>138</v>
      </c>
      <c r="C323" t="s">
        <v>165</v>
      </c>
      <c r="D323" t="s">
        <v>319</v>
      </c>
      <c r="E323" t="s">
        <v>5390</v>
      </c>
      <c r="F323" t="s">
        <v>5391</v>
      </c>
      <c r="G323">
        <v>7049853788</v>
      </c>
      <c r="H323" t="s">
        <v>169</v>
      </c>
      <c r="I323" t="s">
        <v>5392</v>
      </c>
      <c r="J323" t="s">
        <v>105</v>
      </c>
      <c r="K323" t="s">
        <v>228</v>
      </c>
      <c r="L323" t="s">
        <v>5393</v>
      </c>
      <c r="M323" t="s">
        <v>5394</v>
      </c>
      <c r="N323" t="s">
        <v>109</v>
      </c>
      <c r="AI323" t="s">
        <v>5395</v>
      </c>
      <c r="AJ323" t="s">
        <v>1231</v>
      </c>
      <c r="AK323" t="s">
        <v>2153</v>
      </c>
      <c r="AL323">
        <v>68.4</v>
      </c>
      <c r="AM323">
        <v>7.2</v>
      </c>
      <c r="AN323">
        <v>2010</v>
      </c>
      <c r="AO323" t="s">
        <v>113</v>
      </c>
      <c r="AP323" t="s">
        <v>5395</v>
      </c>
      <c r="AQ323" t="s">
        <v>1231</v>
      </c>
      <c r="AR323" t="s">
        <v>5396</v>
      </c>
      <c r="AS323">
        <v>76.4</v>
      </c>
      <c r="AT323">
        <v>8.04</v>
      </c>
      <c r="AU323">
        <v>2012</v>
      </c>
      <c r="AV323" t="s">
        <v>113</v>
      </c>
      <c r="AW323" t="s">
        <v>5397</v>
      </c>
      <c r="AX323" t="s">
        <v>5398</v>
      </c>
      <c r="AY323" t="s">
        <v>5399</v>
      </c>
      <c r="AZ323">
        <v>82.14</v>
      </c>
      <c r="BA323">
        <v>8.65</v>
      </c>
      <c r="BB323">
        <v>2014</v>
      </c>
      <c r="BC323" t="s">
        <v>113</v>
      </c>
      <c r="BD323" t="s">
        <v>5400</v>
      </c>
      <c r="BE323" t="s">
        <v>5401</v>
      </c>
      <c r="BF323" t="s">
        <v>5402</v>
      </c>
      <c r="BG323">
        <v>78.24</v>
      </c>
      <c r="BH323">
        <v>8.24</v>
      </c>
      <c r="BI323">
        <v>2015</v>
      </c>
      <c r="BJ323">
        <v>19</v>
      </c>
      <c r="BK323" t="s">
        <v>515</v>
      </c>
      <c r="BL323">
        <v>11</v>
      </c>
      <c r="BN323" t="s">
        <v>113</v>
      </c>
      <c r="BO323" t="s">
        <v>5400</v>
      </c>
      <c r="BP323" t="s">
        <v>5401</v>
      </c>
      <c r="BQ323" t="s">
        <v>839</v>
      </c>
      <c r="BR323">
        <v>73.35</v>
      </c>
      <c r="BS323">
        <v>7.72</v>
      </c>
      <c r="BT323">
        <v>2017</v>
      </c>
      <c r="BU323">
        <v>31</v>
      </c>
      <c r="BV323" t="s">
        <v>5403</v>
      </c>
      <c r="BW323">
        <v>33</v>
      </c>
      <c r="BY323" t="s">
        <v>113</v>
      </c>
      <c r="BZ323" t="s">
        <v>2666</v>
      </c>
      <c r="CA323" t="s">
        <v>5404</v>
      </c>
      <c r="CB323" t="s">
        <v>5405</v>
      </c>
      <c r="CC323">
        <v>82.14</v>
      </c>
      <c r="CD323">
        <v>8.65</v>
      </c>
      <c r="CE323">
        <v>2014</v>
      </c>
      <c r="CF323" t="s">
        <v>113</v>
      </c>
      <c r="CG323" t="s">
        <v>338</v>
      </c>
      <c r="CH323" t="s">
        <v>2666</v>
      </c>
      <c r="CI323" t="s">
        <v>240</v>
      </c>
      <c r="CK323" t="s">
        <v>109</v>
      </c>
      <c r="CL323" t="s">
        <v>109</v>
      </c>
      <c r="CN323" t="s">
        <v>113</v>
      </c>
      <c r="CO323" t="s">
        <v>5406</v>
      </c>
      <c r="CP323" t="s">
        <v>5407</v>
      </c>
      <c r="CQ323" t="s">
        <v>5389</v>
      </c>
      <c r="CR323" t="s">
        <v>136</v>
      </c>
      <c r="CS323" t="str">
        <f>HYPERLINK("https://nconnect.nicmar.ac.in/pdf/52_resume_1771743970.pdf/Y2FyZWVy","View Resume")</f>
        <v>0</v>
      </c>
    </row>
    <row r="324" spans="1:97">
      <c r="A324" t="s">
        <v>1183</v>
      </c>
      <c r="B324" t="s">
        <v>318</v>
      </c>
      <c r="C324" t="s">
        <v>99</v>
      </c>
      <c r="D324" t="s">
        <v>1184</v>
      </c>
      <c r="E324" t="s">
        <v>5408</v>
      </c>
      <c r="F324" t="s">
        <v>5409</v>
      </c>
      <c r="G324">
        <v>8600803960</v>
      </c>
      <c r="H324" t="s">
        <v>169</v>
      </c>
      <c r="I324" t="s">
        <v>5410</v>
      </c>
      <c r="J324" t="s">
        <v>105</v>
      </c>
      <c r="K324" t="s">
        <v>5411</v>
      </c>
      <c r="L324" t="s">
        <v>5412</v>
      </c>
      <c r="M324" t="s">
        <v>5413</v>
      </c>
      <c r="N324" t="s">
        <v>109</v>
      </c>
      <c r="AI324" t="s">
        <v>5414</v>
      </c>
      <c r="AJ324" t="s">
        <v>5415</v>
      </c>
      <c r="AK324" t="s">
        <v>5416</v>
      </c>
      <c r="AL324">
        <v>79.86</v>
      </c>
      <c r="AN324">
        <v>2001</v>
      </c>
      <c r="AO324" t="s">
        <v>113</v>
      </c>
      <c r="AP324" t="s">
        <v>5417</v>
      </c>
      <c r="AQ324" t="s">
        <v>5415</v>
      </c>
      <c r="AR324" t="s">
        <v>5418</v>
      </c>
      <c r="AS324">
        <v>77.33</v>
      </c>
      <c r="AU324">
        <v>2003</v>
      </c>
      <c r="AV324" t="s">
        <v>109</v>
      </c>
      <c r="BC324" t="s">
        <v>113</v>
      </c>
      <c r="BD324" t="s">
        <v>3308</v>
      </c>
      <c r="BE324" t="s">
        <v>5419</v>
      </c>
      <c r="BF324" t="s">
        <v>5420</v>
      </c>
      <c r="BG324">
        <v>70.43</v>
      </c>
      <c r="BI324">
        <v>2008</v>
      </c>
      <c r="BJ324">
        <v>8</v>
      </c>
      <c r="BL324">
        <v>2</v>
      </c>
      <c r="BN324" t="s">
        <v>113</v>
      </c>
      <c r="BO324" t="s">
        <v>279</v>
      </c>
      <c r="BP324" t="s">
        <v>5421</v>
      </c>
      <c r="BQ324" t="s">
        <v>5422</v>
      </c>
      <c r="BR324">
        <v>82.28</v>
      </c>
      <c r="BS324">
        <v>8.94</v>
      </c>
      <c r="BT324">
        <v>2021</v>
      </c>
      <c r="BU324">
        <v>31</v>
      </c>
      <c r="BV324" t="s">
        <v>5423</v>
      </c>
      <c r="BW324">
        <v>53</v>
      </c>
      <c r="BX324" t="s">
        <v>5424</v>
      </c>
      <c r="BY324" t="s">
        <v>109</v>
      </c>
      <c r="CF324" t="s">
        <v>113</v>
      </c>
      <c r="CG324" t="s">
        <v>5425</v>
      </c>
      <c r="CH324" t="s">
        <v>5426</v>
      </c>
      <c r="CI324" t="s">
        <v>240</v>
      </c>
      <c r="CK324" t="s">
        <v>109</v>
      </c>
      <c r="CL324" t="s">
        <v>109</v>
      </c>
      <c r="CN324" t="s">
        <v>109</v>
      </c>
      <c r="CP324" t="s">
        <v>5427</v>
      </c>
      <c r="CQ324" t="s">
        <v>5428</v>
      </c>
      <c r="CR324" t="str">
        <f>HYPERLINK("https://nconnect.nicmar.ac.in/public/storage/profile/699936a6df9c7.png","Download")</f>
        <v>0</v>
      </c>
      <c r="CS324" t="str">
        <f>HYPERLINK("https://nconnect.nicmar.ac.in/pdf/411_resume_1771748151.pdf/Y2FyZWVy","View Resume")</f>
        <v>0</v>
      </c>
    </row>
    <row r="325" spans="1:97">
      <c r="A325" t="s">
        <v>521</v>
      </c>
      <c r="B325" t="s">
        <v>138</v>
      </c>
      <c r="C325" t="s">
        <v>165</v>
      </c>
      <c r="D325" t="s">
        <v>522</v>
      </c>
      <c r="E325" t="s">
        <v>5429</v>
      </c>
      <c r="F325" t="s">
        <v>5430</v>
      </c>
      <c r="G325">
        <v>9028218830</v>
      </c>
      <c r="H325" t="s">
        <v>103</v>
      </c>
      <c r="I325" t="s">
        <v>5431</v>
      </c>
      <c r="J325" t="s">
        <v>105</v>
      </c>
      <c r="K325" t="s">
        <v>1536</v>
      </c>
      <c r="L325" t="s">
        <v>5432</v>
      </c>
      <c r="M325" t="s">
        <v>5433</v>
      </c>
      <c r="N325" t="s">
        <v>109</v>
      </c>
      <c r="AI325" t="s">
        <v>5434</v>
      </c>
      <c r="AJ325" t="s">
        <v>5435</v>
      </c>
      <c r="AK325" t="s">
        <v>5436</v>
      </c>
      <c r="AL325">
        <v>77.46</v>
      </c>
      <c r="AN325">
        <v>2006</v>
      </c>
      <c r="AO325" t="s">
        <v>113</v>
      </c>
      <c r="AP325" t="s">
        <v>5434</v>
      </c>
      <c r="AQ325" t="s">
        <v>5435</v>
      </c>
      <c r="AR325" t="s">
        <v>1028</v>
      </c>
      <c r="AS325">
        <v>72.33</v>
      </c>
      <c r="AU325">
        <v>2008</v>
      </c>
      <c r="AV325" t="s">
        <v>109</v>
      </c>
      <c r="BC325" t="s">
        <v>113</v>
      </c>
      <c r="BD325" t="s">
        <v>5437</v>
      </c>
      <c r="BE325" t="s">
        <v>5438</v>
      </c>
      <c r="BF325" t="s">
        <v>5439</v>
      </c>
      <c r="BG325">
        <v>86.95</v>
      </c>
      <c r="BI325">
        <v>2012</v>
      </c>
      <c r="BJ325">
        <v>19</v>
      </c>
      <c r="BK325" t="s">
        <v>5440</v>
      </c>
      <c r="BL325">
        <v>20</v>
      </c>
      <c r="BN325" t="s">
        <v>113</v>
      </c>
      <c r="BO325" t="s">
        <v>5441</v>
      </c>
      <c r="BP325" t="s">
        <v>5442</v>
      </c>
      <c r="BQ325" t="s">
        <v>5443</v>
      </c>
      <c r="BR325">
        <v>80.5</v>
      </c>
      <c r="BT325">
        <v>2016</v>
      </c>
      <c r="BU325">
        <v>31</v>
      </c>
      <c r="BV325" t="s">
        <v>5444</v>
      </c>
      <c r="BW325">
        <v>20</v>
      </c>
      <c r="BY325" t="s">
        <v>109</v>
      </c>
      <c r="CF325" t="s">
        <v>113</v>
      </c>
      <c r="CG325" t="s">
        <v>5445</v>
      </c>
      <c r="CH325" t="s">
        <v>5442</v>
      </c>
      <c r="CI325" t="s">
        <v>132</v>
      </c>
      <c r="CJ325">
        <v>2022</v>
      </c>
      <c r="CL325" t="s">
        <v>109</v>
      </c>
      <c r="CN325" t="s">
        <v>109</v>
      </c>
      <c r="CP325" t="s">
        <v>5446</v>
      </c>
      <c r="CQ325" t="s">
        <v>5447</v>
      </c>
      <c r="CR325" t="s">
        <v>136</v>
      </c>
      <c r="CS325" t="str">
        <f>HYPERLINK("https://nconnect.nicmar.ac.in/pdf/490_resume_1771749116.pdf/Y2FyZWVy","View Resume")</f>
        <v>0</v>
      </c>
    </row>
    <row r="326" spans="1:97">
      <c r="A326" t="s">
        <v>223</v>
      </c>
      <c r="B326" t="s">
        <v>138</v>
      </c>
      <c r="C326" t="s">
        <v>165</v>
      </c>
      <c r="D326" t="s">
        <v>224</v>
      </c>
      <c r="E326" t="s">
        <v>5448</v>
      </c>
      <c r="F326" t="s">
        <v>5449</v>
      </c>
      <c r="G326">
        <v>9417410916</v>
      </c>
      <c r="H326" t="s">
        <v>103</v>
      </c>
      <c r="I326" t="s">
        <v>5450</v>
      </c>
      <c r="J326" t="s">
        <v>105</v>
      </c>
      <c r="K326" t="s">
        <v>5451</v>
      </c>
      <c r="L326" t="s">
        <v>5452</v>
      </c>
      <c r="M326" t="s">
        <v>5453</v>
      </c>
      <c r="N326" t="s">
        <v>109</v>
      </c>
      <c r="AI326" t="s">
        <v>5454</v>
      </c>
      <c r="AJ326" t="s">
        <v>1231</v>
      </c>
      <c r="AK326" t="s">
        <v>4130</v>
      </c>
      <c r="AL326">
        <v>70</v>
      </c>
      <c r="AM326">
        <v>7</v>
      </c>
      <c r="AN326">
        <v>1980</v>
      </c>
      <c r="AO326" t="s">
        <v>113</v>
      </c>
      <c r="AP326" t="s">
        <v>5454</v>
      </c>
      <c r="AQ326" t="s">
        <v>1231</v>
      </c>
      <c r="AR326" t="s">
        <v>384</v>
      </c>
      <c r="AS326">
        <v>50</v>
      </c>
      <c r="AT326">
        <v>5</v>
      </c>
      <c r="AU326">
        <v>1982</v>
      </c>
      <c r="AV326" t="s">
        <v>109</v>
      </c>
      <c r="BC326" t="s">
        <v>113</v>
      </c>
      <c r="BD326" t="s">
        <v>5455</v>
      </c>
      <c r="BE326" t="s">
        <v>5456</v>
      </c>
      <c r="BF326" t="s">
        <v>384</v>
      </c>
      <c r="BG326">
        <v>61</v>
      </c>
      <c r="BH326">
        <v>6.1</v>
      </c>
      <c r="BI326">
        <v>1984</v>
      </c>
      <c r="BJ326">
        <v>19</v>
      </c>
      <c r="BK326" t="s">
        <v>123</v>
      </c>
      <c r="BL326">
        <v>32</v>
      </c>
      <c r="BN326" t="s">
        <v>113</v>
      </c>
      <c r="BO326" t="s">
        <v>5457</v>
      </c>
      <c r="BP326" t="s">
        <v>5456</v>
      </c>
      <c r="BQ326" t="s">
        <v>384</v>
      </c>
      <c r="BR326">
        <v>71</v>
      </c>
      <c r="BS326">
        <v>7.1</v>
      </c>
      <c r="BT326">
        <v>1989</v>
      </c>
      <c r="BU326">
        <v>31</v>
      </c>
      <c r="BV326" t="s">
        <v>1772</v>
      </c>
      <c r="BW326">
        <v>32</v>
      </c>
      <c r="BX326" t="s">
        <v>384</v>
      </c>
      <c r="BY326" t="s">
        <v>113</v>
      </c>
      <c r="BZ326" t="s">
        <v>5458</v>
      </c>
      <c r="CA326" t="s">
        <v>5458</v>
      </c>
      <c r="CB326" t="s">
        <v>384</v>
      </c>
      <c r="CC326">
        <v>60</v>
      </c>
      <c r="CD326">
        <v>6</v>
      </c>
      <c r="CE326">
        <v>1990</v>
      </c>
      <c r="CF326" t="s">
        <v>113</v>
      </c>
      <c r="CG326" t="s">
        <v>387</v>
      </c>
      <c r="CH326" t="s">
        <v>5458</v>
      </c>
      <c r="CI326" t="s">
        <v>132</v>
      </c>
      <c r="CJ326">
        <v>2010</v>
      </c>
      <c r="CL326" t="s">
        <v>109</v>
      </c>
      <c r="CN326" t="s">
        <v>109</v>
      </c>
      <c r="CP326" t="s">
        <v>397</v>
      </c>
      <c r="CQ326" t="s">
        <v>5459</v>
      </c>
      <c r="CR326" t="str">
        <f>HYPERLINK("https://nconnect.nicmar.ac.in/public/storage/profile/699ab7944aed5.png","Download")</f>
        <v>0</v>
      </c>
      <c r="CS326" t="str">
        <f>HYPERLINK("https://nconnect.nicmar.ac.in/pdf/489_resume_1771749414.pdf/Y2FyZWVy","View Resume")</f>
        <v>0</v>
      </c>
    </row>
    <row r="327" spans="1:97">
      <c r="A327" t="s">
        <v>223</v>
      </c>
      <c r="B327" t="s">
        <v>138</v>
      </c>
      <c r="C327" t="s">
        <v>165</v>
      </c>
      <c r="D327" t="s">
        <v>224</v>
      </c>
      <c r="E327" t="s">
        <v>5460</v>
      </c>
      <c r="F327" t="s">
        <v>5461</v>
      </c>
      <c r="G327">
        <v>9642781170</v>
      </c>
      <c r="H327" t="s">
        <v>169</v>
      </c>
      <c r="I327" t="s">
        <v>5462</v>
      </c>
      <c r="J327" t="s">
        <v>105</v>
      </c>
      <c r="K327" t="s">
        <v>423</v>
      </c>
      <c r="L327" t="s">
        <v>5463</v>
      </c>
      <c r="M327" t="s">
        <v>5464</v>
      </c>
      <c r="N327" t="s">
        <v>109</v>
      </c>
      <c r="AI327" t="s">
        <v>5465</v>
      </c>
      <c r="AJ327" t="s">
        <v>5466</v>
      </c>
      <c r="AK327" t="s">
        <v>957</v>
      </c>
      <c r="AL327">
        <v>89</v>
      </c>
      <c r="AN327">
        <v>2003</v>
      </c>
      <c r="AO327" t="s">
        <v>113</v>
      </c>
      <c r="AP327" t="s">
        <v>5467</v>
      </c>
      <c r="AQ327" t="s">
        <v>5466</v>
      </c>
      <c r="AR327" t="s">
        <v>5468</v>
      </c>
      <c r="AS327">
        <v>75.2</v>
      </c>
      <c r="AU327">
        <v>2005</v>
      </c>
      <c r="AV327" t="s">
        <v>109</v>
      </c>
      <c r="BC327" t="s">
        <v>113</v>
      </c>
      <c r="BD327" t="s">
        <v>4842</v>
      </c>
      <c r="BE327" t="s">
        <v>5466</v>
      </c>
      <c r="BF327" t="s">
        <v>5469</v>
      </c>
      <c r="BG327">
        <v>69</v>
      </c>
      <c r="BI327">
        <v>2009</v>
      </c>
      <c r="BJ327">
        <v>19</v>
      </c>
      <c r="BK327" t="s">
        <v>5470</v>
      </c>
      <c r="BL327">
        <v>53</v>
      </c>
      <c r="BM327" t="s">
        <v>5471</v>
      </c>
      <c r="BN327" t="s">
        <v>113</v>
      </c>
      <c r="BO327" t="s">
        <v>4841</v>
      </c>
      <c r="BP327" t="s">
        <v>5466</v>
      </c>
      <c r="BQ327" t="s">
        <v>1686</v>
      </c>
      <c r="BR327">
        <v>72</v>
      </c>
      <c r="BT327">
        <v>2019</v>
      </c>
      <c r="BU327">
        <v>31</v>
      </c>
      <c r="BV327" t="s">
        <v>5472</v>
      </c>
      <c r="BW327">
        <v>53</v>
      </c>
      <c r="BX327" t="s">
        <v>263</v>
      </c>
      <c r="BY327" t="s">
        <v>109</v>
      </c>
      <c r="BZ327" t="s">
        <v>5473</v>
      </c>
      <c r="CA327" t="s">
        <v>5466</v>
      </c>
      <c r="CB327" t="s">
        <v>841</v>
      </c>
      <c r="CD327">
        <v>9</v>
      </c>
      <c r="CE327">
        <v>2025</v>
      </c>
      <c r="CF327" t="s">
        <v>113</v>
      </c>
      <c r="CG327" t="s">
        <v>841</v>
      </c>
      <c r="CH327" t="s">
        <v>5473</v>
      </c>
      <c r="CI327" t="s">
        <v>132</v>
      </c>
      <c r="CJ327">
        <v>2025</v>
      </c>
      <c r="CL327" t="s">
        <v>109</v>
      </c>
      <c r="CN327" t="s">
        <v>113</v>
      </c>
      <c r="CO327" t="s">
        <v>5474</v>
      </c>
      <c r="CP327" t="s">
        <v>957</v>
      </c>
      <c r="CQ327" t="s">
        <v>5475</v>
      </c>
      <c r="CR327" t="s">
        <v>136</v>
      </c>
      <c r="CS327" t="str">
        <f>HYPERLINK("https://nconnect.nicmar.ac.in/pdf/491_resume_1771752356.pdf/Y2FyZWVy","View Resume")</f>
        <v>0</v>
      </c>
    </row>
    <row r="328" spans="1:97">
      <c r="A328" t="s">
        <v>137</v>
      </c>
      <c r="B328" t="s">
        <v>138</v>
      </c>
      <c r="C328" t="s">
        <v>139</v>
      </c>
      <c r="D328" t="s">
        <v>140</v>
      </c>
      <c r="E328" t="s">
        <v>5476</v>
      </c>
      <c r="F328" t="s">
        <v>5477</v>
      </c>
      <c r="G328">
        <v>7780240623</v>
      </c>
      <c r="H328" t="s">
        <v>103</v>
      </c>
      <c r="I328" t="s">
        <v>5478</v>
      </c>
      <c r="J328" t="s">
        <v>105</v>
      </c>
      <c r="K328" t="s">
        <v>2602</v>
      </c>
      <c r="L328" t="s">
        <v>5479</v>
      </c>
      <c r="M328" t="s">
        <v>5480</v>
      </c>
      <c r="N328" t="s">
        <v>109</v>
      </c>
      <c r="AI328" t="s">
        <v>5481</v>
      </c>
      <c r="AJ328" t="s">
        <v>5482</v>
      </c>
      <c r="AK328" t="s">
        <v>5483</v>
      </c>
      <c r="AL328">
        <v>88</v>
      </c>
      <c r="AN328">
        <v>2009</v>
      </c>
      <c r="AO328" t="s">
        <v>113</v>
      </c>
      <c r="AP328" t="s">
        <v>3634</v>
      </c>
      <c r="AQ328" t="s">
        <v>762</v>
      </c>
      <c r="AR328" t="s">
        <v>4837</v>
      </c>
      <c r="AS328">
        <v>94.9</v>
      </c>
      <c r="AU328">
        <v>2011</v>
      </c>
      <c r="AV328" t="s">
        <v>109</v>
      </c>
      <c r="BC328" t="s">
        <v>113</v>
      </c>
      <c r="BD328" t="s">
        <v>5484</v>
      </c>
      <c r="BE328" t="s">
        <v>5485</v>
      </c>
      <c r="BF328" t="s">
        <v>354</v>
      </c>
      <c r="BG328">
        <v>83.4</v>
      </c>
      <c r="BI328">
        <v>2015</v>
      </c>
      <c r="BJ328">
        <v>1</v>
      </c>
      <c r="BL328">
        <v>9</v>
      </c>
      <c r="BN328" t="s">
        <v>113</v>
      </c>
      <c r="BO328" t="s">
        <v>5486</v>
      </c>
      <c r="BP328" t="s">
        <v>5487</v>
      </c>
      <c r="BQ328" t="s">
        <v>2043</v>
      </c>
      <c r="BR328">
        <v>94</v>
      </c>
      <c r="BT328">
        <v>2019</v>
      </c>
      <c r="BU328">
        <v>14</v>
      </c>
      <c r="BW328">
        <v>47</v>
      </c>
      <c r="BY328" t="s">
        <v>109</v>
      </c>
      <c r="CF328" t="s">
        <v>109</v>
      </c>
      <c r="CJ328">
        <v>2026</v>
      </c>
      <c r="CL328" t="s">
        <v>109</v>
      </c>
      <c r="CN328" t="s">
        <v>109</v>
      </c>
      <c r="CP328" t="s">
        <v>5488</v>
      </c>
      <c r="CQ328" t="s">
        <v>5489</v>
      </c>
      <c r="CR328" t="s">
        <v>136</v>
      </c>
      <c r="CS328" t="str">
        <f>HYPERLINK("https://nconnect.nicmar.ac.in/pdf/311_resume_1771753645.pdf/Y2FyZWVy","View Resume")</f>
        <v>0</v>
      </c>
    </row>
    <row r="329" spans="1:97">
      <c r="A329" t="s">
        <v>137</v>
      </c>
      <c r="B329" t="s">
        <v>138</v>
      </c>
      <c r="C329" t="s">
        <v>139</v>
      </c>
      <c r="D329" t="s">
        <v>140</v>
      </c>
      <c r="E329" t="s">
        <v>5490</v>
      </c>
      <c r="F329" t="s">
        <v>5491</v>
      </c>
      <c r="G329">
        <v>8553336080</v>
      </c>
      <c r="H329" t="s">
        <v>103</v>
      </c>
      <c r="I329" t="s">
        <v>5492</v>
      </c>
      <c r="J329" t="s">
        <v>144</v>
      </c>
      <c r="K329" t="s">
        <v>5493</v>
      </c>
      <c r="L329" t="s">
        <v>5494</v>
      </c>
      <c r="M329" t="s">
        <v>5495</v>
      </c>
      <c r="N329" t="s">
        <v>109</v>
      </c>
      <c r="AI329" t="s">
        <v>5496</v>
      </c>
      <c r="AJ329" t="s">
        <v>5497</v>
      </c>
      <c r="AK329" t="s">
        <v>777</v>
      </c>
      <c r="AL329">
        <v>72</v>
      </c>
      <c r="AN329">
        <v>2014</v>
      </c>
      <c r="AO329" t="s">
        <v>109</v>
      </c>
      <c r="AV329" t="s">
        <v>113</v>
      </c>
      <c r="AW329" t="s">
        <v>5498</v>
      </c>
      <c r="AX329" t="s">
        <v>5499</v>
      </c>
      <c r="AY329" t="s">
        <v>3861</v>
      </c>
      <c r="AZ329">
        <v>68</v>
      </c>
      <c r="BA329">
        <v>6.94</v>
      </c>
      <c r="BB329">
        <v>2017</v>
      </c>
      <c r="BC329" t="s">
        <v>113</v>
      </c>
      <c r="BD329" t="s">
        <v>5500</v>
      </c>
      <c r="BE329" t="s">
        <v>5501</v>
      </c>
      <c r="BF329" t="s">
        <v>3861</v>
      </c>
      <c r="BG329">
        <v>68</v>
      </c>
      <c r="BH329">
        <v>6.84</v>
      </c>
      <c r="BI329">
        <v>2021</v>
      </c>
      <c r="BJ329">
        <v>2</v>
      </c>
      <c r="BL329">
        <v>7</v>
      </c>
      <c r="BN329" t="s">
        <v>113</v>
      </c>
      <c r="BO329" t="s">
        <v>5500</v>
      </c>
      <c r="BP329" t="s">
        <v>5502</v>
      </c>
      <c r="BQ329" t="s">
        <v>3901</v>
      </c>
      <c r="BR329">
        <v>82</v>
      </c>
      <c r="BS329">
        <v>8.4</v>
      </c>
      <c r="BT329">
        <v>2024</v>
      </c>
      <c r="BU329">
        <v>14</v>
      </c>
      <c r="BW329">
        <v>47</v>
      </c>
      <c r="BY329" t="s">
        <v>109</v>
      </c>
      <c r="CF329" t="s">
        <v>109</v>
      </c>
      <c r="CL329" t="s">
        <v>109</v>
      </c>
      <c r="CN329" t="s">
        <v>109</v>
      </c>
      <c r="CP329" t="s">
        <v>5503</v>
      </c>
      <c r="CQ329" t="s">
        <v>5504</v>
      </c>
      <c r="CR329" t="s">
        <v>136</v>
      </c>
      <c r="CS329" t="str">
        <f>HYPERLINK("https://nconnect.nicmar.ac.in/pdf/496_resume_1771759748.png/Y2FyZWVy","View Resume")</f>
        <v>0</v>
      </c>
    </row>
    <row r="330" spans="1:97">
      <c r="A330" t="s">
        <v>3528</v>
      </c>
      <c r="B330" t="s">
        <v>318</v>
      </c>
      <c r="C330" t="s">
        <v>99</v>
      </c>
      <c r="D330" t="s">
        <v>3529</v>
      </c>
      <c r="E330" t="s">
        <v>5505</v>
      </c>
      <c r="F330" t="s">
        <v>5506</v>
      </c>
      <c r="G330">
        <v>9739242977</v>
      </c>
      <c r="H330" t="s">
        <v>103</v>
      </c>
      <c r="I330" t="s">
        <v>5507</v>
      </c>
      <c r="J330" t="s">
        <v>105</v>
      </c>
      <c r="K330" t="s">
        <v>2053</v>
      </c>
      <c r="L330" t="s">
        <v>5508</v>
      </c>
      <c r="M330" t="s">
        <v>5509</v>
      </c>
      <c r="N330" t="s">
        <v>109</v>
      </c>
      <c r="AI330" t="s">
        <v>5510</v>
      </c>
      <c r="AJ330" t="s">
        <v>5511</v>
      </c>
      <c r="AK330" t="s">
        <v>5512</v>
      </c>
      <c r="AL330">
        <v>60</v>
      </c>
      <c r="AN330">
        <v>2004</v>
      </c>
      <c r="AO330" t="s">
        <v>109</v>
      </c>
      <c r="AV330" t="s">
        <v>113</v>
      </c>
      <c r="AW330" t="s">
        <v>1147</v>
      </c>
      <c r="AX330" t="s">
        <v>5513</v>
      </c>
      <c r="AY330" t="s">
        <v>5514</v>
      </c>
      <c r="AZ330">
        <v>64</v>
      </c>
      <c r="BB330">
        <v>2007</v>
      </c>
      <c r="BC330" t="s">
        <v>113</v>
      </c>
      <c r="BD330" t="s">
        <v>5515</v>
      </c>
      <c r="BE330" t="s">
        <v>5516</v>
      </c>
      <c r="BF330" t="s">
        <v>2467</v>
      </c>
      <c r="BG330">
        <v>58</v>
      </c>
      <c r="BI330">
        <v>2011</v>
      </c>
      <c r="BJ330">
        <v>2</v>
      </c>
      <c r="BL330">
        <v>9</v>
      </c>
      <c r="BN330" t="s">
        <v>113</v>
      </c>
      <c r="BO330" t="s">
        <v>5517</v>
      </c>
      <c r="BP330" t="s">
        <v>5517</v>
      </c>
      <c r="BQ330" t="s">
        <v>5518</v>
      </c>
      <c r="BR330">
        <v>69</v>
      </c>
      <c r="BT330">
        <v>2013</v>
      </c>
      <c r="BU330">
        <v>16</v>
      </c>
      <c r="BW330">
        <v>49</v>
      </c>
      <c r="BY330" t="s">
        <v>109</v>
      </c>
      <c r="CF330" t="s">
        <v>113</v>
      </c>
      <c r="CG330" t="s">
        <v>2404</v>
      </c>
      <c r="CH330" t="s">
        <v>720</v>
      </c>
      <c r="CI330" t="s">
        <v>132</v>
      </c>
      <c r="CJ330">
        <v>2023</v>
      </c>
      <c r="CL330" t="s">
        <v>109</v>
      </c>
      <c r="CN330" t="s">
        <v>113</v>
      </c>
      <c r="CO330" t="s">
        <v>5519</v>
      </c>
      <c r="CP330" t="s">
        <v>267</v>
      </c>
      <c r="CQ330" t="s">
        <v>5520</v>
      </c>
      <c r="CR330" t="str">
        <f>HYPERLINK("https://nconnect.nicmar.ac.in/public/storage/profile/6996ca740226d.png","Download")</f>
        <v>0</v>
      </c>
      <c r="CS330" t="str">
        <f>HYPERLINK("https://nconnect.nicmar.ac.in/pdf/173_resume_1771572846.pdf/Y2FyZWVy","View Resume")</f>
        <v>0</v>
      </c>
    </row>
    <row r="331" spans="1:97">
      <c r="A331" t="s">
        <v>702</v>
      </c>
      <c r="B331" t="s">
        <v>138</v>
      </c>
      <c r="C331" t="s">
        <v>703</v>
      </c>
      <c r="D331" t="s">
        <v>704</v>
      </c>
      <c r="E331" t="s">
        <v>5505</v>
      </c>
      <c r="F331" t="s">
        <v>5506</v>
      </c>
      <c r="G331">
        <v>9739242977</v>
      </c>
      <c r="H331" t="s">
        <v>103</v>
      </c>
      <c r="I331" t="s">
        <v>5507</v>
      </c>
      <c r="J331" t="s">
        <v>105</v>
      </c>
      <c r="K331" t="s">
        <v>2053</v>
      </c>
      <c r="L331" t="s">
        <v>5508</v>
      </c>
      <c r="M331" t="s">
        <v>5509</v>
      </c>
      <c r="N331" t="s">
        <v>109</v>
      </c>
      <c r="AI331" t="s">
        <v>5510</v>
      </c>
      <c r="AJ331" t="s">
        <v>5511</v>
      </c>
      <c r="AK331" t="s">
        <v>5512</v>
      </c>
      <c r="AL331">
        <v>60</v>
      </c>
      <c r="AN331">
        <v>2004</v>
      </c>
      <c r="AO331" t="s">
        <v>109</v>
      </c>
      <c r="AV331" t="s">
        <v>113</v>
      </c>
      <c r="AW331" t="s">
        <v>1147</v>
      </c>
      <c r="AX331" t="s">
        <v>5513</v>
      </c>
      <c r="AY331" t="s">
        <v>5514</v>
      </c>
      <c r="AZ331">
        <v>64</v>
      </c>
      <c r="BB331">
        <v>2007</v>
      </c>
      <c r="BC331" t="s">
        <v>113</v>
      </c>
      <c r="BD331" t="s">
        <v>5515</v>
      </c>
      <c r="BE331" t="s">
        <v>5516</v>
      </c>
      <c r="BF331" t="s">
        <v>2467</v>
      </c>
      <c r="BG331">
        <v>58</v>
      </c>
      <c r="BI331">
        <v>2011</v>
      </c>
      <c r="BJ331">
        <v>2</v>
      </c>
      <c r="BL331">
        <v>9</v>
      </c>
      <c r="BN331" t="s">
        <v>113</v>
      </c>
      <c r="BO331" t="s">
        <v>5517</v>
      </c>
      <c r="BP331" t="s">
        <v>5517</v>
      </c>
      <c r="BQ331" t="s">
        <v>5518</v>
      </c>
      <c r="BR331">
        <v>69</v>
      </c>
      <c r="BT331">
        <v>2013</v>
      </c>
      <c r="BU331">
        <v>16</v>
      </c>
      <c r="BW331">
        <v>49</v>
      </c>
      <c r="BY331" t="s">
        <v>109</v>
      </c>
      <c r="CF331" t="s">
        <v>113</v>
      </c>
      <c r="CG331" t="s">
        <v>2404</v>
      </c>
      <c r="CH331" t="s">
        <v>720</v>
      </c>
      <c r="CI331" t="s">
        <v>132</v>
      </c>
      <c r="CJ331">
        <v>2023</v>
      </c>
      <c r="CL331" t="s">
        <v>109</v>
      </c>
      <c r="CN331" t="s">
        <v>113</v>
      </c>
      <c r="CO331" t="s">
        <v>5519</v>
      </c>
      <c r="CP331" t="s">
        <v>267</v>
      </c>
      <c r="CQ331" t="s">
        <v>5520</v>
      </c>
      <c r="CR331" t="str">
        <f>HYPERLINK("https://nconnect.nicmar.ac.in/public/storage/profile/6996ca740226d.png","Download")</f>
        <v>0</v>
      </c>
      <c r="CS331" t="str">
        <f>HYPERLINK("https://nconnect.nicmar.ac.in/pdf/173_resume_1771572846.pdf/Y2FyZWVy","View Resume")</f>
        <v>0</v>
      </c>
    </row>
    <row r="332" spans="1:97">
      <c r="A332" t="s">
        <v>2591</v>
      </c>
      <c r="B332" t="s">
        <v>138</v>
      </c>
      <c r="C332" t="s">
        <v>295</v>
      </c>
      <c r="D332" t="s">
        <v>2592</v>
      </c>
      <c r="E332" t="s">
        <v>2636</v>
      </c>
      <c r="F332" t="s">
        <v>2637</v>
      </c>
      <c r="G332">
        <v>9075412474</v>
      </c>
      <c r="H332" t="s">
        <v>169</v>
      </c>
      <c r="I332" t="s">
        <v>2638</v>
      </c>
      <c r="J332" t="s">
        <v>144</v>
      </c>
      <c r="K332" t="s">
        <v>2639</v>
      </c>
      <c r="L332" t="s">
        <v>2640</v>
      </c>
      <c r="M332" t="s">
        <v>2641</v>
      </c>
      <c r="N332" t="s">
        <v>109</v>
      </c>
      <c r="AI332" t="s">
        <v>2642</v>
      </c>
      <c r="AJ332" t="s">
        <v>1542</v>
      </c>
      <c r="AK332" t="s">
        <v>2643</v>
      </c>
      <c r="AL332">
        <v>93.07</v>
      </c>
      <c r="AN332">
        <v>2008</v>
      </c>
      <c r="AO332" t="s">
        <v>113</v>
      </c>
      <c r="AP332" t="s">
        <v>2644</v>
      </c>
      <c r="AQ332" t="s">
        <v>1542</v>
      </c>
      <c r="AR332" t="s">
        <v>2645</v>
      </c>
      <c r="AS332">
        <v>83.67</v>
      </c>
      <c r="AU332">
        <v>2010</v>
      </c>
      <c r="AV332" t="s">
        <v>109</v>
      </c>
      <c r="BC332" t="s">
        <v>113</v>
      </c>
      <c r="BD332" t="s">
        <v>2646</v>
      </c>
      <c r="BE332" t="s">
        <v>2647</v>
      </c>
      <c r="BF332" t="s">
        <v>309</v>
      </c>
      <c r="BG332">
        <v>76.44</v>
      </c>
      <c r="BH332">
        <v>8.69</v>
      </c>
      <c r="BI332">
        <v>2014</v>
      </c>
      <c r="BJ332">
        <v>2</v>
      </c>
      <c r="BL332">
        <v>9</v>
      </c>
      <c r="BN332" t="s">
        <v>113</v>
      </c>
      <c r="BO332" t="s">
        <v>914</v>
      </c>
      <c r="BP332" t="s">
        <v>2648</v>
      </c>
      <c r="BQ332" t="s">
        <v>2649</v>
      </c>
      <c r="BR332">
        <v>76.4</v>
      </c>
      <c r="BS332">
        <v>7.64</v>
      </c>
      <c r="BT332">
        <v>2017</v>
      </c>
      <c r="BU332">
        <v>12</v>
      </c>
      <c r="BW332">
        <v>13</v>
      </c>
      <c r="BY332" t="s">
        <v>109</v>
      </c>
      <c r="CF332" t="s">
        <v>113</v>
      </c>
      <c r="CG332" t="s">
        <v>309</v>
      </c>
      <c r="CH332" t="s">
        <v>2650</v>
      </c>
      <c r="CI332" t="s">
        <v>132</v>
      </c>
      <c r="CJ332">
        <v>2024</v>
      </c>
      <c r="CL332" t="s">
        <v>113</v>
      </c>
      <c r="CM332" t="s">
        <v>2651</v>
      </c>
      <c r="CN332" t="s">
        <v>113</v>
      </c>
      <c r="CO332" t="s">
        <v>2652</v>
      </c>
      <c r="CP332" t="s">
        <v>2653</v>
      </c>
      <c r="CQ332" t="s">
        <v>5521</v>
      </c>
      <c r="CR332" t="s">
        <v>136</v>
      </c>
      <c r="CS332" t="str">
        <f>HYPERLINK("https://nconnect.nicmar.ac.in/pdf/199_resume_1771510168.pdf/Y2FyZWVy","View Resume")</f>
        <v>0</v>
      </c>
    </row>
    <row r="333" spans="1:97">
      <c r="A333" t="s">
        <v>2595</v>
      </c>
      <c r="B333" t="s">
        <v>2596</v>
      </c>
      <c r="C333" t="s">
        <v>703</v>
      </c>
      <c r="D333" t="s">
        <v>2597</v>
      </c>
      <c r="E333" t="s">
        <v>5522</v>
      </c>
      <c r="F333" t="s">
        <v>5523</v>
      </c>
      <c r="G333">
        <v>9811430566</v>
      </c>
      <c r="H333" t="s">
        <v>103</v>
      </c>
      <c r="I333" t="s">
        <v>5524</v>
      </c>
      <c r="J333" t="s">
        <v>105</v>
      </c>
      <c r="K333" t="s">
        <v>145</v>
      </c>
      <c r="L333" t="s">
        <v>5525</v>
      </c>
      <c r="M333" t="s">
        <v>5526</v>
      </c>
      <c r="N333" t="s">
        <v>109</v>
      </c>
      <c r="AI333" t="s">
        <v>5527</v>
      </c>
      <c r="AJ333" t="s">
        <v>5528</v>
      </c>
      <c r="AK333" t="s">
        <v>5529</v>
      </c>
      <c r="AL333">
        <v>74.6</v>
      </c>
      <c r="AN333">
        <v>1990</v>
      </c>
      <c r="AO333" t="s">
        <v>113</v>
      </c>
      <c r="AP333" t="s">
        <v>5530</v>
      </c>
      <c r="AQ333" t="s">
        <v>5531</v>
      </c>
      <c r="AR333" t="s">
        <v>5532</v>
      </c>
      <c r="AS333">
        <v>76.2</v>
      </c>
      <c r="AU333">
        <v>1992</v>
      </c>
      <c r="AV333" t="s">
        <v>109</v>
      </c>
      <c r="BC333" t="s">
        <v>113</v>
      </c>
      <c r="BD333" t="s">
        <v>5533</v>
      </c>
      <c r="BE333" t="s">
        <v>5534</v>
      </c>
      <c r="BF333" t="s">
        <v>1117</v>
      </c>
      <c r="BG333">
        <v>70.66</v>
      </c>
      <c r="BI333">
        <v>1998</v>
      </c>
      <c r="BJ333">
        <v>8</v>
      </c>
      <c r="BL333">
        <v>2</v>
      </c>
      <c r="BN333" t="s">
        <v>113</v>
      </c>
      <c r="BO333" t="s">
        <v>1132</v>
      </c>
      <c r="BP333" t="s">
        <v>5535</v>
      </c>
      <c r="BQ333" t="s">
        <v>5536</v>
      </c>
      <c r="BR333">
        <v>68.68</v>
      </c>
      <c r="BT333">
        <v>2001</v>
      </c>
      <c r="BU333">
        <v>31</v>
      </c>
      <c r="BV333" t="s">
        <v>5537</v>
      </c>
      <c r="BW333">
        <v>53</v>
      </c>
      <c r="BX333" t="s">
        <v>5538</v>
      </c>
      <c r="BY333" t="s">
        <v>109</v>
      </c>
      <c r="CF333" t="s">
        <v>113</v>
      </c>
      <c r="CG333" t="s">
        <v>3347</v>
      </c>
      <c r="CH333" t="s">
        <v>5539</v>
      </c>
      <c r="CI333" t="s">
        <v>132</v>
      </c>
      <c r="CJ333">
        <v>2019</v>
      </c>
      <c r="CL333" t="s">
        <v>109</v>
      </c>
      <c r="CN333" t="s">
        <v>113</v>
      </c>
      <c r="CO333" t="s">
        <v>5540</v>
      </c>
      <c r="CP333" t="s">
        <v>5541</v>
      </c>
      <c r="CQ333" t="s">
        <v>5542</v>
      </c>
      <c r="CR333" t="str">
        <f>HYPERLINK("https://nconnect.nicmar.ac.in/public/storage/profile/699af50039bf7.png","Download")</f>
        <v>0</v>
      </c>
      <c r="CS333" t="str">
        <f>HYPERLINK("https://nconnect.nicmar.ac.in/pdf/449_resume_1771762491.pdf/Y2FyZWVy","View Resume")</f>
        <v>0</v>
      </c>
    </row>
    <row r="334" spans="1:97">
      <c r="A334" t="s">
        <v>190</v>
      </c>
      <c r="B334" t="s">
        <v>138</v>
      </c>
      <c r="C334" t="s">
        <v>139</v>
      </c>
      <c r="D334" t="s">
        <v>191</v>
      </c>
      <c r="E334" t="s">
        <v>5543</v>
      </c>
      <c r="F334" t="s">
        <v>5544</v>
      </c>
      <c r="G334">
        <v>9657142050</v>
      </c>
      <c r="H334" t="s">
        <v>103</v>
      </c>
      <c r="I334" t="s">
        <v>5545</v>
      </c>
      <c r="J334" t="s">
        <v>105</v>
      </c>
      <c r="K334" t="s">
        <v>1470</v>
      </c>
      <c r="L334" t="s">
        <v>5546</v>
      </c>
      <c r="M334" t="s">
        <v>5547</v>
      </c>
      <c r="N334" t="s">
        <v>109</v>
      </c>
      <c r="AI334" t="s">
        <v>5548</v>
      </c>
      <c r="AJ334" t="s">
        <v>5549</v>
      </c>
      <c r="AK334" t="s">
        <v>2153</v>
      </c>
      <c r="AL334">
        <v>57.73</v>
      </c>
      <c r="AN334">
        <v>2001</v>
      </c>
      <c r="AO334" t="s">
        <v>113</v>
      </c>
      <c r="AP334" t="s">
        <v>5550</v>
      </c>
      <c r="AQ334" t="s">
        <v>5551</v>
      </c>
      <c r="AR334" t="s">
        <v>5552</v>
      </c>
      <c r="AS334">
        <v>55.5</v>
      </c>
      <c r="AU334">
        <v>2003</v>
      </c>
      <c r="AV334" t="s">
        <v>109</v>
      </c>
      <c r="BC334" t="s">
        <v>113</v>
      </c>
      <c r="BD334" t="s">
        <v>5553</v>
      </c>
      <c r="BE334" t="s">
        <v>5554</v>
      </c>
      <c r="BF334" t="s">
        <v>5555</v>
      </c>
      <c r="BG334">
        <v>72.73</v>
      </c>
      <c r="BI334">
        <v>2006</v>
      </c>
      <c r="BJ334">
        <v>19</v>
      </c>
      <c r="BK334" t="s">
        <v>282</v>
      </c>
      <c r="BL334">
        <v>53</v>
      </c>
      <c r="BM334" t="s">
        <v>2079</v>
      </c>
      <c r="BN334" t="s">
        <v>113</v>
      </c>
      <c r="BO334" t="s">
        <v>5553</v>
      </c>
      <c r="BP334" t="s">
        <v>5556</v>
      </c>
      <c r="BQ334" t="s">
        <v>2079</v>
      </c>
      <c r="BR334">
        <v>62.9</v>
      </c>
      <c r="BS334">
        <v>4.2</v>
      </c>
      <c r="BT334">
        <v>2008</v>
      </c>
      <c r="BU334">
        <v>31</v>
      </c>
      <c r="BV334" t="s">
        <v>285</v>
      </c>
      <c r="BW334">
        <v>53</v>
      </c>
      <c r="BX334" t="s">
        <v>2079</v>
      </c>
      <c r="BY334" t="s">
        <v>113</v>
      </c>
      <c r="BZ334" t="s">
        <v>5557</v>
      </c>
      <c r="CA334" t="s">
        <v>5558</v>
      </c>
      <c r="CB334" t="s">
        <v>1775</v>
      </c>
      <c r="CC334">
        <v>57.42</v>
      </c>
      <c r="CE334">
        <v>2010</v>
      </c>
      <c r="CF334" t="s">
        <v>113</v>
      </c>
      <c r="CG334" t="s">
        <v>2079</v>
      </c>
      <c r="CH334" t="s">
        <v>5559</v>
      </c>
      <c r="CI334" t="s">
        <v>132</v>
      </c>
      <c r="CJ334">
        <v>2024</v>
      </c>
      <c r="CL334" t="s">
        <v>113</v>
      </c>
      <c r="CM334" t="s">
        <v>5560</v>
      </c>
      <c r="CN334" t="s">
        <v>109</v>
      </c>
      <c r="CP334" t="s">
        <v>5561</v>
      </c>
      <c r="CQ334" t="s">
        <v>5562</v>
      </c>
      <c r="CR334" t="s">
        <v>136</v>
      </c>
      <c r="CS334" t="str">
        <f>HYPERLINK("https://nconnect.nicmar.ac.in/pdf/500_resume_1771764365.pdf/Y2FyZWVy","View Resume")</f>
        <v>0</v>
      </c>
    </row>
    <row r="335" spans="1:97">
      <c r="A335" t="s">
        <v>702</v>
      </c>
      <c r="B335" t="s">
        <v>138</v>
      </c>
      <c r="C335" t="s">
        <v>703</v>
      </c>
      <c r="D335" t="s">
        <v>704</v>
      </c>
      <c r="E335" t="s">
        <v>5563</v>
      </c>
      <c r="F335" t="s">
        <v>5564</v>
      </c>
      <c r="G335">
        <v>7905136064</v>
      </c>
      <c r="H335" t="s">
        <v>103</v>
      </c>
      <c r="I335" t="s">
        <v>5565</v>
      </c>
      <c r="J335" t="s">
        <v>105</v>
      </c>
      <c r="K335" t="s">
        <v>2053</v>
      </c>
      <c r="L335" t="s">
        <v>5566</v>
      </c>
      <c r="M335" t="s">
        <v>5567</v>
      </c>
      <c r="N335" t="s">
        <v>109</v>
      </c>
      <c r="AI335" t="s">
        <v>5568</v>
      </c>
      <c r="AJ335" t="s">
        <v>5569</v>
      </c>
      <c r="AK335" t="s">
        <v>277</v>
      </c>
      <c r="AL335">
        <v>67.33</v>
      </c>
      <c r="AN335">
        <v>2008</v>
      </c>
      <c r="AO335" t="s">
        <v>113</v>
      </c>
      <c r="AP335" t="s">
        <v>5570</v>
      </c>
      <c r="AQ335" t="s">
        <v>5569</v>
      </c>
      <c r="AR335" t="s">
        <v>668</v>
      </c>
      <c r="AS335">
        <v>55.6</v>
      </c>
      <c r="AU335">
        <v>2011</v>
      </c>
      <c r="AV335" t="s">
        <v>109</v>
      </c>
      <c r="BC335" t="s">
        <v>113</v>
      </c>
      <c r="BD335" t="s">
        <v>1090</v>
      </c>
      <c r="BE335" t="s">
        <v>5571</v>
      </c>
      <c r="BF335" t="s">
        <v>309</v>
      </c>
      <c r="BG335">
        <v>70.38</v>
      </c>
      <c r="BI335">
        <v>2015</v>
      </c>
      <c r="BJ335">
        <v>1</v>
      </c>
      <c r="BL335">
        <v>9</v>
      </c>
      <c r="BN335" t="s">
        <v>113</v>
      </c>
      <c r="BO335" t="s">
        <v>124</v>
      </c>
      <c r="BP335" t="s">
        <v>5572</v>
      </c>
      <c r="BQ335" t="s">
        <v>5573</v>
      </c>
      <c r="BR335">
        <v>63.8</v>
      </c>
      <c r="BT335">
        <v>2021</v>
      </c>
      <c r="BU335">
        <v>8</v>
      </c>
      <c r="BW335">
        <v>50</v>
      </c>
      <c r="BY335" t="s">
        <v>113</v>
      </c>
      <c r="BZ335" t="s">
        <v>124</v>
      </c>
      <c r="CA335" t="s">
        <v>5572</v>
      </c>
      <c r="CB335" t="s">
        <v>5574</v>
      </c>
      <c r="CC335">
        <v>63.89</v>
      </c>
      <c r="CE335">
        <v>2024</v>
      </c>
      <c r="CF335" t="s">
        <v>113</v>
      </c>
      <c r="CG335" t="s">
        <v>5575</v>
      </c>
      <c r="CH335" t="s">
        <v>5576</v>
      </c>
      <c r="CI335" t="s">
        <v>240</v>
      </c>
      <c r="CK335" t="s">
        <v>109</v>
      </c>
      <c r="CL335" t="s">
        <v>113</v>
      </c>
      <c r="CN335" t="s">
        <v>113</v>
      </c>
      <c r="CO335" t="s">
        <v>5577</v>
      </c>
      <c r="CP335" t="s">
        <v>5578</v>
      </c>
      <c r="CQ335" t="s">
        <v>5579</v>
      </c>
      <c r="CR335" t="s">
        <v>136</v>
      </c>
      <c r="CS335" t="str">
        <f>HYPERLINK("https://nconnect.nicmar.ac.in/pdf/503_resume_1771766245.pdf/Y2FyZWVy","View Resume")</f>
        <v>0</v>
      </c>
    </row>
    <row r="336" spans="1:97">
      <c r="A336" t="s">
        <v>3610</v>
      </c>
      <c r="B336" t="s">
        <v>3611</v>
      </c>
      <c r="C336" t="s">
        <v>295</v>
      </c>
      <c r="D336" t="s">
        <v>296</v>
      </c>
      <c r="E336" t="s">
        <v>5563</v>
      </c>
      <c r="F336" t="s">
        <v>5564</v>
      </c>
      <c r="G336">
        <v>7905136064</v>
      </c>
      <c r="H336" t="s">
        <v>103</v>
      </c>
      <c r="I336" t="s">
        <v>5565</v>
      </c>
      <c r="J336" t="s">
        <v>105</v>
      </c>
      <c r="K336" t="s">
        <v>2053</v>
      </c>
      <c r="L336" t="s">
        <v>5566</v>
      </c>
      <c r="M336" t="s">
        <v>5567</v>
      </c>
      <c r="N336" t="s">
        <v>109</v>
      </c>
      <c r="AI336" t="s">
        <v>5568</v>
      </c>
      <c r="AJ336" t="s">
        <v>5569</v>
      </c>
      <c r="AK336" t="s">
        <v>277</v>
      </c>
      <c r="AL336">
        <v>67.33</v>
      </c>
      <c r="AN336">
        <v>2008</v>
      </c>
      <c r="AO336" t="s">
        <v>113</v>
      </c>
      <c r="AP336" t="s">
        <v>5570</v>
      </c>
      <c r="AQ336" t="s">
        <v>5569</v>
      </c>
      <c r="AR336" t="s">
        <v>668</v>
      </c>
      <c r="AS336">
        <v>55.6</v>
      </c>
      <c r="AU336">
        <v>2011</v>
      </c>
      <c r="AV336" t="s">
        <v>109</v>
      </c>
      <c r="BC336" t="s">
        <v>113</v>
      </c>
      <c r="BD336" t="s">
        <v>1090</v>
      </c>
      <c r="BE336" t="s">
        <v>5571</v>
      </c>
      <c r="BF336" t="s">
        <v>309</v>
      </c>
      <c r="BG336">
        <v>70.38</v>
      </c>
      <c r="BI336">
        <v>2015</v>
      </c>
      <c r="BJ336">
        <v>1</v>
      </c>
      <c r="BL336">
        <v>9</v>
      </c>
      <c r="BN336" t="s">
        <v>113</v>
      </c>
      <c r="BO336" t="s">
        <v>124</v>
      </c>
      <c r="BP336" t="s">
        <v>5572</v>
      </c>
      <c r="BQ336" t="s">
        <v>5573</v>
      </c>
      <c r="BR336">
        <v>63.8</v>
      </c>
      <c r="BT336">
        <v>2021</v>
      </c>
      <c r="BU336">
        <v>8</v>
      </c>
      <c r="BW336">
        <v>50</v>
      </c>
      <c r="BY336" t="s">
        <v>113</v>
      </c>
      <c r="BZ336" t="s">
        <v>124</v>
      </c>
      <c r="CA336" t="s">
        <v>5572</v>
      </c>
      <c r="CB336" t="s">
        <v>5574</v>
      </c>
      <c r="CC336">
        <v>63.89</v>
      </c>
      <c r="CE336">
        <v>2024</v>
      </c>
      <c r="CF336" t="s">
        <v>113</v>
      </c>
      <c r="CG336" t="s">
        <v>5575</v>
      </c>
      <c r="CH336" t="s">
        <v>5576</v>
      </c>
      <c r="CI336" t="s">
        <v>240</v>
      </c>
      <c r="CK336" t="s">
        <v>109</v>
      </c>
      <c r="CL336" t="s">
        <v>113</v>
      </c>
      <c r="CN336" t="s">
        <v>113</v>
      </c>
      <c r="CO336" t="s">
        <v>5577</v>
      </c>
      <c r="CP336" t="s">
        <v>5578</v>
      </c>
      <c r="CQ336" t="s">
        <v>5580</v>
      </c>
      <c r="CR336" t="s">
        <v>136</v>
      </c>
      <c r="CS336" t="str">
        <f>HYPERLINK("https://nconnect.nicmar.ac.in/pdf/503_resume_1771766245.pdf/Y2FyZWVy","View Resume")</f>
        <v>0</v>
      </c>
    </row>
    <row r="337" spans="1:97">
      <c r="A337" t="s">
        <v>367</v>
      </c>
      <c r="B337" t="s">
        <v>138</v>
      </c>
      <c r="C337" t="s">
        <v>295</v>
      </c>
      <c r="D337" t="s">
        <v>368</v>
      </c>
      <c r="E337" t="s">
        <v>5563</v>
      </c>
      <c r="F337" t="s">
        <v>5564</v>
      </c>
      <c r="G337">
        <v>7905136064</v>
      </c>
      <c r="H337" t="s">
        <v>103</v>
      </c>
      <c r="I337" t="s">
        <v>5565</v>
      </c>
      <c r="J337" t="s">
        <v>105</v>
      </c>
      <c r="K337" t="s">
        <v>2053</v>
      </c>
      <c r="L337" t="s">
        <v>5566</v>
      </c>
      <c r="M337" t="s">
        <v>5567</v>
      </c>
      <c r="N337" t="s">
        <v>109</v>
      </c>
      <c r="AI337" t="s">
        <v>5568</v>
      </c>
      <c r="AJ337" t="s">
        <v>5569</v>
      </c>
      <c r="AK337" t="s">
        <v>277</v>
      </c>
      <c r="AL337">
        <v>67.33</v>
      </c>
      <c r="AN337">
        <v>2008</v>
      </c>
      <c r="AO337" t="s">
        <v>113</v>
      </c>
      <c r="AP337" t="s">
        <v>5570</v>
      </c>
      <c r="AQ337" t="s">
        <v>5569</v>
      </c>
      <c r="AR337" t="s">
        <v>668</v>
      </c>
      <c r="AS337">
        <v>55.6</v>
      </c>
      <c r="AU337">
        <v>2011</v>
      </c>
      <c r="AV337" t="s">
        <v>109</v>
      </c>
      <c r="BC337" t="s">
        <v>113</v>
      </c>
      <c r="BD337" t="s">
        <v>1090</v>
      </c>
      <c r="BE337" t="s">
        <v>5571</v>
      </c>
      <c r="BF337" t="s">
        <v>309</v>
      </c>
      <c r="BG337">
        <v>70.38</v>
      </c>
      <c r="BI337">
        <v>2015</v>
      </c>
      <c r="BJ337">
        <v>1</v>
      </c>
      <c r="BL337">
        <v>9</v>
      </c>
      <c r="BN337" t="s">
        <v>113</v>
      </c>
      <c r="BO337" t="s">
        <v>124</v>
      </c>
      <c r="BP337" t="s">
        <v>5572</v>
      </c>
      <c r="BQ337" t="s">
        <v>5573</v>
      </c>
      <c r="BR337">
        <v>63.8</v>
      </c>
      <c r="BT337">
        <v>2021</v>
      </c>
      <c r="BU337">
        <v>8</v>
      </c>
      <c r="BW337">
        <v>50</v>
      </c>
      <c r="BY337" t="s">
        <v>113</v>
      </c>
      <c r="BZ337" t="s">
        <v>124</v>
      </c>
      <c r="CA337" t="s">
        <v>5572</v>
      </c>
      <c r="CB337" t="s">
        <v>5574</v>
      </c>
      <c r="CC337">
        <v>63.89</v>
      </c>
      <c r="CE337">
        <v>2024</v>
      </c>
      <c r="CF337" t="s">
        <v>113</v>
      </c>
      <c r="CG337" t="s">
        <v>5575</v>
      </c>
      <c r="CH337" t="s">
        <v>5576</v>
      </c>
      <c r="CI337" t="s">
        <v>240</v>
      </c>
      <c r="CK337" t="s">
        <v>109</v>
      </c>
      <c r="CL337" t="s">
        <v>113</v>
      </c>
      <c r="CN337" t="s">
        <v>113</v>
      </c>
      <c r="CO337" t="s">
        <v>5577</v>
      </c>
      <c r="CP337" t="s">
        <v>5578</v>
      </c>
      <c r="CQ337" t="s">
        <v>5580</v>
      </c>
      <c r="CR337" t="s">
        <v>136</v>
      </c>
      <c r="CS337" t="str">
        <f>HYPERLINK("https://nconnect.nicmar.ac.in/pdf/503_resume_1771766245.pdf/Y2FyZWVy","View Resume")</f>
        <v>0</v>
      </c>
    </row>
    <row r="338" spans="1:97">
      <c r="A338" t="s">
        <v>3528</v>
      </c>
      <c r="B338" t="s">
        <v>318</v>
      </c>
      <c r="C338" t="s">
        <v>99</v>
      </c>
      <c r="D338" t="s">
        <v>3529</v>
      </c>
      <c r="E338" t="s">
        <v>5563</v>
      </c>
      <c r="F338" t="s">
        <v>5564</v>
      </c>
      <c r="G338">
        <v>7905136064</v>
      </c>
      <c r="H338" t="s">
        <v>103</v>
      </c>
      <c r="I338" t="s">
        <v>5565</v>
      </c>
      <c r="J338" t="s">
        <v>105</v>
      </c>
      <c r="K338" t="s">
        <v>2053</v>
      </c>
      <c r="L338" t="s">
        <v>5566</v>
      </c>
      <c r="M338" t="s">
        <v>5567</v>
      </c>
      <c r="N338" t="s">
        <v>109</v>
      </c>
      <c r="AI338" t="s">
        <v>5568</v>
      </c>
      <c r="AJ338" t="s">
        <v>5569</v>
      </c>
      <c r="AK338" t="s">
        <v>277</v>
      </c>
      <c r="AL338">
        <v>67.33</v>
      </c>
      <c r="AN338">
        <v>2008</v>
      </c>
      <c r="AO338" t="s">
        <v>113</v>
      </c>
      <c r="AP338" t="s">
        <v>5570</v>
      </c>
      <c r="AQ338" t="s">
        <v>5569</v>
      </c>
      <c r="AR338" t="s">
        <v>668</v>
      </c>
      <c r="AS338">
        <v>55.6</v>
      </c>
      <c r="AU338">
        <v>2011</v>
      </c>
      <c r="AV338" t="s">
        <v>109</v>
      </c>
      <c r="BC338" t="s">
        <v>113</v>
      </c>
      <c r="BD338" t="s">
        <v>1090</v>
      </c>
      <c r="BE338" t="s">
        <v>5571</v>
      </c>
      <c r="BF338" t="s">
        <v>309</v>
      </c>
      <c r="BG338">
        <v>70.38</v>
      </c>
      <c r="BI338">
        <v>2015</v>
      </c>
      <c r="BJ338">
        <v>1</v>
      </c>
      <c r="BL338">
        <v>9</v>
      </c>
      <c r="BN338" t="s">
        <v>113</v>
      </c>
      <c r="BO338" t="s">
        <v>124</v>
      </c>
      <c r="BP338" t="s">
        <v>5572</v>
      </c>
      <c r="BQ338" t="s">
        <v>5573</v>
      </c>
      <c r="BR338">
        <v>63.8</v>
      </c>
      <c r="BT338">
        <v>2021</v>
      </c>
      <c r="BU338">
        <v>8</v>
      </c>
      <c r="BW338">
        <v>50</v>
      </c>
      <c r="BY338" t="s">
        <v>113</v>
      </c>
      <c r="BZ338" t="s">
        <v>124</v>
      </c>
      <c r="CA338" t="s">
        <v>5572</v>
      </c>
      <c r="CB338" t="s">
        <v>5574</v>
      </c>
      <c r="CC338">
        <v>63.89</v>
      </c>
      <c r="CE338">
        <v>2024</v>
      </c>
      <c r="CF338" t="s">
        <v>113</v>
      </c>
      <c r="CG338" t="s">
        <v>5575</v>
      </c>
      <c r="CH338" t="s">
        <v>5576</v>
      </c>
      <c r="CI338" t="s">
        <v>240</v>
      </c>
      <c r="CK338" t="s">
        <v>109</v>
      </c>
      <c r="CL338" t="s">
        <v>113</v>
      </c>
      <c r="CN338" t="s">
        <v>113</v>
      </c>
      <c r="CO338" t="s">
        <v>5577</v>
      </c>
      <c r="CP338" t="s">
        <v>5578</v>
      </c>
      <c r="CQ338" t="s">
        <v>5581</v>
      </c>
      <c r="CR338" t="s">
        <v>136</v>
      </c>
      <c r="CS338" t="str">
        <f>HYPERLINK("https://nconnect.nicmar.ac.in/pdf/503_resume_1771766245.pdf/Y2FyZWVy","View Resume")</f>
        <v>0</v>
      </c>
    </row>
    <row r="339" spans="1:97">
      <c r="A339" t="s">
        <v>521</v>
      </c>
      <c r="B339" t="s">
        <v>138</v>
      </c>
      <c r="C339" t="s">
        <v>165</v>
      </c>
      <c r="D339" t="s">
        <v>522</v>
      </c>
      <c r="E339" t="s">
        <v>5582</v>
      </c>
      <c r="F339" t="s">
        <v>5583</v>
      </c>
      <c r="G339">
        <v>9359809742</v>
      </c>
      <c r="H339" t="s">
        <v>169</v>
      </c>
      <c r="I339" t="s">
        <v>5584</v>
      </c>
      <c r="J339" t="s">
        <v>105</v>
      </c>
      <c r="K339" t="s">
        <v>145</v>
      </c>
      <c r="L339" t="s">
        <v>5585</v>
      </c>
      <c r="M339" t="s">
        <v>5586</v>
      </c>
      <c r="N339" t="s">
        <v>109</v>
      </c>
      <c r="AI339" t="s">
        <v>5587</v>
      </c>
      <c r="AJ339" t="s">
        <v>5588</v>
      </c>
      <c r="AK339" t="s">
        <v>5589</v>
      </c>
      <c r="AL339">
        <v>85.14</v>
      </c>
      <c r="AN339">
        <v>1995</v>
      </c>
      <c r="AO339" t="s">
        <v>113</v>
      </c>
      <c r="AP339" t="s">
        <v>5590</v>
      </c>
      <c r="AQ339" t="s">
        <v>5591</v>
      </c>
      <c r="AR339" t="s">
        <v>5592</v>
      </c>
      <c r="AS339">
        <v>65.83</v>
      </c>
      <c r="AU339">
        <v>1997</v>
      </c>
      <c r="AV339" t="s">
        <v>109</v>
      </c>
      <c r="BC339" t="s">
        <v>113</v>
      </c>
      <c r="BD339" t="s">
        <v>5593</v>
      </c>
      <c r="BE339" t="s">
        <v>5594</v>
      </c>
      <c r="BF339" t="s">
        <v>5595</v>
      </c>
      <c r="BG339">
        <v>55.55</v>
      </c>
      <c r="BI339">
        <v>2000</v>
      </c>
      <c r="BJ339">
        <v>19</v>
      </c>
      <c r="BK339" t="s">
        <v>282</v>
      </c>
      <c r="BL339">
        <v>53</v>
      </c>
      <c r="BN339" t="s">
        <v>113</v>
      </c>
      <c r="BO339" t="s">
        <v>5593</v>
      </c>
      <c r="BP339" t="s">
        <v>5596</v>
      </c>
      <c r="BQ339" t="s">
        <v>5597</v>
      </c>
      <c r="BR339">
        <v>66.91</v>
      </c>
      <c r="BT339">
        <v>2004</v>
      </c>
      <c r="BU339">
        <v>31</v>
      </c>
      <c r="BV339" t="s">
        <v>5598</v>
      </c>
      <c r="BW339">
        <v>11</v>
      </c>
      <c r="BY339" t="s">
        <v>113</v>
      </c>
      <c r="BZ339" t="s">
        <v>5599</v>
      </c>
      <c r="CA339" t="s">
        <v>5600</v>
      </c>
      <c r="CB339" t="s">
        <v>5601</v>
      </c>
      <c r="CC339">
        <v>72.63</v>
      </c>
      <c r="CE339">
        <v>2024</v>
      </c>
      <c r="CF339" t="s">
        <v>113</v>
      </c>
      <c r="CG339" t="s">
        <v>5602</v>
      </c>
      <c r="CH339" t="s">
        <v>5603</v>
      </c>
      <c r="CI339" t="s">
        <v>240</v>
      </c>
      <c r="CK339" t="s">
        <v>109</v>
      </c>
      <c r="CL339" t="s">
        <v>113</v>
      </c>
      <c r="CM339" t="s">
        <v>5604</v>
      </c>
      <c r="CN339" t="s">
        <v>113</v>
      </c>
      <c r="CO339" t="s">
        <v>5605</v>
      </c>
      <c r="CP339" t="s">
        <v>5606</v>
      </c>
      <c r="CQ339" t="s">
        <v>5607</v>
      </c>
      <c r="CR339" t="str">
        <f>HYPERLINK("https://nconnect.nicmar.ac.in/public/storage/profile/699abaf068999.png","Download")</f>
        <v>0</v>
      </c>
      <c r="CS339" t="str">
        <f>HYPERLINK("https://nconnect.nicmar.ac.in/pdf/501_resume_1771766861.pdf/Y2FyZWVy","View Resume")</f>
        <v>0</v>
      </c>
    </row>
    <row r="340" spans="1:97">
      <c r="A340" t="s">
        <v>137</v>
      </c>
      <c r="B340" t="s">
        <v>138</v>
      </c>
      <c r="C340" t="s">
        <v>139</v>
      </c>
      <c r="D340" t="s">
        <v>140</v>
      </c>
      <c r="E340" t="s">
        <v>5608</v>
      </c>
      <c r="F340" t="s">
        <v>5609</v>
      </c>
      <c r="G340">
        <v>9956065784</v>
      </c>
      <c r="H340" t="s">
        <v>103</v>
      </c>
      <c r="I340" t="s">
        <v>5610</v>
      </c>
      <c r="J340" t="s">
        <v>144</v>
      </c>
      <c r="K340" t="s">
        <v>505</v>
      </c>
      <c r="L340" t="s">
        <v>5611</v>
      </c>
      <c r="M340" t="s">
        <v>5612</v>
      </c>
      <c r="N340" t="s">
        <v>109</v>
      </c>
      <c r="AI340" t="s">
        <v>5613</v>
      </c>
      <c r="AJ340" t="s">
        <v>2189</v>
      </c>
      <c r="AK340" t="s">
        <v>5614</v>
      </c>
      <c r="AL340">
        <v>74.33</v>
      </c>
      <c r="AN340">
        <v>2009</v>
      </c>
      <c r="AO340" t="s">
        <v>113</v>
      </c>
      <c r="AP340" t="s">
        <v>5615</v>
      </c>
      <c r="AQ340" t="s">
        <v>2189</v>
      </c>
      <c r="AR340" t="s">
        <v>5616</v>
      </c>
      <c r="AS340">
        <v>77.8</v>
      </c>
      <c r="AU340">
        <v>2011</v>
      </c>
      <c r="AV340" t="s">
        <v>109</v>
      </c>
      <c r="BC340" t="s">
        <v>113</v>
      </c>
      <c r="BD340" t="s">
        <v>5617</v>
      </c>
      <c r="BE340" t="s">
        <v>5617</v>
      </c>
      <c r="BF340" t="s">
        <v>309</v>
      </c>
      <c r="BG340">
        <v>73.8</v>
      </c>
      <c r="BH340">
        <v>7.38</v>
      </c>
      <c r="BI340">
        <v>2016</v>
      </c>
      <c r="BJ340">
        <v>1</v>
      </c>
      <c r="BL340">
        <v>9</v>
      </c>
      <c r="BN340" t="s">
        <v>113</v>
      </c>
      <c r="BO340" t="s">
        <v>5618</v>
      </c>
      <c r="BP340" t="s">
        <v>5618</v>
      </c>
      <c r="BQ340" t="s">
        <v>140</v>
      </c>
      <c r="BR340">
        <v>84.6</v>
      </c>
      <c r="BS340">
        <v>8.46</v>
      </c>
      <c r="BT340">
        <v>2019</v>
      </c>
      <c r="BU340">
        <v>14</v>
      </c>
      <c r="BW340">
        <v>47</v>
      </c>
      <c r="BY340" t="s">
        <v>109</v>
      </c>
      <c r="CF340" t="s">
        <v>113</v>
      </c>
      <c r="CG340" t="s">
        <v>140</v>
      </c>
      <c r="CH340" t="s">
        <v>2767</v>
      </c>
      <c r="CI340" t="s">
        <v>132</v>
      </c>
      <c r="CJ340">
        <v>2025</v>
      </c>
      <c r="CL340" t="s">
        <v>109</v>
      </c>
      <c r="CN340" t="s">
        <v>113</v>
      </c>
      <c r="CO340" t="s">
        <v>5619</v>
      </c>
      <c r="CP340" t="s">
        <v>5620</v>
      </c>
      <c r="CQ340" t="s">
        <v>5621</v>
      </c>
      <c r="CR340" t="str">
        <f>HYPERLINK("https://nconnect.nicmar.ac.in/public/storage/profile/699affab53f75.png","Download")</f>
        <v>0</v>
      </c>
      <c r="CS340" t="str">
        <f>HYPERLINK("https://nconnect.nicmar.ac.in/pdf/504_resume_1771767992.pdf/Y2FyZWVy","View Resume")</f>
        <v>0</v>
      </c>
    </row>
    <row r="341" spans="1:97">
      <c r="A341" t="s">
        <v>97</v>
      </c>
      <c r="B341" t="s">
        <v>98</v>
      </c>
      <c r="C341" t="s">
        <v>99</v>
      </c>
      <c r="D341" t="s">
        <v>100</v>
      </c>
      <c r="E341" t="s">
        <v>5622</v>
      </c>
      <c r="F341" t="s">
        <v>5623</v>
      </c>
      <c r="G341">
        <v>9867583332</v>
      </c>
      <c r="H341" t="s">
        <v>103</v>
      </c>
      <c r="I341" t="s">
        <v>5624</v>
      </c>
      <c r="J341" t="s">
        <v>105</v>
      </c>
      <c r="K341" t="s">
        <v>440</v>
      </c>
      <c r="L341" t="s">
        <v>5625</v>
      </c>
      <c r="M341" t="s">
        <v>5626</v>
      </c>
      <c r="N341" t="s">
        <v>109</v>
      </c>
      <c r="AI341" t="s">
        <v>5627</v>
      </c>
      <c r="AJ341" t="s">
        <v>5628</v>
      </c>
      <c r="AK341" t="s">
        <v>5629</v>
      </c>
      <c r="AL341">
        <v>91.28</v>
      </c>
      <c r="AN341">
        <v>1987</v>
      </c>
      <c r="AO341" t="s">
        <v>113</v>
      </c>
      <c r="AP341" t="s">
        <v>5630</v>
      </c>
      <c r="AQ341" t="s">
        <v>914</v>
      </c>
      <c r="AR341" t="s">
        <v>1425</v>
      </c>
      <c r="AS341">
        <v>86.17</v>
      </c>
      <c r="AU341">
        <v>1989</v>
      </c>
      <c r="AV341" t="s">
        <v>109</v>
      </c>
      <c r="BC341" t="s">
        <v>113</v>
      </c>
      <c r="BD341" t="s">
        <v>860</v>
      </c>
      <c r="BE341" t="s">
        <v>5631</v>
      </c>
      <c r="BF341" t="s">
        <v>5632</v>
      </c>
      <c r="BG341">
        <v>63</v>
      </c>
      <c r="BI341">
        <v>1993</v>
      </c>
      <c r="BJ341">
        <v>19</v>
      </c>
      <c r="BK341" t="s">
        <v>5632</v>
      </c>
      <c r="BL341">
        <v>53</v>
      </c>
      <c r="BM341" t="s">
        <v>5633</v>
      </c>
      <c r="BN341" t="s">
        <v>113</v>
      </c>
      <c r="BO341" t="s">
        <v>914</v>
      </c>
      <c r="BP341" t="s">
        <v>5634</v>
      </c>
      <c r="BQ341" t="s">
        <v>5635</v>
      </c>
      <c r="BR341">
        <v>63</v>
      </c>
      <c r="BT341">
        <v>1999</v>
      </c>
      <c r="BU341">
        <v>31</v>
      </c>
      <c r="BV341" t="s">
        <v>5636</v>
      </c>
      <c r="BW341">
        <v>53</v>
      </c>
      <c r="BX341" t="s">
        <v>5635</v>
      </c>
      <c r="BY341" t="s">
        <v>109</v>
      </c>
      <c r="CF341" t="s">
        <v>113</v>
      </c>
      <c r="CG341" t="s">
        <v>841</v>
      </c>
      <c r="CH341" t="s">
        <v>5637</v>
      </c>
      <c r="CI341" t="s">
        <v>240</v>
      </c>
      <c r="CK341" t="s">
        <v>109</v>
      </c>
      <c r="CL341" t="s">
        <v>113</v>
      </c>
      <c r="CM341" t="s">
        <v>5638</v>
      </c>
      <c r="CN341" t="s">
        <v>113</v>
      </c>
      <c r="CO341" t="s">
        <v>5639</v>
      </c>
      <c r="CP341" t="s">
        <v>5640</v>
      </c>
      <c r="CQ341" t="s">
        <v>5641</v>
      </c>
      <c r="CR341" t="s">
        <v>136</v>
      </c>
      <c r="CS341" t="str">
        <f>HYPERLINK("https://nconnect.nicmar.ac.in/pdf/505_resume_1771768275.pdf/Y2FyZWVy","View Resume")</f>
        <v>0</v>
      </c>
    </row>
    <row r="342" spans="1:97">
      <c r="A342" t="s">
        <v>97</v>
      </c>
      <c r="B342" t="s">
        <v>98</v>
      </c>
      <c r="C342" t="s">
        <v>99</v>
      </c>
      <c r="D342" t="s">
        <v>100</v>
      </c>
      <c r="E342" t="s">
        <v>5642</v>
      </c>
      <c r="F342" t="s">
        <v>5643</v>
      </c>
      <c r="G342">
        <v>9967031609</v>
      </c>
      <c r="H342" t="s">
        <v>103</v>
      </c>
      <c r="I342" t="s">
        <v>5644</v>
      </c>
      <c r="J342" t="s">
        <v>144</v>
      </c>
      <c r="K342" t="s">
        <v>5645</v>
      </c>
      <c r="L342" t="s">
        <v>5646</v>
      </c>
      <c r="M342" t="s">
        <v>5647</v>
      </c>
      <c r="N342" t="s">
        <v>109</v>
      </c>
      <c r="AI342" t="s">
        <v>5648</v>
      </c>
      <c r="AJ342" t="s">
        <v>5649</v>
      </c>
      <c r="AK342" t="s">
        <v>5650</v>
      </c>
      <c r="AL342">
        <v>55</v>
      </c>
      <c r="AN342">
        <v>1973</v>
      </c>
      <c r="AO342" t="s">
        <v>113</v>
      </c>
      <c r="AP342" t="s">
        <v>5651</v>
      </c>
      <c r="AQ342" t="s">
        <v>5651</v>
      </c>
      <c r="AR342" t="s">
        <v>5652</v>
      </c>
      <c r="AS342">
        <v>60</v>
      </c>
      <c r="AU342">
        <v>1980</v>
      </c>
      <c r="AV342" t="s">
        <v>113</v>
      </c>
      <c r="AW342" t="s">
        <v>5653</v>
      </c>
      <c r="AX342" t="s">
        <v>5654</v>
      </c>
      <c r="AY342" t="s">
        <v>5655</v>
      </c>
      <c r="AZ342">
        <v>57</v>
      </c>
      <c r="BB342">
        <v>1984</v>
      </c>
      <c r="BC342" t="s">
        <v>113</v>
      </c>
      <c r="BD342" t="s">
        <v>5656</v>
      </c>
      <c r="BE342" t="s">
        <v>5657</v>
      </c>
      <c r="BF342" t="s">
        <v>5658</v>
      </c>
      <c r="BG342">
        <v>48</v>
      </c>
      <c r="BI342">
        <v>1983</v>
      </c>
      <c r="BJ342">
        <v>19</v>
      </c>
      <c r="BK342" t="s">
        <v>5656</v>
      </c>
      <c r="BL342">
        <v>23</v>
      </c>
      <c r="BN342" t="s">
        <v>109</v>
      </c>
      <c r="BY342" t="s">
        <v>113</v>
      </c>
      <c r="BZ342" t="s">
        <v>5659</v>
      </c>
      <c r="CA342" t="s">
        <v>5659</v>
      </c>
      <c r="CB342" t="s">
        <v>841</v>
      </c>
      <c r="CC342">
        <v>61.4</v>
      </c>
      <c r="CE342">
        <v>1986</v>
      </c>
      <c r="CF342" t="s">
        <v>109</v>
      </c>
      <c r="CL342" t="s">
        <v>113</v>
      </c>
      <c r="CN342" t="s">
        <v>113</v>
      </c>
      <c r="CO342" t="s">
        <v>5660</v>
      </c>
      <c r="CP342" t="s">
        <v>460</v>
      </c>
      <c r="CQ342" t="s">
        <v>5661</v>
      </c>
      <c r="CR342" t="str">
        <f>HYPERLINK("https://nconnect.nicmar.ac.in/public/storage/profile/699af04d211fc.png","Download")</f>
        <v>0</v>
      </c>
      <c r="CS342" t="str">
        <f>HYPERLINK("https://nconnect.nicmar.ac.in/pdf/493_resume_1771769308.pdf/Y2FyZWVy","View Resume")</f>
        <v>0</v>
      </c>
    </row>
    <row r="343" spans="1:97">
      <c r="A343" t="s">
        <v>846</v>
      </c>
      <c r="B343" t="s">
        <v>138</v>
      </c>
      <c r="C343" t="s">
        <v>165</v>
      </c>
      <c r="D343" t="s">
        <v>847</v>
      </c>
      <c r="E343" t="s">
        <v>5662</v>
      </c>
      <c r="F343" t="s">
        <v>5663</v>
      </c>
      <c r="G343">
        <v>9518781131</v>
      </c>
      <c r="H343" t="s">
        <v>169</v>
      </c>
      <c r="I343" t="s">
        <v>5664</v>
      </c>
      <c r="J343" t="s">
        <v>144</v>
      </c>
      <c r="K343" t="s">
        <v>5665</v>
      </c>
      <c r="L343" t="s">
        <v>5666</v>
      </c>
      <c r="M343" t="s">
        <v>5667</v>
      </c>
      <c r="N343" t="s">
        <v>109</v>
      </c>
      <c r="AI343" t="s">
        <v>5668</v>
      </c>
      <c r="AJ343" t="s">
        <v>5669</v>
      </c>
      <c r="AK343" t="s">
        <v>5670</v>
      </c>
      <c r="AL343">
        <v>90</v>
      </c>
      <c r="AN343">
        <v>2017</v>
      </c>
      <c r="AO343" t="s">
        <v>113</v>
      </c>
      <c r="AP343" t="s">
        <v>5671</v>
      </c>
      <c r="AQ343" t="s">
        <v>5672</v>
      </c>
      <c r="AR343" t="s">
        <v>5673</v>
      </c>
      <c r="AS343">
        <v>77</v>
      </c>
      <c r="AU343">
        <v>2019</v>
      </c>
      <c r="AV343" t="s">
        <v>109</v>
      </c>
      <c r="BC343" t="s">
        <v>113</v>
      </c>
      <c r="BD343" t="s">
        <v>3292</v>
      </c>
      <c r="BE343" t="s">
        <v>5674</v>
      </c>
      <c r="BF343" t="s">
        <v>3447</v>
      </c>
      <c r="BG343">
        <v>87.58</v>
      </c>
      <c r="BI343">
        <v>2022</v>
      </c>
      <c r="BJ343">
        <v>19</v>
      </c>
      <c r="BK343" t="s">
        <v>5675</v>
      </c>
      <c r="BL343">
        <v>17</v>
      </c>
      <c r="BN343" t="s">
        <v>113</v>
      </c>
      <c r="BO343" t="s">
        <v>3292</v>
      </c>
      <c r="BP343" t="s">
        <v>5674</v>
      </c>
      <c r="BQ343" t="s">
        <v>1071</v>
      </c>
      <c r="BR343">
        <v>66.81</v>
      </c>
      <c r="BT343">
        <v>2024</v>
      </c>
      <c r="BU343">
        <v>31</v>
      </c>
      <c r="BV343" t="s">
        <v>5676</v>
      </c>
      <c r="BW343">
        <v>17</v>
      </c>
      <c r="BY343" t="s">
        <v>109</v>
      </c>
      <c r="CF343" t="s">
        <v>113</v>
      </c>
      <c r="CG343" t="s">
        <v>1071</v>
      </c>
      <c r="CH343" t="s">
        <v>5677</v>
      </c>
      <c r="CI343" t="s">
        <v>240</v>
      </c>
      <c r="CK343" t="s">
        <v>109</v>
      </c>
      <c r="CL343" t="s">
        <v>113</v>
      </c>
      <c r="CM343" t="s">
        <v>5678</v>
      </c>
      <c r="CN343" t="s">
        <v>113</v>
      </c>
      <c r="CO343" t="s">
        <v>5679</v>
      </c>
      <c r="CP343" t="s">
        <v>5670</v>
      </c>
      <c r="CQ343" t="s">
        <v>5680</v>
      </c>
      <c r="CR343" t="s">
        <v>136</v>
      </c>
      <c r="CS343" t="str">
        <f>HYPERLINK("https://nconnect.nicmar.ac.in/pdf/497_resume_1771770070.pdf/Y2FyZWVy","View Resume")</f>
        <v>0</v>
      </c>
    </row>
    <row r="344" spans="1:97">
      <c r="A344" t="s">
        <v>223</v>
      </c>
      <c r="B344" t="s">
        <v>138</v>
      </c>
      <c r="C344" t="s">
        <v>165</v>
      </c>
      <c r="D344" t="s">
        <v>224</v>
      </c>
      <c r="E344" t="s">
        <v>5662</v>
      </c>
      <c r="F344" t="s">
        <v>5663</v>
      </c>
      <c r="G344">
        <v>9518781131</v>
      </c>
      <c r="H344" t="s">
        <v>169</v>
      </c>
      <c r="I344" t="s">
        <v>5664</v>
      </c>
      <c r="J344" t="s">
        <v>144</v>
      </c>
      <c r="K344" t="s">
        <v>5665</v>
      </c>
      <c r="L344" t="s">
        <v>5666</v>
      </c>
      <c r="M344" t="s">
        <v>5667</v>
      </c>
      <c r="N344" t="s">
        <v>109</v>
      </c>
      <c r="AI344" t="s">
        <v>5668</v>
      </c>
      <c r="AJ344" t="s">
        <v>5669</v>
      </c>
      <c r="AK344" t="s">
        <v>5670</v>
      </c>
      <c r="AL344">
        <v>90</v>
      </c>
      <c r="AN344">
        <v>2017</v>
      </c>
      <c r="AO344" t="s">
        <v>113</v>
      </c>
      <c r="AP344" t="s">
        <v>5671</v>
      </c>
      <c r="AQ344" t="s">
        <v>5672</v>
      </c>
      <c r="AR344" t="s">
        <v>5673</v>
      </c>
      <c r="AS344">
        <v>77</v>
      </c>
      <c r="AU344">
        <v>2019</v>
      </c>
      <c r="AV344" t="s">
        <v>109</v>
      </c>
      <c r="BC344" t="s">
        <v>113</v>
      </c>
      <c r="BD344" t="s">
        <v>3292</v>
      </c>
      <c r="BE344" t="s">
        <v>5674</v>
      </c>
      <c r="BF344" t="s">
        <v>3447</v>
      </c>
      <c r="BG344">
        <v>87.58</v>
      </c>
      <c r="BI344">
        <v>2022</v>
      </c>
      <c r="BJ344">
        <v>19</v>
      </c>
      <c r="BK344" t="s">
        <v>5675</v>
      </c>
      <c r="BL344">
        <v>17</v>
      </c>
      <c r="BN344" t="s">
        <v>113</v>
      </c>
      <c r="BO344" t="s">
        <v>3292</v>
      </c>
      <c r="BP344" t="s">
        <v>5674</v>
      </c>
      <c r="BQ344" t="s">
        <v>1071</v>
      </c>
      <c r="BR344">
        <v>66.81</v>
      </c>
      <c r="BT344">
        <v>2024</v>
      </c>
      <c r="BU344">
        <v>31</v>
      </c>
      <c r="BV344" t="s">
        <v>5676</v>
      </c>
      <c r="BW344">
        <v>17</v>
      </c>
      <c r="BY344" t="s">
        <v>109</v>
      </c>
      <c r="CF344" t="s">
        <v>113</v>
      </c>
      <c r="CG344" t="s">
        <v>1071</v>
      </c>
      <c r="CH344" t="s">
        <v>5677</v>
      </c>
      <c r="CI344" t="s">
        <v>240</v>
      </c>
      <c r="CK344" t="s">
        <v>109</v>
      </c>
      <c r="CL344" t="s">
        <v>113</v>
      </c>
      <c r="CM344" t="s">
        <v>5678</v>
      </c>
      <c r="CN344" t="s">
        <v>113</v>
      </c>
      <c r="CO344" t="s">
        <v>5679</v>
      </c>
      <c r="CP344" t="s">
        <v>5670</v>
      </c>
      <c r="CQ344" t="s">
        <v>5681</v>
      </c>
      <c r="CR344" t="s">
        <v>136</v>
      </c>
      <c r="CS344" t="str">
        <f>HYPERLINK("https://nconnect.nicmar.ac.in/pdf/497_resume_1771770070.pdf/Y2FyZWVy","View Resume")</f>
        <v>0</v>
      </c>
    </row>
    <row r="345" spans="1:97">
      <c r="A345" t="s">
        <v>1203</v>
      </c>
      <c r="B345" t="s">
        <v>138</v>
      </c>
      <c r="C345" t="s">
        <v>165</v>
      </c>
      <c r="D345" t="s">
        <v>1204</v>
      </c>
      <c r="E345" t="s">
        <v>5662</v>
      </c>
      <c r="F345" t="s">
        <v>5663</v>
      </c>
      <c r="G345">
        <v>9518781131</v>
      </c>
      <c r="H345" t="s">
        <v>169</v>
      </c>
      <c r="I345" t="s">
        <v>5664</v>
      </c>
      <c r="J345" t="s">
        <v>144</v>
      </c>
      <c r="K345" t="s">
        <v>5665</v>
      </c>
      <c r="L345" t="s">
        <v>5666</v>
      </c>
      <c r="M345" t="s">
        <v>5667</v>
      </c>
      <c r="N345" t="s">
        <v>109</v>
      </c>
      <c r="AI345" t="s">
        <v>5668</v>
      </c>
      <c r="AJ345" t="s">
        <v>5669</v>
      </c>
      <c r="AK345" t="s">
        <v>5670</v>
      </c>
      <c r="AL345">
        <v>90</v>
      </c>
      <c r="AN345">
        <v>2017</v>
      </c>
      <c r="AO345" t="s">
        <v>113</v>
      </c>
      <c r="AP345" t="s">
        <v>5671</v>
      </c>
      <c r="AQ345" t="s">
        <v>5672</v>
      </c>
      <c r="AR345" t="s">
        <v>5673</v>
      </c>
      <c r="AS345">
        <v>77</v>
      </c>
      <c r="AU345">
        <v>2019</v>
      </c>
      <c r="AV345" t="s">
        <v>109</v>
      </c>
      <c r="BC345" t="s">
        <v>113</v>
      </c>
      <c r="BD345" t="s">
        <v>3292</v>
      </c>
      <c r="BE345" t="s">
        <v>5674</v>
      </c>
      <c r="BF345" t="s">
        <v>3447</v>
      </c>
      <c r="BG345">
        <v>87.58</v>
      </c>
      <c r="BI345">
        <v>2022</v>
      </c>
      <c r="BJ345">
        <v>19</v>
      </c>
      <c r="BK345" t="s">
        <v>5675</v>
      </c>
      <c r="BL345">
        <v>17</v>
      </c>
      <c r="BN345" t="s">
        <v>113</v>
      </c>
      <c r="BO345" t="s">
        <v>3292</v>
      </c>
      <c r="BP345" t="s">
        <v>5674</v>
      </c>
      <c r="BQ345" t="s">
        <v>1071</v>
      </c>
      <c r="BR345">
        <v>66.81</v>
      </c>
      <c r="BT345">
        <v>2024</v>
      </c>
      <c r="BU345">
        <v>31</v>
      </c>
      <c r="BV345" t="s">
        <v>5676</v>
      </c>
      <c r="BW345">
        <v>17</v>
      </c>
      <c r="BY345" t="s">
        <v>109</v>
      </c>
      <c r="CF345" t="s">
        <v>113</v>
      </c>
      <c r="CG345" t="s">
        <v>1071</v>
      </c>
      <c r="CH345" t="s">
        <v>5677</v>
      </c>
      <c r="CI345" t="s">
        <v>240</v>
      </c>
      <c r="CK345" t="s">
        <v>109</v>
      </c>
      <c r="CL345" t="s">
        <v>113</v>
      </c>
      <c r="CM345" t="s">
        <v>5678</v>
      </c>
      <c r="CN345" t="s">
        <v>113</v>
      </c>
      <c r="CO345" t="s">
        <v>5679</v>
      </c>
      <c r="CP345" t="s">
        <v>5670</v>
      </c>
      <c r="CQ345" t="s">
        <v>5682</v>
      </c>
      <c r="CR345" t="s">
        <v>136</v>
      </c>
      <c r="CS345" t="str">
        <f>HYPERLINK("https://nconnect.nicmar.ac.in/pdf/497_resume_1771770070.pdf/Y2FyZWVy","View Resume")</f>
        <v>0</v>
      </c>
    </row>
    <row r="346" spans="1:97">
      <c r="A346" t="s">
        <v>702</v>
      </c>
      <c r="B346" t="s">
        <v>138</v>
      </c>
      <c r="C346" t="s">
        <v>703</v>
      </c>
      <c r="D346" t="s">
        <v>704</v>
      </c>
      <c r="E346" t="s">
        <v>5683</v>
      </c>
      <c r="F346" t="s">
        <v>5684</v>
      </c>
      <c r="G346">
        <v>7666363829</v>
      </c>
      <c r="H346" t="s">
        <v>169</v>
      </c>
      <c r="I346" t="s">
        <v>5685</v>
      </c>
      <c r="J346" t="s">
        <v>105</v>
      </c>
      <c r="K346" t="s">
        <v>423</v>
      </c>
      <c r="L346" t="s">
        <v>5686</v>
      </c>
      <c r="M346" t="s">
        <v>5687</v>
      </c>
      <c r="N346" t="s">
        <v>109</v>
      </c>
      <c r="AI346" t="s">
        <v>5688</v>
      </c>
      <c r="AJ346" t="s">
        <v>619</v>
      </c>
      <c r="AK346" t="s">
        <v>1897</v>
      </c>
      <c r="AL346">
        <v>78</v>
      </c>
      <c r="AM346">
        <v>8.2</v>
      </c>
      <c r="AN346">
        <v>2014</v>
      </c>
      <c r="AO346" t="s">
        <v>113</v>
      </c>
      <c r="AP346" t="s">
        <v>5689</v>
      </c>
      <c r="AQ346" t="s">
        <v>619</v>
      </c>
      <c r="AR346" t="s">
        <v>5690</v>
      </c>
      <c r="AS346">
        <v>57.85</v>
      </c>
      <c r="AT346">
        <v>6.1</v>
      </c>
      <c r="AU346">
        <v>2014</v>
      </c>
      <c r="AV346" t="s">
        <v>109</v>
      </c>
      <c r="BB346">
        <v>2016</v>
      </c>
      <c r="BC346" t="s">
        <v>113</v>
      </c>
      <c r="BD346" t="s">
        <v>5691</v>
      </c>
      <c r="BE346" t="s">
        <v>5692</v>
      </c>
      <c r="BF346" t="s">
        <v>5693</v>
      </c>
      <c r="BG346">
        <v>67.45</v>
      </c>
      <c r="BH346">
        <v>7.1</v>
      </c>
      <c r="BI346">
        <v>2021</v>
      </c>
      <c r="BJ346">
        <v>8</v>
      </c>
      <c r="BL346">
        <v>2</v>
      </c>
      <c r="BN346" t="s">
        <v>113</v>
      </c>
      <c r="BO346" t="s">
        <v>5694</v>
      </c>
      <c r="BP346" t="s">
        <v>5695</v>
      </c>
      <c r="BQ346" t="s">
        <v>3529</v>
      </c>
      <c r="BR346">
        <v>74.1</v>
      </c>
      <c r="BS346">
        <v>7.8</v>
      </c>
      <c r="BT346">
        <v>2023</v>
      </c>
      <c r="BU346">
        <v>24</v>
      </c>
      <c r="BW346">
        <v>50</v>
      </c>
      <c r="BY346" t="s">
        <v>109</v>
      </c>
      <c r="CF346" t="s">
        <v>109</v>
      </c>
      <c r="CL346" t="s">
        <v>109</v>
      </c>
      <c r="CN346" t="s">
        <v>109</v>
      </c>
      <c r="CP346" t="s">
        <v>5696</v>
      </c>
      <c r="CQ346" t="s">
        <v>5697</v>
      </c>
      <c r="CR346" t="s">
        <v>136</v>
      </c>
      <c r="CS346" t="str">
        <f>HYPERLINK("https://nconnect.nicmar.ac.in/pdf/509_resume_1771772511.pdf/Y2FyZWVy","View Resume")</f>
        <v>0</v>
      </c>
    </row>
    <row r="347" spans="1:97">
      <c r="A347" t="s">
        <v>3610</v>
      </c>
      <c r="B347" t="s">
        <v>3611</v>
      </c>
      <c r="C347" t="s">
        <v>295</v>
      </c>
      <c r="D347" t="s">
        <v>296</v>
      </c>
      <c r="E347" t="s">
        <v>5698</v>
      </c>
      <c r="F347" t="s">
        <v>5699</v>
      </c>
      <c r="G347">
        <v>9866172005</v>
      </c>
      <c r="H347" t="s">
        <v>103</v>
      </c>
      <c r="I347" t="s">
        <v>5700</v>
      </c>
      <c r="J347" t="s">
        <v>105</v>
      </c>
      <c r="K347" t="s">
        <v>1339</v>
      </c>
      <c r="L347" t="s">
        <v>5701</v>
      </c>
      <c r="M347" t="s">
        <v>5702</v>
      </c>
      <c r="N347" t="s">
        <v>109</v>
      </c>
      <c r="AI347" t="s">
        <v>5703</v>
      </c>
      <c r="AJ347" t="s">
        <v>759</v>
      </c>
      <c r="AK347" t="s">
        <v>5704</v>
      </c>
      <c r="AL347">
        <v>77.83</v>
      </c>
      <c r="AN347">
        <v>1999</v>
      </c>
      <c r="AO347" t="s">
        <v>113</v>
      </c>
      <c r="AP347" t="s">
        <v>5705</v>
      </c>
      <c r="AQ347" t="s">
        <v>762</v>
      </c>
      <c r="AR347" t="s">
        <v>981</v>
      </c>
      <c r="AS347">
        <v>87.6</v>
      </c>
      <c r="AU347">
        <v>2001</v>
      </c>
      <c r="AV347" t="s">
        <v>109</v>
      </c>
      <c r="BC347" t="s">
        <v>113</v>
      </c>
      <c r="BD347" t="s">
        <v>5706</v>
      </c>
      <c r="BE347" t="s">
        <v>5707</v>
      </c>
      <c r="BF347" t="s">
        <v>309</v>
      </c>
      <c r="BG347">
        <v>82.25</v>
      </c>
      <c r="BI347">
        <v>2005</v>
      </c>
      <c r="BJ347">
        <v>2</v>
      </c>
      <c r="BL347">
        <v>9</v>
      </c>
      <c r="BN347" t="s">
        <v>113</v>
      </c>
      <c r="BO347" t="s">
        <v>5708</v>
      </c>
      <c r="BP347" t="s">
        <v>5709</v>
      </c>
      <c r="BQ347" t="s">
        <v>1350</v>
      </c>
      <c r="BR347">
        <v>7.95</v>
      </c>
      <c r="BS347">
        <v>7.9</v>
      </c>
      <c r="BT347">
        <v>2009</v>
      </c>
      <c r="BU347">
        <v>12</v>
      </c>
      <c r="BW347">
        <v>15</v>
      </c>
      <c r="BY347" t="s">
        <v>109</v>
      </c>
      <c r="CF347" t="s">
        <v>109</v>
      </c>
      <c r="CJ347">
        <v>2016</v>
      </c>
      <c r="CL347" t="s">
        <v>113</v>
      </c>
      <c r="CM347" t="s">
        <v>5710</v>
      </c>
      <c r="CN347" t="s">
        <v>109</v>
      </c>
      <c r="CP347" t="s">
        <v>5711</v>
      </c>
      <c r="CQ347" t="s">
        <v>5712</v>
      </c>
      <c r="CR347" t="str">
        <f>HYPERLINK("https://nconnect.nicmar.ac.in/public/storage/profile/699b369427aed.png","Download")</f>
        <v>0</v>
      </c>
      <c r="CS347" t="str">
        <f>HYPERLINK("https://nconnect.nicmar.ac.in/pdf/512_resume_1771779630.pdf/Y2FyZWVy","View Resume")</f>
        <v>0</v>
      </c>
    </row>
    <row r="348" spans="1:97">
      <c r="A348" t="s">
        <v>367</v>
      </c>
      <c r="B348" t="s">
        <v>138</v>
      </c>
      <c r="C348" t="s">
        <v>295</v>
      </c>
      <c r="D348" t="s">
        <v>368</v>
      </c>
      <c r="E348" t="s">
        <v>5713</v>
      </c>
      <c r="F348" t="s">
        <v>5714</v>
      </c>
      <c r="G348">
        <v>9561430876</v>
      </c>
      <c r="H348" t="s">
        <v>169</v>
      </c>
      <c r="I348" t="s">
        <v>5715</v>
      </c>
      <c r="J348" t="s">
        <v>144</v>
      </c>
      <c r="K348" t="s">
        <v>4817</v>
      </c>
      <c r="L348" t="s">
        <v>5716</v>
      </c>
      <c r="M348" t="s">
        <v>5717</v>
      </c>
      <c r="N348" t="s">
        <v>109</v>
      </c>
      <c r="O348" t="s">
        <v>5718</v>
      </c>
      <c r="AI348" t="s">
        <v>5719</v>
      </c>
      <c r="AJ348" t="s">
        <v>1542</v>
      </c>
      <c r="AK348" t="s">
        <v>5720</v>
      </c>
      <c r="AL348">
        <v>84.73</v>
      </c>
      <c r="AN348">
        <v>2010</v>
      </c>
      <c r="AO348" t="s">
        <v>113</v>
      </c>
      <c r="AP348" t="s">
        <v>5721</v>
      </c>
      <c r="AQ348" t="s">
        <v>1542</v>
      </c>
      <c r="AR348" t="s">
        <v>5722</v>
      </c>
      <c r="AS348">
        <v>61.84</v>
      </c>
      <c r="AU348">
        <v>2012</v>
      </c>
      <c r="AV348" t="s">
        <v>109</v>
      </c>
      <c r="BC348" t="s">
        <v>113</v>
      </c>
      <c r="BD348" t="s">
        <v>5723</v>
      </c>
      <c r="BE348" t="s">
        <v>5724</v>
      </c>
      <c r="BF348" t="s">
        <v>309</v>
      </c>
      <c r="BG348">
        <v>70.9</v>
      </c>
      <c r="BH348">
        <v>7.84</v>
      </c>
      <c r="BI348">
        <v>2016</v>
      </c>
      <c r="BJ348">
        <v>2</v>
      </c>
      <c r="BL348">
        <v>9</v>
      </c>
      <c r="BN348" t="s">
        <v>113</v>
      </c>
      <c r="BO348" t="s">
        <v>5723</v>
      </c>
      <c r="BP348" t="s">
        <v>5725</v>
      </c>
      <c r="BQ348" t="s">
        <v>140</v>
      </c>
      <c r="BR348">
        <v>70.3</v>
      </c>
      <c r="BS348">
        <v>7.78</v>
      </c>
      <c r="BT348">
        <v>2020</v>
      </c>
      <c r="BU348">
        <v>14</v>
      </c>
      <c r="BW348">
        <v>47</v>
      </c>
      <c r="BY348" t="s">
        <v>109</v>
      </c>
      <c r="CF348" t="s">
        <v>113</v>
      </c>
      <c r="CG348" t="s">
        <v>5726</v>
      </c>
      <c r="CH348" t="s">
        <v>2371</v>
      </c>
      <c r="CI348" t="s">
        <v>132</v>
      </c>
      <c r="CJ348">
        <v>2025</v>
      </c>
      <c r="CL348" t="s">
        <v>109</v>
      </c>
      <c r="CN348" t="s">
        <v>113</v>
      </c>
      <c r="CO348" t="s">
        <v>5727</v>
      </c>
      <c r="CP348" t="s">
        <v>3928</v>
      </c>
      <c r="CQ348" t="s">
        <v>5728</v>
      </c>
      <c r="CR348" t="str">
        <f>HYPERLINK("https://nconnect.nicmar.ac.in/public/storage/profile/699b049e54635.png","Download")</f>
        <v>0</v>
      </c>
      <c r="CS348" t="str">
        <f>HYPERLINK("https://nconnect.nicmar.ac.in/pdf/506_resume_1771780498.pdf/Y2FyZWVy","View Resume")</f>
        <v>0</v>
      </c>
    </row>
    <row r="349" spans="1:97">
      <c r="A349" t="s">
        <v>2591</v>
      </c>
      <c r="B349" t="s">
        <v>138</v>
      </c>
      <c r="C349" t="s">
        <v>295</v>
      </c>
      <c r="D349" t="s">
        <v>2592</v>
      </c>
      <c r="E349" t="s">
        <v>5713</v>
      </c>
      <c r="F349" t="s">
        <v>5714</v>
      </c>
      <c r="G349">
        <v>9561430876</v>
      </c>
      <c r="H349" t="s">
        <v>169</v>
      </c>
      <c r="I349" t="s">
        <v>5715</v>
      </c>
      <c r="J349" t="s">
        <v>144</v>
      </c>
      <c r="K349" t="s">
        <v>4817</v>
      </c>
      <c r="L349" t="s">
        <v>5716</v>
      </c>
      <c r="M349" t="s">
        <v>5717</v>
      </c>
      <c r="N349" t="s">
        <v>109</v>
      </c>
      <c r="O349" t="s">
        <v>5718</v>
      </c>
      <c r="AI349" t="s">
        <v>5719</v>
      </c>
      <c r="AJ349" t="s">
        <v>1542</v>
      </c>
      <c r="AK349" t="s">
        <v>5720</v>
      </c>
      <c r="AL349">
        <v>84.73</v>
      </c>
      <c r="AN349">
        <v>2010</v>
      </c>
      <c r="AO349" t="s">
        <v>113</v>
      </c>
      <c r="AP349" t="s">
        <v>5721</v>
      </c>
      <c r="AQ349" t="s">
        <v>1542</v>
      </c>
      <c r="AR349" t="s">
        <v>5722</v>
      </c>
      <c r="AS349">
        <v>61.84</v>
      </c>
      <c r="AU349">
        <v>2012</v>
      </c>
      <c r="AV349" t="s">
        <v>109</v>
      </c>
      <c r="BC349" t="s">
        <v>113</v>
      </c>
      <c r="BD349" t="s">
        <v>5723</v>
      </c>
      <c r="BE349" t="s">
        <v>5724</v>
      </c>
      <c r="BF349" t="s">
        <v>309</v>
      </c>
      <c r="BG349">
        <v>70.9</v>
      </c>
      <c r="BH349">
        <v>7.84</v>
      </c>
      <c r="BI349">
        <v>2016</v>
      </c>
      <c r="BJ349">
        <v>2</v>
      </c>
      <c r="BL349">
        <v>9</v>
      </c>
      <c r="BN349" t="s">
        <v>113</v>
      </c>
      <c r="BO349" t="s">
        <v>5723</v>
      </c>
      <c r="BP349" t="s">
        <v>5725</v>
      </c>
      <c r="BQ349" t="s">
        <v>140</v>
      </c>
      <c r="BR349">
        <v>70.3</v>
      </c>
      <c r="BS349">
        <v>7.78</v>
      </c>
      <c r="BT349">
        <v>2020</v>
      </c>
      <c r="BU349">
        <v>14</v>
      </c>
      <c r="BW349">
        <v>47</v>
      </c>
      <c r="BY349" t="s">
        <v>109</v>
      </c>
      <c r="CF349" t="s">
        <v>113</v>
      </c>
      <c r="CG349" t="s">
        <v>5726</v>
      </c>
      <c r="CH349" t="s">
        <v>2371</v>
      </c>
      <c r="CI349" t="s">
        <v>132</v>
      </c>
      <c r="CJ349">
        <v>2025</v>
      </c>
      <c r="CL349" t="s">
        <v>109</v>
      </c>
      <c r="CN349" t="s">
        <v>113</v>
      </c>
      <c r="CO349" t="s">
        <v>5727</v>
      </c>
      <c r="CP349" t="s">
        <v>3928</v>
      </c>
      <c r="CQ349" t="s">
        <v>5729</v>
      </c>
      <c r="CR349" t="str">
        <f>HYPERLINK("https://nconnect.nicmar.ac.in/public/storage/profile/699b049e54635.png","Download")</f>
        <v>0</v>
      </c>
      <c r="CS349" t="str">
        <f>HYPERLINK("https://nconnect.nicmar.ac.in/pdf/506_resume_1771780498.pdf/Y2FyZWVy","View Resume")</f>
        <v>0</v>
      </c>
    </row>
    <row r="350" spans="1:97">
      <c r="A350" t="s">
        <v>370</v>
      </c>
      <c r="B350" t="s">
        <v>138</v>
      </c>
      <c r="C350" t="s">
        <v>295</v>
      </c>
      <c r="D350" t="s">
        <v>371</v>
      </c>
      <c r="E350" t="s">
        <v>5713</v>
      </c>
      <c r="F350" t="s">
        <v>5714</v>
      </c>
      <c r="G350">
        <v>9561430876</v>
      </c>
      <c r="H350" t="s">
        <v>169</v>
      </c>
      <c r="I350" t="s">
        <v>5715</v>
      </c>
      <c r="J350" t="s">
        <v>144</v>
      </c>
      <c r="K350" t="s">
        <v>4817</v>
      </c>
      <c r="L350" t="s">
        <v>5716</v>
      </c>
      <c r="M350" t="s">
        <v>5717</v>
      </c>
      <c r="N350" t="s">
        <v>109</v>
      </c>
      <c r="O350" t="s">
        <v>5718</v>
      </c>
      <c r="AI350" t="s">
        <v>5719</v>
      </c>
      <c r="AJ350" t="s">
        <v>1542</v>
      </c>
      <c r="AK350" t="s">
        <v>5720</v>
      </c>
      <c r="AL350">
        <v>84.73</v>
      </c>
      <c r="AN350">
        <v>2010</v>
      </c>
      <c r="AO350" t="s">
        <v>113</v>
      </c>
      <c r="AP350" t="s">
        <v>5721</v>
      </c>
      <c r="AQ350" t="s">
        <v>1542</v>
      </c>
      <c r="AR350" t="s">
        <v>5722</v>
      </c>
      <c r="AS350">
        <v>61.84</v>
      </c>
      <c r="AU350">
        <v>2012</v>
      </c>
      <c r="AV350" t="s">
        <v>109</v>
      </c>
      <c r="BC350" t="s">
        <v>113</v>
      </c>
      <c r="BD350" t="s">
        <v>5723</v>
      </c>
      <c r="BE350" t="s">
        <v>5724</v>
      </c>
      <c r="BF350" t="s">
        <v>309</v>
      </c>
      <c r="BG350">
        <v>70.9</v>
      </c>
      <c r="BH350">
        <v>7.84</v>
      </c>
      <c r="BI350">
        <v>2016</v>
      </c>
      <c r="BJ350">
        <v>2</v>
      </c>
      <c r="BL350">
        <v>9</v>
      </c>
      <c r="BN350" t="s">
        <v>113</v>
      </c>
      <c r="BO350" t="s">
        <v>5723</v>
      </c>
      <c r="BP350" t="s">
        <v>5725</v>
      </c>
      <c r="BQ350" t="s">
        <v>140</v>
      </c>
      <c r="BR350">
        <v>70.3</v>
      </c>
      <c r="BS350">
        <v>7.78</v>
      </c>
      <c r="BT350">
        <v>2020</v>
      </c>
      <c r="BU350">
        <v>14</v>
      </c>
      <c r="BW350">
        <v>47</v>
      </c>
      <c r="BY350" t="s">
        <v>109</v>
      </c>
      <c r="CF350" t="s">
        <v>113</v>
      </c>
      <c r="CG350" t="s">
        <v>5726</v>
      </c>
      <c r="CH350" t="s">
        <v>2371</v>
      </c>
      <c r="CI350" t="s">
        <v>132</v>
      </c>
      <c r="CJ350">
        <v>2025</v>
      </c>
      <c r="CL350" t="s">
        <v>109</v>
      </c>
      <c r="CN350" t="s">
        <v>113</v>
      </c>
      <c r="CO350" t="s">
        <v>5727</v>
      </c>
      <c r="CP350" t="s">
        <v>3928</v>
      </c>
      <c r="CQ350" t="s">
        <v>5729</v>
      </c>
      <c r="CR350" t="str">
        <f>HYPERLINK("https://nconnect.nicmar.ac.in/public/storage/profile/699b049e54635.png","Download")</f>
        <v>0</v>
      </c>
      <c r="CS350" t="str">
        <f>HYPERLINK("https://nconnect.nicmar.ac.in/pdf/506_resume_1771780498.pdf/Y2FyZWVy","View Resume")</f>
        <v>0</v>
      </c>
    </row>
    <row r="351" spans="1:97">
      <c r="A351" t="s">
        <v>137</v>
      </c>
      <c r="B351" t="s">
        <v>138</v>
      </c>
      <c r="C351" t="s">
        <v>139</v>
      </c>
      <c r="D351" t="s">
        <v>140</v>
      </c>
      <c r="E351" t="s">
        <v>5713</v>
      </c>
      <c r="F351" t="s">
        <v>5714</v>
      </c>
      <c r="G351">
        <v>9561430876</v>
      </c>
      <c r="H351" t="s">
        <v>169</v>
      </c>
      <c r="I351" t="s">
        <v>5715</v>
      </c>
      <c r="J351" t="s">
        <v>144</v>
      </c>
      <c r="K351" t="s">
        <v>4817</v>
      </c>
      <c r="L351" t="s">
        <v>5716</v>
      </c>
      <c r="M351" t="s">
        <v>5717</v>
      </c>
      <c r="N351" t="s">
        <v>109</v>
      </c>
      <c r="O351" t="s">
        <v>5718</v>
      </c>
      <c r="AI351" t="s">
        <v>5719</v>
      </c>
      <c r="AJ351" t="s">
        <v>1542</v>
      </c>
      <c r="AK351" t="s">
        <v>5720</v>
      </c>
      <c r="AL351">
        <v>84.73</v>
      </c>
      <c r="AN351">
        <v>2010</v>
      </c>
      <c r="AO351" t="s">
        <v>113</v>
      </c>
      <c r="AP351" t="s">
        <v>5721</v>
      </c>
      <c r="AQ351" t="s">
        <v>1542</v>
      </c>
      <c r="AR351" t="s">
        <v>5722</v>
      </c>
      <c r="AS351">
        <v>61.84</v>
      </c>
      <c r="AU351">
        <v>2012</v>
      </c>
      <c r="AV351" t="s">
        <v>109</v>
      </c>
      <c r="BC351" t="s">
        <v>113</v>
      </c>
      <c r="BD351" t="s">
        <v>5723</v>
      </c>
      <c r="BE351" t="s">
        <v>5724</v>
      </c>
      <c r="BF351" t="s">
        <v>309</v>
      </c>
      <c r="BG351">
        <v>70.9</v>
      </c>
      <c r="BH351">
        <v>7.84</v>
      </c>
      <c r="BI351">
        <v>2016</v>
      </c>
      <c r="BJ351">
        <v>2</v>
      </c>
      <c r="BL351">
        <v>9</v>
      </c>
      <c r="BN351" t="s">
        <v>113</v>
      </c>
      <c r="BO351" t="s">
        <v>5723</v>
      </c>
      <c r="BP351" t="s">
        <v>5725</v>
      </c>
      <c r="BQ351" t="s">
        <v>140</v>
      </c>
      <c r="BR351">
        <v>70.3</v>
      </c>
      <c r="BS351">
        <v>7.78</v>
      </c>
      <c r="BT351">
        <v>2020</v>
      </c>
      <c r="BU351">
        <v>14</v>
      </c>
      <c r="BW351">
        <v>47</v>
      </c>
      <c r="BY351" t="s">
        <v>109</v>
      </c>
      <c r="CF351" t="s">
        <v>113</v>
      </c>
      <c r="CG351" t="s">
        <v>5726</v>
      </c>
      <c r="CH351" t="s">
        <v>2371</v>
      </c>
      <c r="CI351" t="s">
        <v>132</v>
      </c>
      <c r="CJ351">
        <v>2025</v>
      </c>
      <c r="CL351" t="s">
        <v>109</v>
      </c>
      <c r="CN351" t="s">
        <v>113</v>
      </c>
      <c r="CO351" t="s">
        <v>5727</v>
      </c>
      <c r="CP351" t="s">
        <v>3928</v>
      </c>
      <c r="CQ351" t="s">
        <v>5730</v>
      </c>
      <c r="CR351" t="str">
        <f>HYPERLINK("https://nconnect.nicmar.ac.in/public/storage/profile/699b049e54635.png","Download")</f>
        <v>0</v>
      </c>
      <c r="CS351" t="str">
        <f>HYPERLINK("https://nconnect.nicmar.ac.in/pdf/506_resume_1771780498.pdf/Y2FyZWVy","View Resume")</f>
        <v>0</v>
      </c>
    </row>
    <row r="352" spans="1:97">
      <c r="A352" t="s">
        <v>294</v>
      </c>
      <c r="B352" t="s">
        <v>138</v>
      </c>
      <c r="C352" t="s">
        <v>295</v>
      </c>
      <c r="D352" t="s">
        <v>296</v>
      </c>
      <c r="E352" t="s">
        <v>5713</v>
      </c>
      <c r="F352" t="s">
        <v>5714</v>
      </c>
      <c r="G352">
        <v>9561430876</v>
      </c>
      <c r="H352" t="s">
        <v>169</v>
      </c>
      <c r="I352" t="s">
        <v>5715</v>
      </c>
      <c r="J352" t="s">
        <v>144</v>
      </c>
      <c r="K352" t="s">
        <v>4817</v>
      </c>
      <c r="L352" t="s">
        <v>5716</v>
      </c>
      <c r="M352" t="s">
        <v>5717</v>
      </c>
      <c r="N352" t="s">
        <v>109</v>
      </c>
      <c r="O352" t="s">
        <v>5718</v>
      </c>
      <c r="AI352" t="s">
        <v>5719</v>
      </c>
      <c r="AJ352" t="s">
        <v>1542</v>
      </c>
      <c r="AK352" t="s">
        <v>5720</v>
      </c>
      <c r="AL352">
        <v>84.73</v>
      </c>
      <c r="AN352">
        <v>2010</v>
      </c>
      <c r="AO352" t="s">
        <v>113</v>
      </c>
      <c r="AP352" t="s">
        <v>5721</v>
      </c>
      <c r="AQ352" t="s">
        <v>1542</v>
      </c>
      <c r="AR352" t="s">
        <v>5722</v>
      </c>
      <c r="AS352">
        <v>61.84</v>
      </c>
      <c r="AU352">
        <v>2012</v>
      </c>
      <c r="AV352" t="s">
        <v>109</v>
      </c>
      <c r="BC352" t="s">
        <v>113</v>
      </c>
      <c r="BD352" t="s">
        <v>5723</v>
      </c>
      <c r="BE352" t="s">
        <v>5724</v>
      </c>
      <c r="BF352" t="s">
        <v>309</v>
      </c>
      <c r="BG352">
        <v>70.9</v>
      </c>
      <c r="BH352">
        <v>7.84</v>
      </c>
      <c r="BI352">
        <v>2016</v>
      </c>
      <c r="BJ352">
        <v>2</v>
      </c>
      <c r="BL352">
        <v>9</v>
      </c>
      <c r="BN352" t="s">
        <v>113</v>
      </c>
      <c r="BO352" t="s">
        <v>5723</v>
      </c>
      <c r="BP352" t="s">
        <v>5725</v>
      </c>
      <c r="BQ352" t="s">
        <v>140</v>
      </c>
      <c r="BR352">
        <v>70.3</v>
      </c>
      <c r="BS352">
        <v>7.78</v>
      </c>
      <c r="BT352">
        <v>2020</v>
      </c>
      <c r="BU352">
        <v>14</v>
      </c>
      <c r="BW352">
        <v>47</v>
      </c>
      <c r="BY352" t="s">
        <v>109</v>
      </c>
      <c r="CF352" t="s">
        <v>113</v>
      </c>
      <c r="CG352" t="s">
        <v>5726</v>
      </c>
      <c r="CH352" t="s">
        <v>2371</v>
      </c>
      <c r="CI352" t="s">
        <v>132</v>
      </c>
      <c r="CJ352">
        <v>2025</v>
      </c>
      <c r="CL352" t="s">
        <v>109</v>
      </c>
      <c r="CN352" t="s">
        <v>113</v>
      </c>
      <c r="CO352" t="s">
        <v>5727</v>
      </c>
      <c r="CP352" t="s">
        <v>3928</v>
      </c>
      <c r="CQ352" t="s">
        <v>5730</v>
      </c>
      <c r="CR352" t="str">
        <f>HYPERLINK("https://nconnect.nicmar.ac.in/public/storage/profile/699b049e54635.png","Download")</f>
        <v>0</v>
      </c>
      <c r="CS352" t="str">
        <f>HYPERLINK("https://nconnect.nicmar.ac.in/pdf/506_resume_1771780498.pdf/Y2FyZWVy","View Resume")</f>
        <v>0</v>
      </c>
    </row>
    <row r="353" spans="1:97">
      <c r="A353" t="s">
        <v>137</v>
      </c>
      <c r="B353" t="s">
        <v>138</v>
      </c>
      <c r="C353" t="s">
        <v>139</v>
      </c>
      <c r="D353" t="s">
        <v>140</v>
      </c>
      <c r="E353" t="s">
        <v>5731</v>
      </c>
      <c r="F353" t="s">
        <v>5732</v>
      </c>
      <c r="G353">
        <v>9167826013</v>
      </c>
      <c r="H353" t="s">
        <v>103</v>
      </c>
      <c r="I353" t="s">
        <v>5733</v>
      </c>
      <c r="J353" t="s">
        <v>105</v>
      </c>
      <c r="K353" t="s">
        <v>5734</v>
      </c>
      <c r="L353" t="s">
        <v>5735</v>
      </c>
      <c r="M353" t="s">
        <v>5736</v>
      </c>
      <c r="N353" t="s">
        <v>109</v>
      </c>
      <c r="AI353" t="s">
        <v>5737</v>
      </c>
      <c r="AJ353" t="s">
        <v>5738</v>
      </c>
      <c r="AK353" t="s">
        <v>4397</v>
      </c>
      <c r="AL353">
        <v>83.8</v>
      </c>
      <c r="AN353">
        <v>1998</v>
      </c>
      <c r="AO353" t="s">
        <v>113</v>
      </c>
      <c r="AP353" t="s">
        <v>5737</v>
      </c>
      <c r="AQ353" t="s">
        <v>5738</v>
      </c>
      <c r="AR353" t="s">
        <v>4185</v>
      </c>
      <c r="AS353">
        <v>76.6</v>
      </c>
      <c r="AU353">
        <v>2000</v>
      </c>
      <c r="AV353" t="s">
        <v>109</v>
      </c>
      <c r="BC353" t="s">
        <v>113</v>
      </c>
      <c r="BD353" t="s">
        <v>3093</v>
      </c>
      <c r="BE353" t="s">
        <v>5739</v>
      </c>
      <c r="BF353" t="s">
        <v>5740</v>
      </c>
      <c r="BG353">
        <v>64.95</v>
      </c>
      <c r="BI353">
        <v>2005</v>
      </c>
      <c r="BJ353">
        <v>2</v>
      </c>
      <c r="BL353">
        <v>9</v>
      </c>
      <c r="BN353" t="s">
        <v>113</v>
      </c>
      <c r="BO353" t="s">
        <v>5741</v>
      </c>
      <c r="BP353" t="s">
        <v>5742</v>
      </c>
      <c r="BQ353" t="s">
        <v>5743</v>
      </c>
      <c r="BR353">
        <v>90.2</v>
      </c>
      <c r="BS353">
        <v>9.02</v>
      </c>
      <c r="BT353">
        <v>2008</v>
      </c>
      <c r="BU353">
        <v>31</v>
      </c>
      <c r="BV353" t="s">
        <v>5744</v>
      </c>
      <c r="BW353">
        <v>53</v>
      </c>
      <c r="BX353" t="s">
        <v>5745</v>
      </c>
      <c r="BY353" t="s">
        <v>109</v>
      </c>
      <c r="CF353" t="s">
        <v>113</v>
      </c>
      <c r="CG353" t="s">
        <v>5746</v>
      </c>
      <c r="CH353" t="s">
        <v>5747</v>
      </c>
      <c r="CI353" t="s">
        <v>132</v>
      </c>
      <c r="CJ353">
        <v>2013</v>
      </c>
      <c r="CL353" t="s">
        <v>109</v>
      </c>
      <c r="CN353" t="s">
        <v>113</v>
      </c>
      <c r="CO353" t="s">
        <v>5748</v>
      </c>
      <c r="CP353" t="s">
        <v>5749</v>
      </c>
      <c r="CQ353" t="s">
        <v>5750</v>
      </c>
      <c r="CR353" t="s">
        <v>136</v>
      </c>
      <c r="CS353" t="str">
        <f>HYPERLINK("https://nconnect.nicmar.ac.in/pdf/511_resume_1771783673.pdf/Y2FyZWVy","View Resume")</f>
        <v>0</v>
      </c>
    </row>
    <row r="354" spans="1:97">
      <c r="A354" t="s">
        <v>372</v>
      </c>
      <c r="B354" t="s">
        <v>98</v>
      </c>
      <c r="C354" t="s">
        <v>165</v>
      </c>
      <c r="D354" t="s">
        <v>224</v>
      </c>
      <c r="E354" t="s">
        <v>5751</v>
      </c>
      <c r="F354" t="s">
        <v>5752</v>
      </c>
      <c r="G354">
        <v>9019226775</v>
      </c>
      <c r="H354" t="s">
        <v>103</v>
      </c>
      <c r="I354" t="s">
        <v>5753</v>
      </c>
      <c r="J354" t="s">
        <v>105</v>
      </c>
      <c r="K354" t="s">
        <v>323</v>
      </c>
      <c r="L354" t="s">
        <v>5754</v>
      </c>
      <c r="M354" t="s">
        <v>5755</v>
      </c>
      <c r="N354" t="s">
        <v>109</v>
      </c>
      <c r="AI354" t="s">
        <v>5756</v>
      </c>
      <c r="AJ354" t="s">
        <v>5757</v>
      </c>
      <c r="AK354" t="s">
        <v>1788</v>
      </c>
      <c r="AL354">
        <v>92</v>
      </c>
      <c r="AN354">
        <v>2002</v>
      </c>
      <c r="AO354" t="s">
        <v>113</v>
      </c>
      <c r="AP354" t="s">
        <v>5758</v>
      </c>
      <c r="AQ354" t="s">
        <v>5757</v>
      </c>
      <c r="AR354" t="s">
        <v>1425</v>
      </c>
      <c r="AS354">
        <v>85</v>
      </c>
      <c r="AU354">
        <v>2004</v>
      </c>
      <c r="AV354" t="s">
        <v>109</v>
      </c>
      <c r="BC354" t="s">
        <v>113</v>
      </c>
      <c r="BD354" t="s">
        <v>5759</v>
      </c>
      <c r="BE354" t="s">
        <v>5760</v>
      </c>
      <c r="BF354" t="s">
        <v>281</v>
      </c>
      <c r="BG354">
        <v>82</v>
      </c>
      <c r="BI354">
        <v>2007</v>
      </c>
      <c r="BJ354">
        <v>19</v>
      </c>
      <c r="BK354" t="s">
        <v>624</v>
      </c>
      <c r="BL354">
        <v>52</v>
      </c>
      <c r="BM354" t="s">
        <v>281</v>
      </c>
      <c r="BN354" t="s">
        <v>113</v>
      </c>
      <c r="BO354" t="s">
        <v>5761</v>
      </c>
      <c r="BP354" t="s">
        <v>5760</v>
      </c>
      <c r="BQ354" t="s">
        <v>1526</v>
      </c>
      <c r="BR354">
        <v>67</v>
      </c>
      <c r="BT354">
        <v>2021</v>
      </c>
      <c r="BU354">
        <v>28</v>
      </c>
      <c r="BW354">
        <v>23</v>
      </c>
      <c r="BY354" t="s">
        <v>109</v>
      </c>
      <c r="CF354" t="s">
        <v>113</v>
      </c>
      <c r="CG354" t="s">
        <v>1526</v>
      </c>
      <c r="CH354" t="s">
        <v>5762</v>
      </c>
      <c r="CI354" t="s">
        <v>240</v>
      </c>
      <c r="CK354" t="s">
        <v>113</v>
      </c>
      <c r="CL354" t="s">
        <v>113</v>
      </c>
      <c r="CM354" t="s">
        <v>5763</v>
      </c>
      <c r="CN354" t="s">
        <v>113</v>
      </c>
      <c r="CO354" t="s">
        <v>5763</v>
      </c>
      <c r="CP354" t="s">
        <v>1788</v>
      </c>
      <c r="CQ354" t="s">
        <v>5764</v>
      </c>
      <c r="CR354" t="s">
        <v>136</v>
      </c>
      <c r="CS354" t="str">
        <f>HYPERLINK("https://nconnect.nicmar.ac.in/pdf/518_resume_1771784784.pdf/Y2FyZWVy","View Resume")</f>
        <v>0</v>
      </c>
    </row>
    <row r="355" spans="1:97">
      <c r="A355" t="s">
        <v>3610</v>
      </c>
      <c r="B355" t="s">
        <v>3611</v>
      </c>
      <c r="C355" t="s">
        <v>295</v>
      </c>
      <c r="D355" t="s">
        <v>296</v>
      </c>
      <c r="E355" t="s">
        <v>5751</v>
      </c>
      <c r="F355" t="s">
        <v>5752</v>
      </c>
      <c r="G355">
        <v>9019226775</v>
      </c>
      <c r="H355" t="s">
        <v>103</v>
      </c>
      <c r="I355" t="s">
        <v>5753</v>
      </c>
      <c r="J355" t="s">
        <v>105</v>
      </c>
      <c r="K355" t="s">
        <v>323</v>
      </c>
      <c r="L355" t="s">
        <v>5754</v>
      </c>
      <c r="M355" t="s">
        <v>5755</v>
      </c>
      <c r="N355" t="s">
        <v>109</v>
      </c>
      <c r="AI355" t="s">
        <v>5756</v>
      </c>
      <c r="AJ355" t="s">
        <v>5757</v>
      </c>
      <c r="AK355" t="s">
        <v>1788</v>
      </c>
      <c r="AL355">
        <v>92</v>
      </c>
      <c r="AN355">
        <v>2002</v>
      </c>
      <c r="AO355" t="s">
        <v>113</v>
      </c>
      <c r="AP355" t="s">
        <v>5758</v>
      </c>
      <c r="AQ355" t="s">
        <v>5757</v>
      </c>
      <c r="AR355" t="s">
        <v>1425</v>
      </c>
      <c r="AS355">
        <v>85</v>
      </c>
      <c r="AU355">
        <v>2004</v>
      </c>
      <c r="AV355" t="s">
        <v>109</v>
      </c>
      <c r="BC355" t="s">
        <v>113</v>
      </c>
      <c r="BD355" t="s">
        <v>5759</v>
      </c>
      <c r="BE355" t="s">
        <v>5760</v>
      </c>
      <c r="BF355" t="s">
        <v>281</v>
      </c>
      <c r="BG355">
        <v>82</v>
      </c>
      <c r="BI355">
        <v>2007</v>
      </c>
      <c r="BJ355">
        <v>19</v>
      </c>
      <c r="BK355" t="s">
        <v>624</v>
      </c>
      <c r="BL355">
        <v>52</v>
      </c>
      <c r="BM355" t="s">
        <v>281</v>
      </c>
      <c r="BN355" t="s">
        <v>113</v>
      </c>
      <c r="BO355" t="s">
        <v>5761</v>
      </c>
      <c r="BP355" t="s">
        <v>5760</v>
      </c>
      <c r="BQ355" t="s">
        <v>1526</v>
      </c>
      <c r="BR355">
        <v>67</v>
      </c>
      <c r="BT355">
        <v>2021</v>
      </c>
      <c r="BU355">
        <v>28</v>
      </c>
      <c r="BW355">
        <v>23</v>
      </c>
      <c r="BY355" t="s">
        <v>109</v>
      </c>
      <c r="CF355" t="s">
        <v>113</v>
      </c>
      <c r="CG355" t="s">
        <v>1526</v>
      </c>
      <c r="CH355" t="s">
        <v>5762</v>
      </c>
      <c r="CI355" t="s">
        <v>240</v>
      </c>
      <c r="CK355" t="s">
        <v>113</v>
      </c>
      <c r="CL355" t="s">
        <v>113</v>
      </c>
      <c r="CM355" t="s">
        <v>5763</v>
      </c>
      <c r="CN355" t="s">
        <v>113</v>
      </c>
      <c r="CO355" t="s">
        <v>5763</v>
      </c>
      <c r="CP355" t="s">
        <v>1788</v>
      </c>
      <c r="CQ355" t="s">
        <v>5765</v>
      </c>
      <c r="CR355" t="s">
        <v>136</v>
      </c>
      <c r="CS355" t="str">
        <f>HYPERLINK("https://nconnect.nicmar.ac.in/pdf/518_resume_1771784784.pdf/Y2FyZWVy","View Resume")</f>
        <v>0</v>
      </c>
    </row>
    <row r="356" spans="1:97">
      <c r="A356" t="s">
        <v>192</v>
      </c>
      <c r="B356" t="s">
        <v>138</v>
      </c>
      <c r="C356" t="s">
        <v>165</v>
      </c>
      <c r="D356" t="s">
        <v>193</v>
      </c>
      <c r="E356" t="s">
        <v>5766</v>
      </c>
      <c r="F356" t="s">
        <v>5767</v>
      </c>
      <c r="G356">
        <v>9892749388</v>
      </c>
      <c r="H356" t="s">
        <v>103</v>
      </c>
      <c r="I356" t="s">
        <v>5768</v>
      </c>
      <c r="J356" t="s">
        <v>105</v>
      </c>
      <c r="K356" t="s">
        <v>777</v>
      </c>
      <c r="L356" t="s">
        <v>5769</v>
      </c>
      <c r="M356" t="s">
        <v>5770</v>
      </c>
      <c r="N356" t="s">
        <v>109</v>
      </c>
      <c r="AI356" t="s">
        <v>5771</v>
      </c>
      <c r="AJ356" t="s">
        <v>5772</v>
      </c>
      <c r="AK356" t="s">
        <v>5773</v>
      </c>
      <c r="AL356">
        <v>78.26</v>
      </c>
      <c r="AN356">
        <v>1996</v>
      </c>
      <c r="AO356" t="s">
        <v>113</v>
      </c>
      <c r="AP356" t="s">
        <v>5774</v>
      </c>
      <c r="AQ356" t="s">
        <v>5772</v>
      </c>
      <c r="AR356" t="s">
        <v>5775</v>
      </c>
      <c r="AS356">
        <v>77.33</v>
      </c>
      <c r="AU356">
        <v>1998</v>
      </c>
      <c r="AV356" t="s">
        <v>109</v>
      </c>
      <c r="BC356" t="s">
        <v>113</v>
      </c>
      <c r="BD356" t="s">
        <v>5776</v>
      </c>
      <c r="BE356" t="s">
        <v>5777</v>
      </c>
      <c r="BF356" t="s">
        <v>191</v>
      </c>
      <c r="BG356">
        <v>66.4</v>
      </c>
      <c r="BI356">
        <v>2002</v>
      </c>
      <c r="BJ356">
        <v>19</v>
      </c>
      <c r="BK356" t="s">
        <v>3263</v>
      </c>
      <c r="BL356">
        <v>53</v>
      </c>
      <c r="BM356" t="s">
        <v>3263</v>
      </c>
      <c r="BN356" t="s">
        <v>113</v>
      </c>
      <c r="BO356" t="s">
        <v>914</v>
      </c>
      <c r="BP356" t="s">
        <v>5778</v>
      </c>
      <c r="BQ356" t="s">
        <v>5779</v>
      </c>
      <c r="BR356">
        <v>66.75</v>
      </c>
      <c r="BT356">
        <v>2002</v>
      </c>
      <c r="BU356">
        <v>31</v>
      </c>
      <c r="BV356" t="s">
        <v>193</v>
      </c>
      <c r="BW356">
        <v>33</v>
      </c>
      <c r="BY356" t="s">
        <v>113</v>
      </c>
      <c r="BZ356" t="s">
        <v>5780</v>
      </c>
      <c r="CA356" t="s">
        <v>5781</v>
      </c>
      <c r="CB356" t="s">
        <v>5782</v>
      </c>
      <c r="CC356">
        <v>75</v>
      </c>
      <c r="CD356">
        <v>3.5</v>
      </c>
      <c r="CE356">
        <v>2010</v>
      </c>
      <c r="CF356" t="s">
        <v>113</v>
      </c>
      <c r="CG356" t="s">
        <v>5783</v>
      </c>
      <c r="CH356" t="s">
        <v>5784</v>
      </c>
      <c r="CI356" t="s">
        <v>132</v>
      </c>
      <c r="CJ356">
        <v>2024</v>
      </c>
      <c r="CL356" t="s">
        <v>113</v>
      </c>
      <c r="CM356" t="s">
        <v>5785</v>
      </c>
      <c r="CN356" t="s">
        <v>113</v>
      </c>
      <c r="CO356" t="s">
        <v>5786</v>
      </c>
      <c r="CP356" t="s">
        <v>5787</v>
      </c>
      <c r="CQ356" t="s">
        <v>5788</v>
      </c>
      <c r="CR356" t="s">
        <v>136</v>
      </c>
      <c r="CS356" t="str">
        <f>HYPERLINK("https://nconnect.nicmar.ac.in/pdf/517_resume_1771788314.pdf/Y2FyZWVy","View Resume")</f>
        <v>0</v>
      </c>
    </row>
    <row r="357" spans="1:97">
      <c r="A357" t="s">
        <v>343</v>
      </c>
      <c r="B357" t="s">
        <v>98</v>
      </c>
      <c r="C357" t="s">
        <v>295</v>
      </c>
      <c r="D357" t="s">
        <v>344</v>
      </c>
      <c r="E357" t="s">
        <v>5766</v>
      </c>
      <c r="F357" t="s">
        <v>5767</v>
      </c>
      <c r="G357">
        <v>9892749388</v>
      </c>
      <c r="H357" t="s">
        <v>103</v>
      </c>
      <c r="I357" t="s">
        <v>5768</v>
      </c>
      <c r="J357" t="s">
        <v>105</v>
      </c>
      <c r="K357" t="s">
        <v>777</v>
      </c>
      <c r="L357" t="s">
        <v>5769</v>
      </c>
      <c r="M357" t="s">
        <v>5770</v>
      </c>
      <c r="N357" t="s">
        <v>109</v>
      </c>
      <c r="AI357" t="s">
        <v>5771</v>
      </c>
      <c r="AJ357" t="s">
        <v>5772</v>
      </c>
      <c r="AK357" t="s">
        <v>5773</v>
      </c>
      <c r="AL357">
        <v>78.26</v>
      </c>
      <c r="AN357">
        <v>1996</v>
      </c>
      <c r="AO357" t="s">
        <v>113</v>
      </c>
      <c r="AP357" t="s">
        <v>5774</v>
      </c>
      <c r="AQ357" t="s">
        <v>5772</v>
      </c>
      <c r="AR357" t="s">
        <v>5775</v>
      </c>
      <c r="AS357">
        <v>77.33</v>
      </c>
      <c r="AU357">
        <v>1998</v>
      </c>
      <c r="AV357" t="s">
        <v>109</v>
      </c>
      <c r="BC357" t="s">
        <v>113</v>
      </c>
      <c r="BD357" t="s">
        <v>5776</v>
      </c>
      <c r="BE357" t="s">
        <v>5777</v>
      </c>
      <c r="BF357" t="s">
        <v>191</v>
      </c>
      <c r="BG357">
        <v>66.4</v>
      </c>
      <c r="BI357">
        <v>2002</v>
      </c>
      <c r="BJ357">
        <v>19</v>
      </c>
      <c r="BK357" t="s">
        <v>3263</v>
      </c>
      <c r="BL357">
        <v>53</v>
      </c>
      <c r="BM357" t="s">
        <v>3263</v>
      </c>
      <c r="BN357" t="s">
        <v>113</v>
      </c>
      <c r="BO357" t="s">
        <v>914</v>
      </c>
      <c r="BP357" t="s">
        <v>5778</v>
      </c>
      <c r="BQ357" t="s">
        <v>5779</v>
      </c>
      <c r="BR357">
        <v>66.75</v>
      </c>
      <c r="BT357">
        <v>2002</v>
      </c>
      <c r="BU357">
        <v>31</v>
      </c>
      <c r="BV357" t="s">
        <v>193</v>
      </c>
      <c r="BW357">
        <v>33</v>
      </c>
      <c r="BY357" t="s">
        <v>113</v>
      </c>
      <c r="BZ357" t="s">
        <v>5780</v>
      </c>
      <c r="CA357" t="s">
        <v>5781</v>
      </c>
      <c r="CB357" t="s">
        <v>5782</v>
      </c>
      <c r="CC357">
        <v>75</v>
      </c>
      <c r="CD357">
        <v>3.5</v>
      </c>
      <c r="CE357">
        <v>2010</v>
      </c>
      <c r="CF357" t="s">
        <v>113</v>
      </c>
      <c r="CG357" t="s">
        <v>5783</v>
      </c>
      <c r="CH357" t="s">
        <v>5784</v>
      </c>
      <c r="CI357" t="s">
        <v>132</v>
      </c>
      <c r="CJ357">
        <v>2024</v>
      </c>
      <c r="CL357" t="s">
        <v>113</v>
      </c>
      <c r="CM357" t="s">
        <v>5785</v>
      </c>
      <c r="CN357" t="s">
        <v>113</v>
      </c>
      <c r="CO357" t="s">
        <v>5786</v>
      </c>
      <c r="CP357" t="s">
        <v>5787</v>
      </c>
      <c r="CQ357" t="s">
        <v>5789</v>
      </c>
      <c r="CR357" t="s">
        <v>136</v>
      </c>
      <c r="CS357" t="str">
        <f>HYPERLINK("https://nconnect.nicmar.ac.in/pdf/517_resume_1771788314.pdf/Y2FyZWVy","View Resume")</f>
        <v>0</v>
      </c>
    </row>
    <row r="358" spans="1:97">
      <c r="A358" t="s">
        <v>846</v>
      </c>
      <c r="B358" t="s">
        <v>138</v>
      </c>
      <c r="C358" t="s">
        <v>165</v>
      </c>
      <c r="D358" t="s">
        <v>847</v>
      </c>
      <c r="E358" t="s">
        <v>5790</v>
      </c>
      <c r="F358" t="s">
        <v>5791</v>
      </c>
      <c r="G358">
        <v>9188536803</v>
      </c>
      <c r="H358" t="s">
        <v>169</v>
      </c>
      <c r="I358" t="s">
        <v>5792</v>
      </c>
      <c r="J358" t="s">
        <v>144</v>
      </c>
      <c r="K358" t="s">
        <v>5793</v>
      </c>
      <c r="L358" t="s">
        <v>5794</v>
      </c>
      <c r="M358" t="s">
        <v>5795</v>
      </c>
      <c r="N358" t="s">
        <v>109</v>
      </c>
      <c r="AI358" t="s">
        <v>5796</v>
      </c>
      <c r="AJ358" t="s">
        <v>5797</v>
      </c>
      <c r="AK358" t="s">
        <v>1297</v>
      </c>
      <c r="AL358">
        <v>89</v>
      </c>
      <c r="AM358">
        <v>9.4</v>
      </c>
      <c r="AN358">
        <v>2013</v>
      </c>
      <c r="AO358" t="s">
        <v>113</v>
      </c>
      <c r="AP358" t="s">
        <v>5796</v>
      </c>
      <c r="AQ358" t="s">
        <v>5797</v>
      </c>
      <c r="AR358" t="s">
        <v>5798</v>
      </c>
      <c r="AS358">
        <v>79</v>
      </c>
      <c r="AU358">
        <v>2015</v>
      </c>
      <c r="AV358" t="s">
        <v>109</v>
      </c>
      <c r="BC358" t="s">
        <v>113</v>
      </c>
      <c r="BD358" t="s">
        <v>5799</v>
      </c>
      <c r="BE358" t="s">
        <v>5800</v>
      </c>
      <c r="BF358" t="s">
        <v>5801</v>
      </c>
      <c r="BG358">
        <v>82</v>
      </c>
      <c r="BH358">
        <v>9.06</v>
      </c>
      <c r="BI358">
        <v>2018</v>
      </c>
      <c r="BJ358">
        <v>19</v>
      </c>
      <c r="BK358" t="s">
        <v>5802</v>
      </c>
      <c r="BL358">
        <v>53</v>
      </c>
      <c r="BN358" t="s">
        <v>113</v>
      </c>
      <c r="BO358" t="s">
        <v>5761</v>
      </c>
      <c r="BP358" t="s">
        <v>333</v>
      </c>
      <c r="BQ358" t="s">
        <v>5803</v>
      </c>
      <c r="BR358">
        <v>75</v>
      </c>
      <c r="BT358">
        <v>2020</v>
      </c>
      <c r="BU358">
        <v>31</v>
      </c>
      <c r="BV358" t="s">
        <v>3780</v>
      </c>
      <c r="BW358">
        <v>53</v>
      </c>
      <c r="BY358" t="s">
        <v>113</v>
      </c>
      <c r="BZ358" t="s">
        <v>1286</v>
      </c>
      <c r="CA358" t="s">
        <v>5804</v>
      </c>
      <c r="CB358" t="s">
        <v>484</v>
      </c>
      <c r="CC358">
        <v>92</v>
      </c>
      <c r="CE358">
        <v>2025</v>
      </c>
      <c r="CF358" t="s">
        <v>113</v>
      </c>
      <c r="CG358" t="s">
        <v>5805</v>
      </c>
      <c r="CH358" t="s">
        <v>5806</v>
      </c>
      <c r="CI358" t="s">
        <v>240</v>
      </c>
      <c r="CK358" t="s">
        <v>109</v>
      </c>
      <c r="CL358" t="s">
        <v>113</v>
      </c>
      <c r="CM358" t="s">
        <v>5807</v>
      </c>
      <c r="CN358" t="s">
        <v>113</v>
      </c>
      <c r="CO358" t="s">
        <v>5808</v>
      </c>
      <c r="CP358" t="s">
        <v>5809</v>
      </c>
      <c r="CQ358" t="s">
        <v>5810</v>
      </c>
      <c r="CR358" t="s">
        <v>136</v>
      </c>
      <c r="CS358" t="str">
        <f>HYPERLINK("https://nconnect.nicmar.ac.in/pdf/444_resume_1771817561.pdf/Y2FyZWVy","View Resume")</f>
        <v>0</v>
      </c>
    </row>
    <row r="359" spans="1:97">
      <c r="A359" t="s">
        <v>1203</v>
      </c>
      <c r="B359" t="s">
        <v>138</v>
      </c>
      <c r="C359" t="s">
        <v>165</v>
      </c>
      <c r="D359" t="s">
        <v>1204</v>
      </c>
      <c r="E359" t="s">
        <v>5790</v>
      </c>
      <c r="F359" t="s">
        <v>5791</v>
      </c>
      <c r="G359">
        <v>9188536803</v>
      </c>
      <c r="H359" t="s">
        <v>169</v>
      </c>
      <c r="I359" t="s">
        <v>5792</v>
      </c>
      <c r="J359" t="s">
        <v>144</v>
      </c>
      <c r="K359" t="s">
        <v>5793</v>
      </c>
      <c r="L359" t="s">
        <v>5794</v>
      </c>
      <c r="M359" t="s">
        <v>5795</v>
      </c>
      <c r="N359" t="s">
        <v>109</v>
      </c>
      <c r="AI359" t="s">
        <v>5796</v>
      </c>
      <c r="AJ359" t="s">
        <v>5797</v>
      </c>
      <c r="AK359" t="s">
        <v>1297</v>
      </c>
      <c r="AL359">
        <v>89</v>
      </c>
      <c r="AM359">
        <v>9.4</v>
      </c>
      <c r="AN359">
        <v>2013</v>
      </c>
      <c r="AO359" t="s">
        <v>113</v>
      </c>
      <c r="AP359" t="s">
        <v>5796</v>
      </c>
      <c r="AQ359" t="s">
        <v>5797</v>
      </c>
      <c r="AR359" t="s">
        <v>5798</v>
      </c>
      <c r="AS359">
        <v>79</v>
      </c>
      <c r="AU359">
        <v>2015</v>
      </c>
      <c r="AV359" t="s">
        <v>109</v>
      </c>
      <c r="BC359" t="s">
        <v>113</v>
      </c>
      <c r="BD359" t="s">
        <v>5799</v>
      </c>
      <c r="BE359" t="s">
        <v>5800</v>
      </c>
      <c r="BF359" t="s">
        <v>5801</v>
      </c>
      <c r="BG359">
        <v>82</v>
      </c>
      <c r="BH359">
        <v>9.06</v>
      </c>
      <c r="BI359">
        <v>2018</v>
      </c>
      <c r="BJ359">
        <v>19</v>
      </c>
      <c r="BK359" t="s">
        <v>5802</v>
      </c>
      <c r="BL359">
        <v>53</v>
      </c>
      <c r="BN359" t="s">
        <v>113</v>
      </c>
      <c r="BO359" t="s">
        <v>5761</v>
      </c>
      <c r="BP359" t="s">
        <v>333</v>
      </c>
      <c r="BQ359" t="s">
        <v>5803</v>
      </c>
      <c r="BR359">
        <v>75</v>
      </c>
      <c r="BT359">
        <v>2020</v>
      </c>
      <c r="BU359">
        <v>31</v>
      </c>
      <c r="BV359" t="s">
        <v>3780</v>
      </c>
      <c r="BW359">
        <v>53</v>
      </c>
      <c r="BY359" t="s">
        <v>113</v>
      </c>
      <c r="BZ359" t="s">
        <v>1286</v>
      </c>
      <c r="CA359" t="s">
        <v>5804</v>
      </c>
      <c r="CB359" t="s">
        <v>484</v>
      </c>
      <c r="CC359">
        <v>92</v>
      </c>
      <c r="CE359">
        <v>2025</v>
      </c>
      <c r="CF359" t="s">
        <v>113</v>
      </c>
      <c r="CG359" t="s">
        <v>5805</v>
      </c>
      <c r="CH359" t="s">
        <v>5806</v>
      </c>
      <c r="CI359" t="s">
        <v>240</v>
      </c>
      <c r="CK359" t="s">
        <v>109</v>
      </c>
      <c r="CL359" t="s">
        <v>113</v>
      </c>
      <c r="CM359" t="s">
        <v>5807</v>
      </c>
      <c r="CN359" t="s">
        <v>113</v>
      </c>
      <c r="CO359" t="s">
        <v>5808</v>
      </c>
      <c r="CP359" t="s">
        <v>5809</v>
      </c>
      <c r="CQ359" t="s">
        <v>5810</v>
      </c>
      <c r="CR359" t="s">
        <v>136</v>
      </c>
      <c r="CS359" t="str">
        <f>HYPERLINK("https://nconnect.nicmar.ac.in/pdf/444_resume_1771817561.pdf/Y2FyZWVy","View Resume")</f>
        <v>0</v>
      </c>
    </row>
    <row r="360" spans="1:97">
      <c r="A360" t="s">
        <v>521</v>
      </c>
      <c r="B360" t="s">
        <v>138</v>
      </c>
      <c r="C360" t="s">
        <v>165</v>
      </c>
      <c r="D360" t="s">
        <v>522</v>
      </c>
      <c r="E360" t="s">
        <v>5811</v>
      </c>
      <c r="F360" t="s">
        <v>5812</v>
      </c>
      <c r="G360">
        <v>9910801434</v>
      </c>
      <c r="H360" t="s">
        <v>103</v>
      </c>
      <c r="I360" t="s">
        <v>5813</v>
      </c>
      <c r="J360" t="s">
        <v>105</v>
      </c>
      <c r="K360" t="s">
        <v>1270</v>
      </c>
      <c r="L360" t="s">
        <v>5814</v>
      </c>
      <c r="M360" t="s">
        <v>5815</v>
      </c>
      <c r="N360" t="s">
        <v>109</v>
      </c>
      <c r="AI360" t="s">
        <v>5816</v>
      </c>
      <c r="AJ360" t="s">
        <v>5817</v>
      </c>
      <c r="AK360" t="s">
        <v>782</v>
      </c>
      <c r="AL360">
        <v>66</v>
      </c>
      <c r="AM360" t="s">
        <v>5818</v>
      </c>
      <c r="AN360">
        <v>2003</v>
      </c>
      <c r="AO360" t="s">
        <v>113</v>
      </c>
      <c r="AP360" t="s">
        <v>5819</v>
      </c>
      <c r="AQ360" t="s">
        <v>5820</v>
      </c>
      <c r="AR360" t="s">
        <v>5821</v>
      </c>
      <c r="AS360">
        <v>48</v>
      </c>
      <c r="AT360" t="s">
        <v>5818</v>
      </c>
      <c r="AU360">
        <v>2005</v>
      </c>
      <c r="AV360" t="s">
        <v>109</v>
      </c>
      <c r="BC360" t="s">
        <v>113</v>
      </c>
      <c r="BD360" t="s">
        <v>5822</v>
      </c>
      <c r="BE360" t="s">
        <v>2447</v>
      </c>
      <c r="BF360" t="s">
        <v>623</v>
      </c>
      <c r="BG360">
        <v>62</v>
      </c>
      <c r="BH360" t="s">
        <v>5818</v>
      </c>
      <c r="BI360">
        <v>2011</v>
      </c>
      <c r="BJ360">
        <v>19</v>
      </c>
      <c r="BK360" t="s">
        <v>5822</v>
      </c>
      <c r="BL360">
        <v>11</v>
      </c>
      <c r="BN360" t="s">
        <v>113</v>
      </c>
      <c r="BO360" t="s">
        <v>5823</v>
      </c>
      <c r="BP360" t="s">
        <v>5824</v>
      </c>
      <c r="BQ360" t="s">
        <v>258</v>
      </c>
      <c r="BR360">
        <v>70</v>
      </c>
      <c r="BS360">
        <v>7.38</v>
      </c>
      <c r="BT360">
        <v>2014</v>
      </c>
      <c r="BU360">
        <v>31</v>
      </c>
      <c r="BV360" t="s">
        <v>5825</v>
      </c>
      <c r="BW360">
        <v>54</v>
      </c>
      <c r="BY360" t="s">
        <v>109</v>
      </c>
      <c r="CF360" t="s">
        <v>113</v>
      </c>
      <c r="CG360" t="s">
        <v>623</v>
      </c>
      <c r="CH360" t="s">
        <v>5826</v>
      </c>
      <c r="CI360" t="s">
        <v>132</v>
      </c>
      <c r="CJ360">
        <v>2025</v>
      </c>
      <c r="CL360" t="s">
        <v>109</v>
      </c>
      <c r="CN360" t="s">
        <v>113</v>
      </c>
      <c r="CO360" t="s">
        <v>5827</v>
      </c>
      <c r="CP360" t="s">
        <v>5828</v>
      </c>
      <c r="CQ360" t="s">
        <v>5829</v>
      </c>
      <c r="CR360" t="str">
        <f>HYPERLINK("https://nconnect.nicmar.ac.in/public/storage/profile/699bd2e2df426.png","Download")</f>
        <v>0</v>
      </c>
      <c r="CS360" t="str">
        <f>HYPERLINK("https://nconnect.nicmar.ac.in/pdf/524_resume_1771821944.pdf/Y2FyZWVy","View Resume")</f>
        <v>0</v>
      </c>
    </row>
    <row r="361" spans="1:97">
      <c r="A361" t="s">
        <v>367</v>
      </c>
      <c r="B361" t="s">
        <v>138</v>
      </c>
      <c r="C361" t="s">
        <v>295</v>
      </c>
      <c r="D361" t="s">
        <v>368</v>
      </c>
      <c r="E361" t="s">
        <v>5830</v>
      </c>
      <c r="F361" t="s">
        <v>5831</v>
      </c>
      <c r="G361">
        <v>9564419041</v>
      </c>
      <c r="H361" t="s">
        <v>169</v>
      </c>
      <c r="I361" t="s">
        <v>5832</v>
      </c>
      <c r="J361" t="s">
        <v>144</v>
      </c>
      <c r="K361" t="s">
        <v>1494</v>
      </c>
      <c r="L361" t="s">
        <v>5833</v>
      </c>
      <c r="M361" t="s">
        <v>5834</v>
      </c>
      <c r="N361" t="s">
        <v>109</v>
      </c>
      <c r="AI361" t="s">
        <v>5835</v>
      </c>
      <c r="AJ361" t="s">
        <v>5836</v>
      </c>
      <c r="AK361" t="s">
        <v>5837</v>
      </c>
      <c r="AL361">
        <v>74</v>
      </c>
      <c r="AM361">
        <v>7.4</v>
      </c>
      <c r="AN361">
        <v>2017</v>
      </c>
      <c r="AO361" t="s">
        <v>113</v>
      </c>
      <c r="AP361" t="s">
        <v>5835</v>
      </c>
      <c r="AQ361" t="s">
        <v>5836</v>
      </c>
      <c r="AR361" t="s">
        <v>5838</v>
      </c>
      <c r="AS361">
        <v>75.8</v>
      </c>
      <c r="AT361">
        <v>7.58</v>
      </c>
      <c r="AU361">
        <v>2019</v>
      </c>
      <c r="AV361" t="s">
        <v>109</v>
      </c>
      <c r="BC361" t="s">
        <v>113</v>
      </c>
      <c r="BD361" t="s">
        <v>5839</v>
      </c>
      <c r="BE361" t="s">
        <v>5839</v>
      </c>
      <c r="BF361" t="s">
        <v>156</v>
      </c>
      <c r="BG361">
        <v>82.2</v>
      </c>
      <c r="BH361">
        <v>8.22</v>
      </c>
      <c r="BI361">
        <v>2023</v>
      </c>
      <c r="BJ361">
        <v>1</v>
      </c>
      <c r="BL361">
        <v>9</v>
      </c>
      <c r="BN361" t="s">
        <v>113</v>
      </c>
      <c r="BO361" t="s">
        <v>5840</v>
      </c>
      <c r="BP361" t="s">
        <v>5840</v>
      </c>
      <c r="BQ361" t="s">
        <v>158</v>
      </c>
      <c r="BR361">
        <v>78.8</v>
      </c>
      <c r="BS361">
        <v>7.88</v>
      </c>
      <c r="BT361">
        <v>2025</v>
      </c>
      <c r="BU361">
        <v>14</v>
      </c>
      <c r="BW361">
        <v>9</v>
      </c>
      <c r="BY361" t="s">
        <v>109</v>
      </c>
      <c r="CF361" t="s">
        <v>109</v>
      </c>
      <c r="CL361" t="s">
        <v>113</v>
      </c>
      <c r="CM361" t="s">
        <v>5841</v>
      </c>
      <c r="CN361" t="s">
        <v>113</v>
      </c>
      <c r="CO361" t="s">
        <v>5842</v>
      </c>
      <c r="CP361" t="s">
        <v>5843</v>
      </c>
      <c r="CQ361" t="s">
        <v>5844</v>
      </c>
      <c r="CR361" t="s">
        <v>136</v>
      </c>
      <c r="CS361" t="str">
        <f>HYPERLINK("https://nconnect.nicmar.ac.in/pdf/367_resume_1771823025.pdf/Y2FyZWVy","View Resume")</f>
        <v>0</v>
      </c>
    </row>
    <row r="362" spans="1:97">
      <c r="A362" t="s">
        <v>370</v>
      </c>
      <c r="B362" t="s">
        <v>138</v>
      </c>
      <c r="C362" t="s">
        <v>295</v>
      </c>
      <c r="D362" t="s">
        <v>371</v>
      </c>
      <c r="E362" t="s">
        <v>5830</v>
      </c>
      <c r="F362" t="s">
        <v>5831</v>
      </c>
      <c r="G362">
        <v>9564419041</v>
      </c>
      <c r="H362" t="s">
        <v>169</v>
      </c>
      <c r="I362" t="s">
        <v>5832</v>
      </c>
      <c r="J362" t="s">
        <v>144</v>
      </c>
      <c r="K362" t="s">
        <v>1494</v>
      </c>
      <c r="L362" t="s">
        <v>5833</v>
      </c>
      <c r="M362" t="s">
        <v>5834</v>
      </c>
      <c r="N362" t="s">
        <v>109</v>
      </c>
      <c r="AI362" t="s">
        <v>5835</v>
      </c>
      <c r="AJ362" t="s">
        <v>5836</v>
      </c>
      <c r="AK362" t="s">
        <v>5837</v>
      </c>
      <c r="AL362">
        <v>74</v>
      </c>
      <c r="AM362">
        <v>7.4</v>
      </c>
      <c r="AN362">
        <v>2017</v>
      </c>
      <c r="AO362" t="s">
        <v>113</v>
      </c>
      <c r="AP362" t="s">
        <v>5835</v>
      </c>
      <c r="AQ362" t="s">
        <v>5836</v>
      </c>
      <c r="AR362" t="s">
        <v>5838</v>
      </c>
      <c r="AS362">
        <v>75.8</v>
      </c>
      <c r="AT362">
        <v>7.58</v>
      </c>
      <c r="AU362">
        <v>2019</v>
      </c>
      <c r="AV362" t="s">
        <v>109</v>
      </c>
      <c r="BC362" t="s">
        <v>113</v>
      </c>
      <c r="BD362" t="s">
        <v>5839</v>
      </c>
      <c r="BE362" t="s">
        <v>5839</v>
      </c>
      <c r="BF362" t="s">
        <v>156</v>
      </c>
      <c r="BG362">
        <v>82.2</v>
      </c>
      <c r="BH362">
        <v>8.22</v>
      </c>
      <c r="BI362">
        <v>2023</v>
      </c>
      <c r="BJ362">
        <v>1</v>
      </c>
      <c r="BL362">
        <v>9</v>
      </c>
      <c r="BN362" t="s">
        <v>113</v>
      </c>
      <c r="BO362" t="s">
        <v>5840</v>
      </c>
      <c r="BP362" t="s">
        <v>5840</v>
      </c>
      <c r="BQ362" t="s">
        <v>158</v>
      </c>
      <c r="BR362">
        <v>78.8</v>
      </c>
      <c r="BS362">
        <v>7.88</v>
      </c>
      <c r="BT362">
        <v>2025</v>
      </c>
      <c r="BU362">
        <v>14</v>
      </c>
      <c r="BW362">
        <v>9</v>
      </c>
      <c r="BY362" t="s">
        <v>109</v>
      </c>
      <c r="CF362" t="s">
        <v>109</v>
      </c>
      <c r="CL362" t="s">
        <v>113</v>
      </c>
      <c r="CM362" t="s">
        <v>5841</v>
      </c>
      <c r="CN362" t="s">
        <v>113</v>
      </c>
      <c r="CO362" t="s">
        <v>5842</v>
      </c>
      <c r="CP362" t="s">
        <v>5843</v>
      </c>
      <c r="CQ362" t="s">
        <v>5845</v>
      </c>
      <c r="CR362" t="s">
        <v>136</v>
      </c>
      <c r="CS362" t="str">
        <f>HYPERLINK("https://nconnect.nicmar.ac.in/pdf/367_resume_1771823025.pdf/Y2FyZWVy","View Resume")</f>
        <v>0</v>
      </c>
    </row>
    <row r="363" spans="1:97">
      <c r="A363" t="s">
        <v>223</v>
      </c>
      <c r="B363" t="s">
        <v>138</v>
      </c>
      <c r="C363" t="s">
        <v>165</v>
      </c>
      <c r="D363" t="s">
        <v>224</v>
      </c>
      <c r="E363" t="s">
        <v>5846</v>
      </c>
      <c r="F363" t="s">
        <v>5847</v>
      </c>
      <c r="G363">
        <v>9623766469</v>
      </c>
      <c r="H363" t="s">
        <v>169</v>
      </c>
      <c r="I363" t="s">
        <v>5848</v>
      </c>
      <c r="J363" t="s">
        <v>105</v>
      </c>
      <c r="K363" t="s">
        <v>526</v>
      </c>
      <c r="L363" t="s">
        <v>5849</v>
      </c>
      <c r="M363" t="s">
        <v>5850</v>
      </c>
      <c r="N363" t="s">
        <v>109</v>
      </c>
      <c r="AI363" t="s">
        <v>5851</v>
      </c>
      <c r="AJ363" t="s">
        <v>1542</v>
      </c>
      <c r="AK363" t="s">
        <v>5852</v>
      </c>
      <c r="AL363">
        <v>75.33</v>
      </c>
      <c r="AN363">
        <v>2005</v>
      </c>
      <c r="AO363" t="s">
        <v>113</v>
      </c>
      <c r="AP363" t="s">
        <v>5853</v>
      </c>
      <c r="AQ363" t="s">
        <v>1542</v>
      </c>
      <c r="AR363" t="s">
        <v>277</v>
      </c>
      <c r="AS363">
        <v>63.33</v>
      </c>
      <c r="AU363">
        <v>2007</v>
      </c>
      <c r="AV363" t="s">
        <v>109</v>
      </c>
      <c r="BC363" t="s">
        <v>113</v>
      </c>
      <c r="BD363" t="s">
        <v>358</v>
      </c>
      <c r="BE363" t="s">
        <v>5854</v>
      </c>
      <c r="BF363" t="s">
        <v>5855</v>
      </c>
      <c r="BG363">
        <v>67.33</v>
      </c>
      <c r="BI363">
        <v>2014</v>
      </c>
      <c r="BJ363">
        <v>19</v>
      </c>
      <c r="BK363" t="s">
        <v>5856</v>
      </c>
      <c r="BL363">
        <v>54</v>
      </c>
      <c r="BN363" t="s">
        <v>113</v>
      </c>
      <c r="BO363" t="s">
        <v>5857</v>
      </c>
      <c r="BP363" t="s">
        <v>5858</v>
      </c>
      <c r="BQ363" t="s">
        <v>5859</v>
      </c>
      <c r="BR363">
        <v>86.83</v>
      </c>
      <c r="BS363">
        <v>9.14</v>
      </c>
      <c r="BT363">
        <v>2023</v>
      </c>
      <c r="BU363">
        <v>31</v>
      </c>
      <c r="BV363" t="s">
        <v>5860</v>
      </c>
      <c r="BW363">
        <v>53</v>
      </c>
      <c r="BX363" t="s">
        <v>5861</v>
      </c>
      <c r="BY363" t="s">
        <v>109</v>
      </c>
      <c r="CF363" t="s">
        <v>113</v>
      </c>
      <c r="CG363" t="s">
        <v>5859</v>
      </c>
      <c r="CH363" t="s">
        <v>5862</v>
      </c>
      <c r="CI363" t="s">
        <v>240</v>
      </c>
      <c r="CK363" t="s">
        <v>109</v>
      </c>
      <c r="CL363" t="s">
        <v>109</v>
      </c>
      <c r="CN363" t="s">
        <v>109</v>
      </c>
      <c r="CP363" t="s">
        <v>5863</v>
      </c>
      <c r="CQ363" t="s">
        <v>5864</v>
      </c>
      <c r="CR363" t="str">
        <f>HYPERLINK("https://nconnect.nicmar.ac.in/public/storage/profile/699be5bd219e6.png","Download")</f>
        <v>0</v>
      </c>
      <c r="CS363" t="str">
        <f>HYPERLINK("https://nconnect.nicmar.ac.in/pdf/283_resume_1771824842.pdf/Y2FyZWVy","View Resume")</f>
        <v>0</v>
      </c>
    </row>
    <row r="364" spans="1:97">
      <c r="A364" t="s">
        <v>223</v>
      </c>
      <c r="B364" t="s">
        <v>138</v>
      </c>
      <c r="C364" t="s">
        <v>165</v>
      </c>
      <c r="D364" t="s">
        <v>224</v>
      </c>
      <c r="E364" t="s">
        <v>5865</v>
      </c>
      <c r="F364" t="s">
        <v>5866</v>
      </c>
      <c r="G364">
        <v>8126349444</v>
      </c>
      <c r="H364" t="s">
        <v>169</v>
      </c>
      <c r="I364" t="s">
        <v>5867</v>
      </c>
      <c r="J364" t="s">
        <v>105</v>
      </c>
      <c r="K364" t="s">
        <v>505</v>
      </c>
      <c r="L364" t="s">
        <v>5868</v>
      </c>
      <c r="M364" t="s">
        <v>5869</v>
      </c>
      <c r="N364" t="s">
        <v>109</v>
      </c>
      <c r="AI364" t="s">
        <v>5870</v>
      </c>
      <c r="AJ364" t="s">
        <v>5871</v>
      </c>
      <c r="AK364" t="s">
        <v>5872</v>
      </c>
      <c r="AL364">
        <v>75.1</v>
      </c>
      <c r="AN364">
        <v>2001</v>
      </c>
      <c r="AO364" t="s">
        <v>113</v>
      </c>
      <c r="AP364" t="s">
        <v>5870</v>
      </c>
      <c r="AQ364" t="s">
        <v>5873</v>
      </c>
      <c r="AR364" t="s">
        <v>5874</v>
      </c>
      <c r="AS364">
        <v>68.8</v>
      </c>
      <c r="AU364">
        <v>2003</v>
      </c>
      <c r="AV364" t="s">
        <v>109</v>
      </c>
      <c r="BC364" t="s">
        <v>113</v>
      </c>
      <c r="BD364" t="s">
        <v>5875</v>
      </c>
      <c r="BE364" t="s">
        <v>5876</v>
      </c>
      <c r="BF364" t="s">
        <v>2784</v>
      </c>
      <c r="BG364">
        <v>77.56</v>
      </c>
      <c r="BI364">
        <v>2007</v>
      </c>
      <c r="BJ364">
        <v>19</v>
      </c>
      <c r="BK364" t="s">
        <v>2923</v>
      </c>
      <c r="BL364">
        <v>20</v>
      </c>
      <c r="BN364" t="s">
        <v>113</v>
      </c>
      <c r="BO364" t="s">
        <v>5877</v>
      </c>
      <c r="BP364" t="s">
        <v>5877</v>
      </c>
      <c r="BQ364" t="s">
        <v>5878</v>
      </c>
      <c r="BR364">
        <v>78</v>
      </c>
      <c r="BT364">
        <v>2009</v>
      </c>
      <c r="BU364">
        <v>31</v>
      </c>
      <c r="BV364" t="s">
        <v>339</v>
      </c>
      <c r="BW364">
        <v>53</v>
      </c>
      <c r="BX364" t="s">
        <v>5879</v>
      </c>
      <c r="BY364" t="s">
        <v>113</v>
      </c>
      <c r="BZ364" t="s">
        <v>824</v>
      </c>
      <c r="CA364" t="s">
        <v>824</v>
      </c>
      <c r="CB364" t="s">
        <v>1686</v>
      </c>
      <c r="CC364">
        <v>65.14</v>
      </c>
      <c r="CE364">
        <v>2012</v>
      </c>
      <c r="CF364" t="s">
        <v>113</v>
      </c>
      <c r="CG364" t="s">
        <v>1686</v>
      </c>
      <c r="CH364" t="s">
        <v>5880</v>
      </c>
      <c r="CI364" t="s">
        <v>132</v>
      </c>
      <c r="CJ364">
        <v>2018</v>
      </c>
      <c r="CL364" t="s">
        <v>113</v>
      </c>
      <c r="CN364" t="s">
        <v>113</v>
      </c>
      <c r="CO364" t="s">
        <v>5881</v>
      </c>
      <c r="CP364" t="s">
        <v>460</v>
      </c>
      <c r="CQ364" t="s">
        <v>5882</v>
      </c>
      <c r="CR364" t="s">
        <v>136</v>
      </c>
      <c r="CS364" t="str">
        <f>HYPERLINK("https://nconnect.nicmar.ac.in/pdf/308_resume_1771826039.pdf/Y2FyZWVy","View Resume")</f>
        <v>0</v>
      </c>
    </row>
    <row r="365" spans="1:97">
      <c r="A365" t="s">
        <v>1116</v>
      </c>
      <c r="B365" t="s">
        <v>98</v>
      </c>
      <c r="C365" t="s">
        <v>99</v>
      </c>
      <c r="D365" t="s">
        <v>1117</v>
      </c>
      <c r="E365" t="s">
        <v>5883</v>
      </c>
      <c r="F365" t="s">
        <v>5884</v>
      </c>
      <c r="G365">
        <v>6280152766</v>
      </c>
      <c r="H365" t="s">
        <v>169</v>
      </c>
      <c r="I365" t="s">
        <v>5885</v>
      </c>
      <c r="J365" t="s">
        <v>144</v>
      </c>
      <c r="K365" t="s">
        <v>5886</v>
      </c>
      <c r="L365" t="s">
        <v>5887</v>
      </c>
      <c r="M365" t="s">
        <v>5888</v>
      </c>
      <c r="N365" t="s">
        <v>109</v>
      </c>
      <c r="AI365" t="s">
        <v>5889</v>
      </c>
      <c r="AJ365" t="s">
        <v>5890</v>
      </c>
      <c r="AK365" t="s">
        <v>5891</v>
      </c>
      <c r="AL365">
        <v>75.2</v>
      </c>
      <c r="AN365">
        <v>2008</v>
      </c>
      <c r="AO365" t="s">
        <v>109</v>
      </c>
      <c r="AV365" t="s">
        <v>113</v>
      </c>
      <c r="AW365" t="s">
        <v>5892</v>
      </c>
      <c r="AX365" t="s">
        <v>5893</v>
      </c>
      <c r="AY365" t="s">
        <v>5894</v>
      </c>
      <c r="AZ365">
        <v>71.64</v>
      </c>
      <c r="BB365">
        <v>2011</v>
      </c>
      <c r="BC365" t="s">
        <v>113</v>
      </c>
      <c r="BD365" t="s">
        <v>720</v>
      </c>
      <c r="BE365" t="s">
        <v>720</v>
      </c>
      <c r="BF365" t="s">
        <v>5895</v>
      </c>
      <c r="BG365">
        <v>72.35</v>
      </c>
      <c r="BH365">
        <v>7.83</v>
      </c>
      <c r="BI365">
        <v>2012</v>
      </c>
      <c r="BJ365">
        <v>8</v>
      </c>
      <c r="BL365">
        <v>2</v>
      </c>
      <c r="BN365" t="s">
        <v>113</v>
      </c>
      <c r="BO365" t="s">
        <v>5896</v>
      </c>
      <c r="BP365" t="s">
        <v>5897</v>
      </c>
      <c r="BQ365" t="s">
        <v>5898</v>
      </c>
      <c r="BR365">
        <v>78.9</v>
      </c>
      <c r="BS365">
        <v>8.31</v>
      </c>
      <c r="BT365">
        <v>2026</v>
      </c>
      <c r="BU365">
        <v>31</v>
      </c>
      <c r="BV365" t="s">
        <v>5899</v>
      </c>
      <c r="BW365">
        <v>2</v>
      </c>
      <c r="BY365" t="s">
        <v>109</v>
      </c>
      <c r="CF365" t="s">
        <v>109</v>
      </c>
      <c r="CL365" t="s">
        <v>113</v>
      </c>
      <c r="CM365" t="s">
        <v>5900</v>
      </c>
      <c r="CN365" t="s">
        <v>113</v>
      </c>
      <c r="CO365" t="s">
        <v>5901</v>
      </c>
      <c r="CP365" t="s">
        <v>5902</v>
      </c>
      <c r="CQ365" t="s">
        <v>5903</v>
      </c>
      <c r="CR365" t="s">
        <v>136</v>
      </c>
      <c r="CS365" t="str">
        <f>HYPERLINK("https://nconnect.nicmar.ac.in/pdf/470_resume_1771697267.pdf/Y2FyZWVy","View Resume")</f>
        <v>0</v>
      </c>
    </row>
    <row r="366" spans="1:97">
      <c r="A366" t="s">
        <v>164</v>
      </c>
      <c r="B366" t="s">
        <v>138</v>
      </c>
      <c r="C366" t="s">
        <v>165</v>
      </c>
      <c r="D366" t="s">
        <v>166</v>
      </c>
      <c r="E366" t="s">
        <v>5904</v>
      </c>
      <c r="F366" t="s">
        <v>5905</v>
      </c>
      <c r="G366">
        <v>7205557163</v>
      </c>
      <c r="H366" t="s">
        <v>103</v>
      </c>
      <c r="I366" t="s">
        <v>5906</v>
      </c>
      <c r="J366" t="s">
        <v>105</v>
      </c>
      <c r="K366" t="s">
        <v>1060</v>
      </c>
      <c r="L366" t="s">
        <v>5907</v>
      </c>
      <c r="M366" t="s">
        <v>5908</v>
      </c>
      <c r="N366" t="s">
        <v>109</v>
      </c>
      <c r="AI366" t="s">
        <v>5909</v>
      </c>
      <c r="AJ366" t="s">
        <v>5910</v>
      </c>
      <c r="AK366" t="s">
        <v>5911</v>
      </c>
      <c r="AL366">
        <v>70.13</v>
      </c>
      <c r="AN366">
        <v>2000</v>
      </c>
      <c r="AO366" t="s">
        <v>113</v>
      </c>
      <c r="AP366" t="s">
        <v>5912</v>
      </c>
      <c r="AQ366" t="s">
        <v>5913</v>
      </c>
      <c r="AR366" t="s">
        <v>5914</v>
      </c>
      <c r="AS366">
        <v>49.88</v>
      </c>
      <c r="AU366">
        <v>2002</v>
      </c>
      <c r="AV366" t="s">
        <v>113</v>
      </c>
      <c r="AW366" t="s">
        <v>5915</v>
      </c>
      <c r="AX366" t="s">
        <v>5916</v>
      </c>
      <c r="AY366" t="s">
        <v>5917</v>
      </c>
      <c r="AZ366">
        <v>73.06</v>
      </c>
      <c r="BB366">
        <v>2005</v>
      </c>
      <c r="BC366" t="s">
        <v>113</v>
      </c>
      <c r="BD366" t="s">
        <v>5918</v>
      </c>
      <c r="BE366" t="s">
        <v>5919</v>
      </c>
      <c r="BF366" t="s">
        <v>5920</v>
      </c>
      <c r="BG366">
        <v>76.25</v>
      </c>
      <c r="BI366">
        <v>2011</v>
      </c>
      <c r="BJ366">
        <v>19</v>
      </c>
      <c r="BK366" t="s">
        <v>5921</v>
      </c>
      <c r="BL366">
        <v>34</v>
      </c>
      <c r="BN366" t="s">
        <v>113</v>
      </c>
      <c r="BO366" t="s">
        <v>5922</v>
      </c>
      <c r="BP366" t="s">
        <v>5923</v>
      </c>
      <c r="BQ366" t="s">
        <v>5924</v>
      </c>
      <c r="BR366">
        <v>85.1</v>
      </c>
      <c r="BS366">
        <v>8.71</v>
      </c>
      <c r="BT366">
        <v>2016</v>
      </c>
      <c r="BU366">
        <v>31</v>
      </c>
      <c r="BV366" t="s">
        <v>5925</v>
      </c>
      <c r="BW366">
        <v>34</v>
      </c>
      <c r="BY366" t="s">
        <v>113</v>
      </c>
      <c r="BZ366" t="s">
        <v>5926</v>
      </c>
      <c r="CA366" t="s">
        <v>5927</v>
      </c>
      <c r="CB366" t="s">
        <v>5928</v>
      </c>
      <c r="CC366">
        <v>83.66</v>
      </c>
      <c r="CD366">
        <v>8.41</v>
      </c>
      <c r="CE366">
        <v>2022</v>
      </c>
      <c r="CF366" t="s">
        <v>113</v>
      </c>
      <c r="CG366" t="s">
        <v>5929</v>
      </c>
      <c r="CH366" t="s">
        <v>5930</v>
      </c>
      <c r="CI366" t="s">
        <v>132</v>
      </c>
      <c r="CJ366">
        <v>2023</v>
      </c>
      <c r="CL366" t="s">
        <v>113</v>
      </c>
      <c r="CN366" t="s">
        <v>113</v>
      </c>
      <c r="CO366" t="s">
        <v>5931</v>
      </c>
      <c r="CP366" t="s">
        <v>5932</v>
      </c>
      <c r="CQ366" t="s">
        <v>5933</v>
      </c>
      <c r="CR366" t="str">
        <f>HYPERLINK("https://nconnect.nicmar.ac.in/public/storage/profile/699936d1aff60.png","Download")</f>
        <v>0</v>
      </c>
      <c r="CS366" t="str">
        <f>HYPERLINK("https://nconnect.nicmar.ac.in/pdf/528_resume_1771827354.pdf/Y2FyZWVy","View Resume")</f>
        <v>0</v>
      </c>
    </row>
    <row r="367" spans="1:97">
      <c r="A367" t="s">
        <v>164</v>
      </c>
      <c r="B367" t="s">
        <v>138</v>
      </c>
      <c r="C367" t="s">
        <v>165</v>
      </c>
      <c r="D367" t="s">
        <v>166</v>
      </c>
      <c r="E367" t="s">
        <v>5934</v>
      </c>
      <c r="F367" t="s">
        <v>5935</v>
      </c>
      <c r="G367">
        <v>8462998478</v>
      </c>
      <c r="H367" t="s">
        <v>103</v>
      </c>
      <c r="I367" t="s">
        <v>5936</v>
      </c>
      <c r="J367" t="s">
        <v>144</v>
      </c>
      <c r="K367" t="s">
        <v>4259</v>
      </c>
      <c r="L367" t="s">
        <v>5937</v>
      </c>
      <c r="M367" t="s">
        <v>5938</v>
      </c>
      <c r="N367" t="s">
        <v>109</v>
      </c>
      <c r="AI367" t="s">
        <v>5939</v>
      </c>
      <c r="AJ367" t="s">
        <v>5940</v>
      </c>
      <c r="AK367" t="s">
        <v>5941</v>
      </c>
      <c r="AL367">
        <v>80</v>
      </c>
      <c r="AN367">
        <v>2005</v>
      </c>
      <c r="AO367" t="s">
        <v>113</v>
      </c>
      <c r="AP367" t="s">
        <v>5942</v>
      </c>
      <c r="AQ367" t="s">
        <v>5940</v>
      </c>
      <c r="AR367" t="s">
        <v>5943</v>
      </c>
      <c r="AS367">
        <v>81</v>
      </c>
      <c r="AU367">
        <v>2007</v>
      </c>
      <c r="AV367" t="s">
        <v>109</v>
      </c>
      <c r="BC367" t="s">
        <v>113</v>
      </c>
      <c r="BD367" t="s">
        <v>5944</v>
      </c>
      <c r="BE367" t="s">
        <v>5945</v>
      </c>
      <c r="BF367" t="s">
        <v>4096</v>
      </c>
      <c r="BG367">
        <v>79</v>
      </c>
      <c r="BI367">
        <v>2012</v>
      </c>
      <c r="BJ367">
        <v>19</v>
      </c>
      <c r="BK367" t="s">
        <v>5946</v>
      </c>
      <c r="BL367">
        <v>34</v>
      </c>
      <c r="BN367" t="s">
        <v>113</v>
      </c>
      <c r="BO367" t="s">
        <v>5947</v>
      </c>
      <c r="BP367" t="s">
        <v>5947</v>
      </c>
      <c r="BQ367" t="s">
        <v>5948</v>
      </c>
      <c r="BR367">
        <v>81</v>
      </c>
      <c r="BS367">
        <v>8.68</v>
      </c>
      <c r="BT367">
        <v>2016</v>
      </c>
      <c r="BU367">
        <v>31</v>
      </c>
      <c r="BV367" t="s">
        <v>5949</v>
      </c>
      <c r="BW367">
        <v>32</v>
      </c>
      <c r="BY367" t="s">
        <v>109</v>
      </c>
      <c r="CF367" t="s">
        <v>113</v>
      </c>
      <c r="CG367" t="s">
        <v>1436</v>
      </c>
      <c r="CH367" t="s">
        <v>5950</v>
      </c>
      <c r="CI367" t="s">
        <v>240</v>
      </c>
      <c r="CK367" t="s">
        <v>113</v>
      </c>
      <c r="CL367" t="s">
        <v>113</v>
      </c>
      <c r="CM367" t="s">
        <v>5951</v>
      </c>
      <c r="CN367" t="s">
        <v>113</v>
      </c>
      <c r="CO367" t="s">
        <v>5952</v>
      </c>
      <c r="CP367" t="s">
        <v>5953</v>
      </c>
      <c r="CQ367" t="s">
        <v>5954</v>
      </c>
      <c r="CR367" t="str">
        <f>HYPERLINK("https://nconnect.nicmar.ac.in/public/storage/profile/699ad2991cc32.png","Download")</f>
        <v>0</v>
      </c>
      <c r="CS367" t="str">
        <f>HYPERLINK("https://nconnect.nicmar.ac.in/pdf/494_resume_1771826677.pdf/Y2FyZWVy","View Resume")</f>
        <v>0</v>
      </c>
    </row>
    <row r="368" spans="1:97">
      <c r="A368" t="s">
        <v>846</v>
      </c>
      <c r="B368" t="s">
        <v>138</v>
      </c>
      <c r="C368" t="s">
        <v>165</v>
      </c>
      <c r="D368" t="s">
        <v>847</v>
      </c>
      <c r="E368" t="s">
        <v>5955</v>
      </c>
      <c r="F368" t="s">
        <v>5956</v>
      </c>
      <c r="G368">
        <v>9823154868</v>
      </c>
      <c r="H368" t="s">
        <v>103</v>
      </c>
      <c r="I368" t="s">
        <v>5957</v>
      </c>
      <c r="J368" t="s">
        <v>105</v>
      </c>
      <c r="K368" t="s">
        <v>4085</v>
      </c>
      <c r="L368" t="s">
        <v>2736</v>
      </c>
      <c r="M368" t="s">
        <v>5958</v>
      </c>
      <c r="N368" t="s">
        <v>109</v>
      </c>
      <c r="AI368" t="s">
        <v>5959</v>
      </c>
      <c r="AJ368" t="s">
        <v>736</v>
      </c>
      <c r="AK368" t="s">
        <v>839</v>
      </c>
      <c r="AL368">
        <v>58</v>
      </c>
      <c r="AM368">
        <v>5</v>
      </c>
      <c r="AN368">
        <v>2000</v>
      </c>
      <c r="AO368" t="s">
        <v>113</v>
      </c>
      <c r="AP368" t="s">
        <v>5960</v>
      </c>
      <c r="AQ368" t="s">
        <v>2579</v>
      </c>
      <c r="AR368" t="s">
        <v>1071</v>
      </c>
      <c r="AS368">
        <v>56</v>
      </c>
      <c r="AT368">
        <v>5</v>
      </c>
      <c r="AU368">
        <v>2002</v>
      </c>
      <c r="AV368" t="s">
        <v>109</v>
      </c>
      <c r="BC368" t="s">
        <v>113</v>
      </c>
      <c r="BD368" t="s">
        <v>358</v>
      </c>
      <c r="BE368" t="s">
        <v>5960</v>
      </c>
      <c r="BF368" t="s">
        <v>1071</v>
      </c>
      <c r="BG368">
        <v>57</v>
      </c>
      <c r="BH368">
        <v>6</v>
      </c>
      <c r="BI368">
        <v>2005</v>
      </c>
      <c r="BJ368">
        <v>19</v>
      </c>
      <c r="BK368" t="s">
        <v>1681</v>
      </c>
      <c r="BL368">
        <v>17</v>
      </c>
      <c r="BN368" t="s">
        <v>113</v>
      </c>
      <c r="BO368" t="s">
        <v>1215</v>
      </c>
      <c r="BP368" t="s">
        <v>5960</v>
      </c>
      <c r="BQ368" t="s">
        <v>1071</v>
      </c>
      <c r="BR368">
        <v>68</v>
      </c>
      <c r="BS368">
        <v>6.8</v>
      </c>
      <c r="BT368">
        <v>2007</v>
      </c>
      <c r="BU368">
        <v>31</v>
      </c>
      <c r="BV368" t="s">
        <v>1071</v>
      </c>
      <c r="BW368">
        <v>17</v>
      </c>
      <c r="BY368" t="s">
        <v>113</v>
      </c>
      <c r="BZ368" t="s">
        <v>5961</v>
      </c>
      <c r="CA368" t="s">
        <v>5962</v>
      </c>
      <c r="CB368" t="s">
        <v>3447</v>
      </c>
      <c r="CC368">
        <v>70</v>
      </c>
      <c r="CD368">
        <v>8</v>
      </c>
      <c r="CE368">
        <v>2009</v>
      </c>
      <c r="CF368" t="s">
        <v>113</v>
      </c>
      <c r="CG368" t="s">
        <v>1071</v>
      </c>
      <c r="CH368" t="s">
        <v>279</v>
      </c>
      <c r="CI368" t="s">
        <v>132</v>
      </c>
      <c r="CJ368">
        <v>2015</v>
      </c>
      <c r="CL368" t="s">
        <v>109</v>
      </c>
      <c r="CN368" t="s">
        <v>113</v>
      </c>
      <c r="CO368" t="s">
        <v>5963</v>
      </c>
      <c r="CP368" t="s">
        <v>460</v>
      </c>
      <c r="CQ368" t="s">
        <v>5964</v>
      </c>
      <c r="CR368" t="str">
        <f>HYPERLINK("https://nconnect.nicmar.ac.in/public/storage/profile/699bee6c93d45.png","Download")</f>
        <v>0</v>
      </c>
      <c r="CS368" t="str">
        <f>HYPERLINK("https://nconnect.nicmar.ac.in/pdf/533_resume_1771828698.pdf/Y2FyZWVy","View Resume")</f>
        <v>0</v>
      </c>
    </row>
    <row r="369" spans="1:97">
      <c r="A369" t="s">
        <v>317</v>
      </c>
      <c r="B369" t="s">
        <v>318</v>
      </c>
      <c r="C369" t="s">
        <v>165</v>
      </c>
      <c r="D369" t="s">
        <v>319</v>
      </c>
      <c r="E369" t="s">
        <v>5955</v>
      </c>
      <c r="F369" t="s">
        <v>5956</v>
      </c>
      <c r="G369">
        <v>9823154868</v>
      </c>
      <c r="H369" t="s">
        <v>103</v>
      </c>
      <c r="I369" t="s">
        <v>5957</v>
      </c>
      <c r="J369" t="s">
        <v>105</v>
      </c>
      <c r="K369" t="s">
        <v>4085</v>
      </c>
      <c r="L369" t="s">
        <v>2736</v>
      </c>
      <c r="M369" t="s">
        <v>5958</v>
      </c>
      <c r="N369" t="s">
        <v>109</v>
      </c>
      <c r="AI369" t="s">
        <v>5959</v>
      </c>
      <c r="AJ369" t="s">
        <v>736</v>
      </c>
      <c r="AK369" t="s">
        <v>839</v>
      </c>
      <c r="AL369">
        <v>58</v>
      </c>
      <c r="AM369">
        <v>5</v>
      </c>
      <c r="AN369">
        <v>2000</v>
      </c>
      <c r="AO369" t="s">
        <v>113</v>
      </c>
      <c r="AP369" t="s">
        <v>5960</v>
      </c>
      <c r="AQ369" t="s">
        <v>2579</v>
      </c>
      <c r="AR369" t="s">
        <v>1071</v>
      </c>
      <c r="AS369">
        <v>56</v>
      </c>
      <c r="AT369">
        <v>5</v>
      </c>
      <c r="AU369">
        <v>2002</v>
      </c>
      <c r="AV369" t="s">
        <v>109</v>
      </c>
      <c r="BC369" t="s">
        <v>113</v>
      </c>
      <c r="BD369" t="s">
        <v>358</v>
      </c>
      <c r="BE369" t="s">
        <v>5960</v>
      </c>
      <c r="BF369" t="s">
        <v>1071</v>
      </c>
      <c r="BG369">
        <v>57</v>
      </c>
      <c r="BH369">
        <v>6</v>
      </c>
      <c r="BI369">
        <v>2005</v>
      </c>
      <c r="BJ369">
        <v>19</v>
      </c>
      <c r="BK369" t="s">
        <v>1681</v>
      </c>
      <c r="BL369">
        <v>17</v>
      </c>
      <c r="BN369" t="s">
        <v>113</v>
      </c>
      <c r="BO369" t="s">
        <v>1215</v>
      </c>
      <c r="BP369" t="s">
        <v>5960</v>
      </c>
      <c r="BQ369" t="s">
        <v>1071</v>
      </c>
      <c r="BR369">
        <v>68</v>
      </c>
      <c r="BS369">
        <v>6.8</v>
      </c>
      <c r="BT369">
        <v>2007</v>
      </c>
      <c r="BU369">
        <v>31</v>
      </c>
      <c r="BV369" t="s">
        <v>1071</v>
      </c>
      <c r="BW369">
        <v>17</v>
      </c>
      <c r="BY369" t="s">
        <v>113</v>
      </c>
      <c r="BZ369" t="s">
        <v>5961</v>
      </c>
      <c r="CA369" t="s">
        <v>5962</v>
      </c>
      <c r="CB369" t="s">
        <v>3447</v>
      </c>
      <c r="CC369">
        <v>70</v>
      </c>
      <c r="CD369">
        <v>8</v>
      </c>
      <c r="CE369">
        <v>2009</v>
      </c>
      <c r="CF369" t="s">
        <v>113</v>
      </c>
      <c r="CG369" t="s">
        <v>1071</v>
      </c>
      <c r="CH369" t="s">
        <v>279</v>
      </c>
      <c r="CI369" t="s">
        <v>132</v>
      </c>
      <c r="CJ369">
        <v>2015</v>
      </c>
      <c r="CL369" t="s">
        <v>109</v>
      </c>
      <c r="CN369" t="s">
        <v>113</v>
      </c>
      <c r="CO369" t="s">
        <v>5963</v>
      </c>
      <c r="CP369" t="s">
        <v>460</v>
      </c>
      <c r="CQ369" t="s">
        <v>5965</v>
      </c>
      <c r="CR369" t="str">
        <f>HYPERLINK("https://nconnect.nicmar.ac.in/public/storage/profile/699bee6c93d45.png","Download")</f>
        <v>0</v>
      </c>
      <c r="CS369" t="str">
        <f>HYPERLINK("https://nconnect.nicmar.ac.in/pdf/533_resume_1771828698.pdf/Y2FyZWVy","View Resume")</f>
        <v>0</v>
      </c>
    </row>
    <row r="370" spans="1:97">
      <c r="A370" t="s">
        <v>343</v>
      </c>
      <c r="B370" t="s">
        <v>98</v>
      </c>
      <c r="C370" t="s">
        <v>295</v>
      </c>
      <c r="D370" t="s">
        <v>344</v>
      </c>
      <c r="E370" t="s">
        <v>5966</v>
      </c>
      <c r="F370" t="s">
        <v>5967</v>
      </c>
      <c r="G370">
        <v>9173002996</v>
      </c>
      <c r="H370" t="s">
        <v>169</v>
      </c>
      <c r="I370" t="s">
        <v>5968</v>
      </c>
      <c r="J370" t="s">
        <v>105</v>
      </c>
      <c r="K370" t="s">
        <v>5969</v>
      </c>
      <c r="L370" t="s">
        <v>5970</v>
      </c>
      <c r="M370" t="s">
        <v>5971</v>
      </c>
      <c r="N370" t="s">
        <v>109</v>
      </c>
      <c r="AI370" t="s">
        <v>5972</v>
      </c>
      <c r="AJ370" t="s">
        <v>5973</v>
      </c>
      <c r="AK370" t="s">
        <v>5974</v>
      </c>
      <c r="AL370">
        <v>74</v>
      </c>
      <c r="AN370">
        <v>1999</v>
      </c>
      <c r="AO370" t="s">
        <v>109</v>
      </c>
      <c r="AV370" t="s">
        <v>113</v>
      </c>
      <c r="AW370" t="s">
        <v>309</v>
      </c>
      <c r="AX370" t="s">
        <v>5975</v>
      </c>
      <c r="AY370" t="s">
        <v>5514</v>
      </c>
      <c r="AZ370">
        <v>68</v>
      </c>
      <c r="BA370">
        <v>6.0</v>
      </c>
      <c r="BB370">
        <v>2004</v>
      </c>
      <c r="BC370" t="s">
        <v>113</v>
      </c>
      <c r="BD370" t="s">
        <v>5976</v>
      </c>
      <c r="BE370" t="s">
        <v>5977</v>
      </c>
      <c r="BF370" t="s">
        <v>5978</v>
      </c>
      <c r="BG370">
        <v>90</v>
      </c>
      <c r="BH370">
        <v>9.01</v>
      </c>
      <c r="BI370">
        <v>2008</v>
      </c>
      <c r="BJ370">
        <v>1</v>
      </c>
      <c r="BL370">
        <v>9</v>
      </c>
      <c r="BN370" t="s">
        <v>113</v>
      </c>
      <c r="BO370" t="s">
        <v>5979</v>
      </c>
      <c r="BP370" t="s">
        <v>5980</v>
      </c>
      <c r="BQ370" t="s">
        <v>5981</v>
      </c>
      <c r="BR370">
        <v>85</v>
      </c>
      <c r="BS370">
        <v>8.5</v>
      </c>
      <c r="BT370">
        <v>2014</v>
      </c>
      <c r="BU370">
        <v>16</v>
      </c>
      <c r="BW370">
        <v>49</v>
      </c>
      <c r="BY370" t="s">
        <v>109</v>
      </c>
      <c r="CF370" t="s">
        <v>113</v>
      </c>
      <c r="CG370" t="s">
        <v>5982</v>
      </c>
      <c r="CH370" t="s">
        <v>5983</v>
      </c>
      <c r="CI370" t="s">
        <v>132</v>
      </c>
      <c r="CJ370">
        <v>2025</v>
      </c>
      <c r="CL370" t="s">
        <v>113</v>
      </c>
      <c r="CM370" t="s">
        <v>5984</v>
      </c>
      <c r="CN370" t="s">
        <v>113</v>
      </c>
      <c r="CO370" t="s">
        <v>5985</v>
      </c>
      <c r="CP370" t="s">
        <v>460</v>
      </c>
      <c r="CQ370" t="s">
        <v>5986</v>
      </c>
      <c r="CR370" t="s">
        <v>136</v>
      </c>
      <c r="CS370" t="str">
        <f>HYPERLINK("https://nconnect.nicmar.ac.in/pdf/282_resume_1771581587.pdf/Y2FyZWVy","View Resume")</f>
        <v>0</v>
      </c>
    </row>
    <row r="371" spans="1:97">
      <c r="A371" t="s">
        <v>702</v>
      </c>
      <c r="B371" t="s">
        <v>138</v>
      </c>
      <c r="C371" t="s">
        <v>703</v>
      </c>
      <c r="D371" t="s">
        <v>704</v>
      </c>
      <c r="E371" t="s">
        <v>5966</v>
      </c>
      <c r="F371" t="s">
        <v>5967</v>
      </c>
      <c r="G371">
        <v>9173002996</v>
      </c>
      <c r="H371" t="s">
        <v>169</v>
      </c>
      <c r="I371" t="s">
        <v>5968</v>
      </c>
      <c r="J371" t="s">
        <v>105</v>
      </c>
      <c r="K371" t="s">
        <v>5969</v>
      </c>
      <c r="L371" t="s">
        <v>5970</v>
      </c>
      <c r="M371" t="s">
        <v>5971</v>
      </c>
      <c r="N371" t="s">
        <v>109</v>
      </c>
      <c r="AI371" t="s">
        <v>5972</v>
      </c>
      <c r="AJ371" t="s">
        <v>5973</v>
      </c>
      <c r="AK371" t="s">
        <v>5974</v>
      </c>
      <c r="AL371">
        <v>74</v>
      </c>
      <c r="AN371">
        <v>1999</v>
      </c>
      <c r="AO371" t="s">
        <v>109</v>
      </c>
      <c r="AV371" t="s">
        <v>113</v>
      </c>
      <c r="AW371" t="s">
        <v>309</v>
      </c>
      <c r="AX371" t="s">
        <v>5975</v>
      </c>
      <c r="AY371" t="s">
        <v>5514</v>
      </c>
      <c r="AZ371">
        <v>68</v>
      </c>
      <c r="BA371">
        <v>6.0</v>
      </c>
      <c r="BB371">
        <v>2004</v>
      </c>
      <c r="BC371" t="s">
        <v>113</v>
      </c>
      <c r="BD371" t="s">
        <v>5976</v>
      </c>
      <c r="BE371" t="s">
        <v>5977</v>
      </c>
      <c r="BF371" t="s">
        <v>5978</v>
      </c>
      <c r="BG371">
        <v>90</v>
      </c>
      <c r="BH371">
        <v>9.01</v>
      </c>
      <c r="BI371">
        <v>2008</v>
      </c>
      <c r="BJ371">
        <v>1</v>
      </c>
      <c r="BL371">
        <v>9</v>
      </c>
      <c r="BN371" t="s">
        <v>113</v>
      </c>
      <c r="BO371" t="s">
        <v>5979</v>
      </c>
      <c r="BP371" t="s">
        <v>5980</v>
      </c>
      <c r="BQ371" t="s">
        <v>5981</v>
      </c>
      <c r="BR371">
        <v>85</v>
      </c>
      <c r="BS371">
        <v>8.5</v>
      </c>
      <c r="BT371">
        <v>2014</v>
      </c>
      <c r="BU371">
        <v>16</v>
      </c>
      <c r="BW371">
        <v>49</v>
      </c>
      <c r="BY371" t="s">
        <v>109</v>
      </c>
      <c r="CF371" t="s">
        <v>113</v>
      </c>
      <c r="CG371" t="s">
        <v>5982</v>
      </c>
      <c r="CH371" t="s">
        <v>5983</v>
      </c>
      <c r="CI371" t="s">
        <v>132</v>
      </c>
      <c r="CJ371">
        <v>2025</v>
      </c>
      <c r="CL371" t="s">
        <v>113</v>
      </c>
      <c r="CM371" t="s">
        <v>5984</v>
      </c>
      <c r="CN371" t="s">
        <v>113</v>
      </c>
      <c r="CO371" t="s">
        <v>5985</v>
      </c>
      <c r="CP371" t="s">
        <v>460</v>
      </c>
      <c r="CQ371" t="s">
        <v>5987</v>
      </c>
      <c r="CR371" t="s">
        <v>136</v>
      </c>
      <c r="CS371" t="str">
        <f>HYPERLINK("https://nconnect.nicmar.ac.in/pdf/282_resume_1771581587.pdf/Y2FyZWVy","View Resume")</f>
        <v>0</v>
      </c>
    </row>
    <row r="372" spans="1:97">
      <c r="A372" t="s">
        <v>223</v>
      </c>
      <c r="B372" t="s">
        <v>138</v>
      </c>
      <c r="C372" t="s">
        <v>165</v>
      </c>
      <c r="D372" t="s">
        <v>224</v>
      </c>
      <c r="E372" t="s">
        <v>5988</v>
      </c>
      <c r="F372" t="s">
        <v>5989</v>
      </c>
      <c r="G372">
        <v>9075545577</v>
      </c>
      <c r="H372" t="s">
        <v>169</v>
      </c>
      <c r="I372" t="s">
        <v>5990</v>
      </c>
      <c r="J372" t="s">
        <v>105</v>
      </c>
      <c r="K372" t="s">
        <v>5991</v>
      </c>
      <c r="L372" t="s">
        <v>5992</v>
      </c>
      <c r="M372" t="s">
        <v>5993</v>
      </c>
      <c r="N372" t="s">
        <v>109</v>
      </c>
      <c r="AI372" t="s">
        <v>5994</v>
      </c>
      <c r="AJ372" t="s">
        <v>5995</v>
      </c>
      <c r="AK372" t="s">
        <v>5996</v>
      </c>
      <c r="AL372">
        <v>70.26</v>
      </c>
      <c r="AN372">
        <v>2005</v>
      </c>
      <c r="AO372" t="s">
        <v>113</v>
      </c>
      <c r="AP372" t="s">
        <v>5997</v>
      </c>
      <c r="AQ372" t="s">
        <v>5995</v>
      </c>
      <c r="AR372" t="s">
        <v>5998</v>
      </c>
      <c r="AS372">
        <v>74.83</v>
      </c>
      <c r="AU372">
        <v>2007</v>
      </c>
      <c r="AV372" t="s">
        <v>109</v>
      </c>
      <c r="BC372" t="s">
        <v>113</v>
      </c>
      <c r="BD372" t="s">
        <v>5999</v>
      </c>
      <c r="BE372" t="s">
        <v>6000</v>
      </c>
      <c r="BF372" t="s">
        <v>6001</v>
      </c>
      <c r="BG372">
        <v>71.26</v>
      </c>
      <c r="BI372">
        <v>2010</v>
      </c>
      <c r="BJ372">
        <v>9</v>
      </c>
      <c r="BL372">
        <v>53</v>
      </c>
      <c r="BM372" t="s">
        <v>6002</v>
      </c>
      <c r="BN372" t="s">
        <v>113</v>
      </c>
      <c r="BO372" t="s">
        <v>6003</v>
      </c>
      <c r="BP372" t="s">
        <v>6004</v>
      </c>
      <c r="BQ372" t="s">
        <v>2285</v>
      </c>
      <c r="BR372">
        <v>62.53</v>
      </c>
      <c r="BT372">
        <v>2013</v>
      </c>
      <c r="BU372">
        <v>31</v>
      </c>
      <c r="BW372">
        <v>11</v>
      </c>
      <c r="BY372" t="s">
        <v>113</v>
      </c>
      <c r="BZ372" t="s">
        <v>6003</v>
      </c>
      <c r="CA372" t="s">
        <v>6005</v>
      </c>
      <c r="CB372" t="s">
        <v>1528</v>
      </c>
      <c r="CC372">
        <v>75.25</v>
      </c>
      <c r="CE372">
        <v>2018</v>
      </c>
      <c r="CF372" t="s">
        <v>113</v>
      </c>
      <c r="CG372" t="s">
        <v>2285</v>
      </c>
      <c r="CH372" t="s">
        <v>6006</v>
      </c>
      <c r="CI372" t="s">
        <v>132</v>
      </c>
      <c r="CJ372">
        <v>2025</v>
      </c>
      <c r="CL372" t="s">
        <v>113</v>
      </c>
      <c r="CM372" t="s">
        <v>6007</v>
      </c>
      <c r="CN372" t="s">
        <v>113</v>
      </c>
      <c r="CO372" t="s">
        <v>6008</v>
      </c>
      <c r="CP372" t="s">
        <v>113</v>
      </c>
      <c r="CQ372" t="s">
        <v>6009</v>
      </c>
      <c r="CR372" t="s">
        <v>136</v>
      </c>
      <c r="CS372" t="str">
        <f>HYPERLINK("https://nconnect.nicmar.ac.in/pdf/536_resume_1771832627.pdf/Y2FyZWVy","View Resume")</f>
        <v>0</v>
      </c>
    </row>
    <row r="373" spans="1:97">
      <c r="A373" t="s">
        <v>521</v>
      </c>
      <c r="B373" t="s">
        <v>138</v>
      </c>
      <c r="C373" t="s">
        <v>165</v>
      </c>
      <c r="D373" t="s">
        <v>522</v>
      </c>
      <c r="E373" t="s">
        <v>6010</v>
      </c>
      <c r="F373" t="s">
        <v>6011</v>
      </c>
      <c r="G373">
        <v>9764700016</v>
      </c>
      <c r="H373" t="s">
        <v>103</v>
      </c>
      <c r="I373" t="s">
        <v>6012</v>
      </c>
      <c r="J373" t="s">
        <v>105</v>
      </c>
      <c r="K373" t="s">
        <v>423</v>
      </c>
      <c r="L373" t="s">
        <v>6013</v>
      </c>
      <c r="M373" t="s">
        <v>6014</v>
      </c>
      <c r="N373" t="s">
        <v>109</v>
      </c>
      <c r="AI373" t="s">
        <v>6015</v>
      </c>
      <c r="AJ373" t="s">
        <v>6016</v>
      </c>
      <c r="AK373" t="s">
        <v>342</v>
      </c>
      <c r="AL373">
        <v>59</v>
      </c>
      <c r="AN373">
        <v>1995</v>
      </c>
      <c r="AO373" t="s">
        <v>113</v>
      </c>
      <c r="AP373" t="s">
        <v>6017</v>
      </c>
      <c r="AQ373" t="s">
        <v>175</v>
      </c>
      <c r="AR373" t="s">
        <v>6002</v>
      </c>
      <c r="AS373">
        <v>68</v>
      </c>
      <c r="AU373">
        <v>1997</v>
      </c>
      <c r="AV373" t="s">
        <v>113</v>
      </c>
      <c r="AW373" t="s">
        <v>4421</v>
      </c>
      <c r="AX373" t="s">
        <v>6018</v>
      </c>
      <c r="AY373" t="s">
        <v>6002</v>
      </c>
      <c r="AZ373">
        <v>69</v>
      </c>
      <c r="BB373">
        <v>1999</v>
      </c>
      <c r="BC373" t="s">
        <v>113</v>
      </c>
      <c r="BD373" t="s">
        <v>2583</v>
      </c>
      <c r="BE373" t="s">
        <v>6019</v>
      </c>
      <c r="BF373" t="s">
        <v>6020</v>
      </c>
      <c r="BG373">
        <v>62</v>
      </c>
      <c r="BI373">
        <v>2002</v>
      </c>
      <c r="BJ373">
        <v>19</v>
      </c>
      <c r="BK373" t="s">
        <v>6021</v>
      </c>
      <c r="BL373">
        <v>11</v>
      </c>
      <c r="BN373" t="s">
        <v>109</v>
      </c>
      <c r="BY373" t="s">
        <v>109</v>
      </c>
      <c r="CF373" t="s">
        <v>109</v>
      </c>
      <c r="CL373" t="s">
        <v>113</v>
      </c>
      <c r="CM373" t="s">
        <v>6022</v>
      </c>
      <c r="CN373" t="s">
        <v>109</v>
      </c>
      <c r="CP373" t="s">
        <v>6023</v>
      </c>
      <c r="CQ373" t="s">
        <v>6024</v>
      </c>
      <c r="CR373" t="s">
        <v>136</v>
      </c>
      <c r="CS373" t="str">
        <f>HYPERLINK("https://nconnect.nicmar.ac.in/pdf/540_resume_1771832859.pdf/Y2FyZWVy","View Resume")</f>
        <v>0</v>
      </c>
    </row>
    <row r="374" spans="1:97">
      <c r="A374" t="s">
        <v>137</v>
      </c>
      <c r="B374" t="s">
        <v>138</v>
      </c>
      <c r="C374" t="s">
        <v>139</v>
      </c>
      <c r="D374" t="s">
        <v>140</v>
      </c>
      <c r="E374" t="s">
        <v>6025</v>
      </c>
      <c r="F374" t="s">
        <v>6026</v>
      </c>
      <c r="G374">
        <v>9935217008</v>
      </c>
      <c r="H374" t="s">
        <v>103</v>
      </c>
      <c r="I374" t="s">
        <v>6027</v>
      </c>
      <c r="J374" t="s">
        <v>105</v>
      </c>
      <c r="K374" t="s">
        <v>6028</v>
      </c>
      <c r="L374" t="s">
        <v>6029</v>
      </c>
      <c r="M374" t="s">
        <v>6030</v>
      </c>
      <c r="N374" t="s">
        <v>109</v>
      </c>
      <c r="AI374" t="s">
        <v>6031</v>
      </c>
      <c r="AJ374" t="s">
        <v>6032</v>
      </c>
      <c r="AK374" t="s">
        <v>6033</v>
      </c>
      <c r="AL374">
        <v>76</v>
      </c>
      <c r="AN374">
        <v>2006</v>
      </c>
      <c r="AO374" t="s">
        <v>113</v>
      </c>
      <c r="AP374" t="s">
        <v>6031</v>
      </c>
      <c r="AQ374" t="s">
        <v>6032</v>
      </c>
      <c r="AR374" t="s">
        <v>6034</v>
      </c>
      <c r="AS374">
        <v>76.4</v>
      </c>
      <c r="AU374">
        <v>2008</v>
      </c>
      <c r="AV374" t="s">
        <v>113</v>
      </c>
      <c r="AW374" t="s">
        <v>6035</v>
      </c>
      <c r="AX374" t="s">
        <v>6036</v>
      </c>
      <c r="AY374" t="s">
        <v>309</v>
      </c>
      <c r="AZ374">
        <v>86</v>
      </c>
      <c r="BA374">
        <v>4.3</v>
      </c>
      <c r="BB374">
        <v>2023</v>
      </c>
      <c r="BC374" t="s">
        <v>113</v>
      </c>
      <c r="BD374" t="s">
        <v>6037</v>
      </c>
      <c r="BE374" t="s">
        <v>6038</v>
      </c>
      <c r="BF374" t="s">
        <v>309</v>
      </c>
      <c r="BG374">
        <v>80.32</v>
      </c>
      <c r="BI374">
        <v>2014</v>
      </c>
      <c r="BJ374">
        <v>1</v>
      </c>
      <c r="BL374">
        <v>9</v>
      </c>
      <c r="BN374" t="s">
        <v>109</v>
      </c>
      <c r="BY374" t="s">
        <v>109</v>
      </c>
      <c r="CF374" t="s">
        <v>113</v>
      </c>
      <c r="CG374" t="s">
        <v>6039</v>
      </c>
      <c r="CH374" t="s">
        <v>6040</v>
      </c>
      <c r="CI374" t="s">
        <v>132</v>
      </c>
      <c r="CJ374">
        <v>2021</v>
      </c>
      <c r="CL374" t="s">
        <v>113</v>
      </c>
      <c r="CM374" t="s">
        <v>6041</v>
      </c>
      <c r="CN374" t="s">
        <v>113</v>
      </c>
      <c r="CO374" t="s">
        <v>6042</v>
      </c>
      <c r="CP374" t="s">
        <v>6033</v>
      </c>
      <c r="CQ374" t="s">
        <v>6043</v>
      </c>
      <c r="CR374" t="str">
        <f>HYPERLINK("https://nconnect.nicmar.ac.in/public/storage/profile/699bd338d8386.png","Download")</f>
        <v>0</v>
      </c>
      <c r="CS374" t="str">
        <f>HYPERLINK("https://nconnect.nicmar.ac.in/pdf/326_resume_1771828077.pdf/Y2FyZWVy","View Resume")</f>
        <v>0</v>
      </c>
    </row>
    <row r="375" spans="1:97">
      <c r="A375" t="s">
        <v>1203</v>
      </c>
      <c r="B375" t="s">
        <v>138</v>
      </c>
      <c r="C375" t="s">
        <v>165</v>
      </c>
      <c r="D375" t="s">
        <v>1204</v>
      </c>
      <c r="E375" t="s">
        <v>6044</v>
      </c>
      <c r="F375" t="s">
        <v>6045</v>
      </c>
      <c r="G375">
        <v>9482537964</v>
      </c>
      <c r="H375" t="s">
        <v>103</v>
      </c>
      <c r="I375" t="s">
        <v>3911</v>
      </c>
      <c r="J375" t="s">
        <v>904</v>
      </c>
      <c r="K375" t="s">
        <v>484</v>
      </c>
      <c r="L375" t="s">
        <v>6046</v>
      </c>
      <c r="M375" t="s">
        <v>6047</v>
      </c>
      <c r="N375" t="s">
        <v>109</v>
      </c>
      <c r="AI375" t="s">
        <v>6048</v>
      </c>
      <c r="AJ375" t="s">
        <v>6049</v>
      </c>
      <c r="AK375" t="s">
        <v>6050</v>
      </c>
      <c r="AL375">
        <v>60</v>
      </c>
      <c r="AN375">
        <v>1988</v>
      </c>
      <c r="AO375" t="s">
        <v>113</v>
      </c>
      <c r="AP375" t="s">
        <v>6051</v>
      </c>
      <c r="AQ375" t="s">
        <v>6052</v>
      </c>
      <c r="AR375" t="s">
        <v>6053</v>
      </c>
      <c r="AS375">
        <v>60</v>
      </c>
      <c r="AU375">
        <v>1992</v>
      </c>
      <c r="AV375" t="s">
        <v>109</v>
      </c>
      <c r="BC375" t="s">
        <v>113</v>
      </c>
      <c r="BD375" t="s">
        <v>6054</v>
      </c>
      <c r="BE375" t="s">
        <v>6055</v>
      </c>
      <c r="BF375" t="s">
        <v>6056</v>
      </c>
      <c r="BG375">
        <v>60</v>
      </c>
      <c r="BI375">
        <v>1997</v>
      </c>
      <c r="BJ375">
        <v>19</v>
      </c>
      <c r="BK375" t="s">
        <v>1984</v>
      </c>
      <c r="BL375">
        <v>53</v>
      </c>
      <c r="BM375" t="s">
        <v>6057</v>
      </c>
      <c r="BN375" t="s">
        <v>113</v>
      </c>
      <c r="BO375" t="s">
        <v>2764</v>
      </c>
      <c r="BP375" t="s">
        <v>6058</v>
      </c>
      <c r="BQ375" t="s">
        <v>6059</v>
      </c>
      <c r="BR375">
        <v>69</v>
      </c>
      <c r="BT375">
        <v>1999</v>
      </c>
      <c r="BU375">
        <v>31</v>
      </c>
      <c r="BV375" t="s">
        <v>1986</v>
      </c>
      <c r="BW375">
        <v>53</v>
      </c>
      <c r="BX375" t="s">
        <v>3504</v>
      </c>
      <c r="BY375" t="s">
        <v>113</v>
      </c>
      <c r="BZ375" t="s">
        <v>6060</v>
      </c>
      <c r="CA375" t="s">
        <v>6061</v>
      </c>
      <c r="CB375" t="s">
        <v>6062</v>
      </c>
      <c r="CC375">
        <v>60</v>
      </c>
      <c r="CE375">
        <v>2014</v>
      </c>
      <c r="CF375" t="s">
        <v>113</v>
      </c>
      <c r="CG375" t="s">
        <v>6063</v>
      </c>
      <c r="CH375" t="s">
        <v>6064</v>
      </c>
      <c r="CI375" t="s">
        <v>132</v>
      </c>
      <c r="CJ375">
        <v>2018</v>
      </c>
      <c r="CL375" t="s">
        <v>113</v>
      </c>
      <c r="CN375" t="s">
        <v>113</v>
      </c>
      <c r="CO375" t="s">
        <v>6065</v>
      </c>
      <c r="CP375" t="s">
        <v>6066</v>
      </c>
      <c r="CQ375" t="s">
        <v>6067</v>
      </c>
      <c r="CR375" t="str">
        <f>HYPERLINK("https://nconnect.nicmar.ac.in/public/storage/profile/699c05fdbb880.png","Download")</f>
        <v>0</v>
      </c>
      <c r="CS375" t="str">
        <f>HYPERLINK("https://nconnect.nicmar.ac.in/pdf/542_resume_1771835370.pdf/Y2FyZWVy","View Resume")</f>
        <v>0</v>
      </c>
    </row>
    <row r="376" spans="1:97">
      <c r="A376" t="s">
        <v>846</v>
      </c>
      <c r="B376" t="s">
        <v>138</v>
      </c>
      <c r="C376" t="s">
        <v>165</v>
      </c>
      <c r="D376" t="s">
        <v>847</v>
      </c>
      <c r="E376" t="s">
        <v>6044</v>
      </c>
      <c r="F376" t="s">
        <v>6045</v>
      </c>
      <c r="G376">
        <v>9482537964</v>
      </c>
      <c r="H376" t="s">
        <v>103</v>
      </c>
      <c r="I376" t="s">
        <v>3911</v>
      </c>
      <c r="J376" t="s">
        <v>904</v>
      </c>
      <c r="K376" t="s">
        <v>484</v>
      </c>
      <c r="L376" t="s">
        <v>6046</v>
      </c>
      <c r="M376" t="s">
        <v>6047</v>
      </c>
      <c r="N376" t="s">
        <v>109</v>
      </c>
      <c r="AI376" t="s">
        <v>6048</v>
      </c>
      <c r="AJ376" t="s">
        <v>6049</v>
      </c>
      <c r="AK376" t="s">
        <v>6050</v>
      </c>
      <c r="AL376">
        <v>60</v>
      </c>
      <c r="AN376">
        <v>1988</v>
      </c>
      <c r="AO376" t="s">
        <v>113</v>
      </c>
      <c r="AP376" t="s">
        <v>6051</v>
      </c>
      <c r="AQ376" t="s">
        <v>6052</v>
      </c>
      <c r="AR376" t="s">
        <v>6053</v>
      </c>
      <c r="AS376">
        <v>60</v>
      </c>
      <c r="AU376">
        <v>1992</v>
      </c>
      <c r="AV376" t="s">
        <v>109</v>
      </c>
      <c r="BC376" t="s">
        <v>113</v>
      </c>
      <c r="BD376" t="s">
        <v>6054</v>
      </c>
      <c r="BE376" t="s">
        <v>6055</v>
      </c>
      <c r="BF376" t="s">
        <v>6056</v>
      </c>
      <c r="BG376">
        <v>60</v>
      </c>
      <c r="BI376">
        <v>1997</v>
      </c>
      <c r="BJ376">
        <v>19</v>
      </c>
      <c r="BK376" t="s">
        <v>1984</v>
      </c>
      <c r="BL376">
        <v>53</v>
      </c>
      <c r="BM376" t="s">
        <v>6057</v>
      </c>
      <c r="BN376" t="s">
        <v>113</v>
      </c>
      <c r="BO376" t="s">
        <v>2764</v>
      </c>
      <c r="BP376" t="s">
        <v>6058</v>
      </c>
      <c r="BQ376" t="s">
        <v>6059</v>
      </c>
      <c r="BR376">
        <v>69</v>
      </c>
      <c r="BT376">
        <v>1999</v>
      </c>
      <c r="BU376">
        <v>31</v>
      </c>
      <c r="BV376" t="s">
        <v>1986</v>
      </c>
      <c r="BW376">
        <v>53</v>
      </c>
      <c r="BX376" t="s">
        <v>3504</v>
      </c>
      <c r="BY376" t="s">
        <v>113</v>
      </c>
      <c r="BZ376" t="s">
        <v>6060</v>
      </c>
      <c r="CA376" t="s">
        <v>6061</v>
      </c>
      <c r="CB376" t="s">
        <v>6062</v>
      </c>
      <c r="CC376">
        <v>60</v>
      </c>
      <c r="CE376">
        <v>2014</v>
      </c>
      <c r="CF376" t="s">
        <v>113</v>
      </c>
      <c r="CG376" t="s">
        <v>6063</v>
      </c>
      <c r="CH376" t="s">
        <v>6064</v>
      </c>
      <c r="CI376" t="s">
        <v>132</v>
      </c>
      <c r="CJ376">
        <v>2018</v>
      </c>
      <c r="CL376" t="s">
        <v>113</v>
      </c>
      <c r="CN376" t="s">
        <v>113</v>
      </c>
      <c r="CO376" t="s">
        <v>6065</v>
      </c>
      <c r="CP376" t="s">
        <v>6066</v>
      </c>
      <c r="CQ376" t="s">
        <v>6068</v>
      </c>
      <c r="CR376" t="str">
        <f>HYPERLINK("https://nconnect.nicmar.ac.in/public/storage/profile/699c05fdbb880.png","Download")</f>
        <v>0</v>
      </c>
      <c r="CS376" t="str">
        <f>HYPERLINK("https://nconnect.nicmar.ac.in/pdf/542_resume_1771835370.pdf/Y2FyZWVy","View Resume")</f>
        <v>0</v>
      </c>
    </row>
    <row r="377" spans="1:97">
      <c r="A377" t="s">
        <v>772</v>
      </c>
      <c r="B377" t="s">
        <v>98</v>
      </c>
      <c r="C377" t="s">
        <v>703</v>
      </c>
      <c r="D377" t="s">
        <v>773</v>
      </c>
      <c r="E377" t="s">
        <v>6069</v>
      </c>
      <c r="F377" t="s">
        <v>6070</v>
      </c>
      <c r="G377">
        <v>9850443887</v>
      </c>
      <c r="H377" t="s">
        <v>103</v>
      </c>
      <c r="I377" t="s">
        <v>6071</v>
      </c>
      <c r="J377" t="s">
        <v>105</v>
      </c>
      <c r="K377" t="s">
        <v>505</v>
      </c>
      <c r="L377" t="s">
        <v>6072</v>
      </c>
      <c r="M377" t="s">
        <v>6073</v>
      </c>
      <c r="N377" t="s">
        <v>109</v>
      </c>
      <c r="AI377" t="s">
        <v>3090</v>
      </c>
      <c r="AJ377" t="s">
        <v>6074</v>
      </c>
      <c r="AK377" t="s">
        <v>6075</v>
      </c>
      <c r="AL377">
        <v>76</v>
      </c>
      <c r="AN377">
        <v>2002</v>
      </c>
      <c r="AO377" t="s">
        <v>113</v>
      </c>
      <c r="AP377" t="s">
        <v>6076</v>
      </c>
      <c r="AQ377" t="s">
        <v>6077</v>
      </c>
      <c r="AR377" t="s">
        <v>6078</v>
      </c>
      <c r="AS377">
        <v>70</v>
      </c>
      <c r="AU377">
        <v>2004</v>
      </c>
      <c r="AV377" t="s">
        <v>109</v>
      </c>
      <c r="BC377" t="s">
        <v>113</v>
      </c>
      <c r="BD377" t="s">
        <v>279</v>
      </c>
      <c r="BE377" t="s">
        <v>6079</v>
      </c>
      <c r="BF377" t="s">
        <v>746</v>
      </c>
      <c r="BG377">
        <v>64.83</v>
      </c>
      <c r="BI377">
        <v>2007</v>
      </c>
      <c r="BJ377">
        <v>19</v>
      </c>
      <c r="BK377" t="s">
        <v>6080</v>
      </c>
      <c r="BL377">
        <v>33</v>
      </c>
      <c r="BN377" t="s">
        <v>113</v>
      </c>
      <c r="BO377" t="s">
        <v>259</v>
      </c>
      <c r="BP377" t="s">
        <v>6081</v>
      </c>
      <c r="BQ377" t="s">
        <v>6082</v>
      </c>
      <c r="BR377">
        <v>67</v>
      </c>
      <c r="BS377">
        <v>2.68</v>
      </c>
      <c r="BT377">
        <v>2012</v>
      </c>
      <c r="BU377">
        <v>31</v>
      </c>
      <c r="BV377" t="s">
        <v>6083</v>
      </c>
      <c r="BW377">
        <v>52</v>
      </c>
      <c r="BX377" t="s">
        <v>6082</v>
      </c>
      <c r="BY377" t="s">
        <v>113</v>
      </c>
      <c r="BZ377" t="s">
        <v>279</v>
      </c>
      <c r="CA377" t="s">
        <v>6084</v>
      </c>
      <c r="CB377" t="s">
        <v>746</v>
      </c>
      <c r="CC377">
        <v>62</v>
      </c>
      <c r="CE377">
        <v>2009</v>
      </c>
      <c r="CF377" t="s">
        <v>113</v>
      </c>
      <c r="CG377" t="s">
        <v>746</v>
      </c>
      <c r="CH377" t="s">
        <v>6085</v>
      </c>
      <c r="CI377" t="s">
        <v>132</v>
      </c>
      <c r="CJ377">
        <v>2023</v>
      </c>
      <c r="CL377" t="s">
        <v>109</v>
      </c>
      <c r="CN377" t="s">
        <v>109</v>
      </c>
      <c r="CP377" t="s">
        <v>460</v>
      </c>
      <c r="CQ377" t="s">
        <v>6086</v>
      </c>
      <c r="CR377" t="s">
        <v>136</v>
      </c>
      <c r="CS377" t="str">
        <f>HYPERLINK("https://nconnect.nicmar.ac.in/pdf/462_resume_1771836381.pdf/Y2FyZWVy","View Resume")</f>
        <v>0</v>
      </c>
    </row>
    <row r="378" spans="1:97">
      <c r="A378" t="s">
        <v>372</v>
      </c>
      <c r="B378" t="s">
        <v>98</v>
      </c>
      <c r="C378" t="s">
        <v>165</v>
      </c>
      <c r="D378" t="s">
        <v>224</v>
      </c>
      <c r="E378" t="s">
        <v>6069</v>
      </c>
      <c r="F378" t="s">
        <v>6070</v>
      </c>
      <c r="G378">
        <v>9850443887</v>
      </c>
      <c r="H378" t="s">
        <v>103</v>
      </c>
      <c r="I378" t="s">
        <v>6071</v>
      </c>
      <c r="J378" t="s">
        <v>105</v>
      </c>
      <c r="K378" t="s">
        <v>505</v>
      </c>
      <c r="L378" t="s">
        <v>6072</v>
      </c>
      <c r="M378" t="s">
        <v>6073</v>
      </c>
      <c r="N378" t="s">
        <v>109</v>
      </c>
      <c r="AI378" t="s">
        <v>3090</v>
      </c>
      <c r="AJ378" t="s">
        <v>6074</v>
      </c>
      <c r="AK378" t="s">
        <v>6075</v>
      </c>
      <c r="AL378">
        <v>76</v>
      </c>
      <c r="AN378">
        <v>2002</v>
      </c>
      <c r="AO378" t="s">
        <v>113</v>
      </c>
      <c r="AP378" t="s">
        <v>6076</v>
      </c>
      <c r="AQ378" t="s">
        <v>6077</v>
      </c>
      <c r="AR378" t="s">
        <v>6078</v>
      </c>
      <c r="AS378">
        <v>70</v>
      </c>
      <c r="AU378">
        <v>2004</v>
      </c>
      <c r="AV378" t="s">
        <v>109</v>
      </c>
      <c r="BC378" t="s">
        <v>113</v>
      </c>
      <c r="BD378" t="s">
        <v>279</v>
      </c>
      <c r="BE378" t="s">
        <v>6079</v>
      </c>
      <c r="BF378" t="s">
        <v>746</v>
      </c>
      <c r="BG378">
        <v>64.83</v>
      </c>
      <c r="BI378">
        <v>2007</v>
      </c>
      <c r="BJ378">
        <v>19</v>
      </c>
      <c r="BK378" t="s">
        <v>6080</v>
      </c>
      <c r="BL378">
        <v>33</v>
      </c>
      <c r="BN378" t="s">
        <v>113</v>
      </c>
      <c r="BO378" t="s">
        <v>259</v>
      </c>
      <c r="BP378" t="s">
        <v>6081</v>
      </c>
      <c r="BQ378" t="s">
        <v>6082</v>
      </c>
      <c r="BR378">
        <v>67</v>
      </c>
      <c r="BS378">
        <v>2.68</v>
      </c>
      <c r="BT378">
        <v>2012</v>
      </c>
      <c r="BU378">
        <v>31</v>
      </c>
      <c r="BV378" t="s">
        <v>6083</v>
      </c>
      <c r="BW378">
        <v>52</v>
      </c>
      <c r="BX378" t="s">
        <v>6082</v>
      </c>
      <c r="BY378" t="s">
        <v>113</v>
      </c>
      <c r="BZ378" t="s">
        <v>279</v>
      </c>
      <c r="CA378" t="s">
        <v>6084</v>
      </c>
      <c r="CB378" t="s">
        <v>746</v>
      </c>
      <c r="CC378">
        <v>62</v>
      </c>
      <c r="CE378">
        <v>2009</v>
      </c>
      <c r="CF378" t="s">
        <v>113</v>
      </c>
      <c r="CG378" t="s">
        <v>746</v>
      </c>
      <c r="CH378" t="s">
        <v>6085</v>
      </c>
      <c r="CI378" t="s">
        <v>132</v>
      </c>
      <c r="CJ378">
        <v>2023</v>
      </c>
      <c r="CL378" t="s">
        <v>109</v>
      </c>
      <c r="CN378" t="s">
        <v>109</v>
      </c>
      <c r="CP378" t="s">
        <v>460</v>
      </c>
      <c r="CQ378" t="s">
        <v>6087</v>
      </c>
      <c r="CR378" t="s">
        <v>136</v>
      </c>
      <c r="CS378" t="str">
        <f>HYPERLINK("https://nconnect.nicmar.ac.in/pdf/462_resume_1771836381.pdf/Y2FyZWVy","View Resume")</f>
        <v>0</v>
      </c>
    </row>
    <row r="379" spans="1:97">
      <c r="A379" t="s">
        <v>372</v>
      </c>
      <c r="B379" t="s">
        <v>98</v>
      </c>
      <c r="C379" t="s">
        <v>165</v>
      </c>
      <c r="D379" t="s">
        <v>224</v>
      </c>
      <c r="E379" t="s">
        <v>6010</v>
      </c>
      <c r="F379" t="s">
        <v>6011</v>
      </c>
      <c r="G379">
        <v>9764700016</v>
      </c>
      <c r="H379" t="s">
        <v>103</v>
      </c>
      <c r="I379" t="s">
        <v>6012</v>
      </c>
      <c r="J379" t="s">
        <v>105</v>
      </c>
      <c r="K379" t="s">
        <v>423</v>
      </c>
      <c r="L379" t="s">
        <v>6013</v>
      </c>
      <c r="M379" t="s">
        <v>6014</v>
      </c>
      <c r="N379" t="s">
        <v>109</v>
      </c>
      <c r="AI379" t="s">
        <v>6015</v>
      </c>
      <c r="AJ379" t="s">
        <v>6016</v>
      </c>
      <c r="AK379" t="s">
        <v>342</v>
      </c>
      <c r="AL379">
        <v>59</v>
      </c>
      <c r="AN379">
        <v>1995</v>
      </c>
      <c r="AO379" t="s">
        <v>113</v>
      </c>
      <c r="AP379" t="s">
        <v>6017</v>
      </c>
      <c r="AQ379" t="s">
        <v>175</v>
      </c>
      <c r="AR379" t="s">
        <v>6002</v>
      </c>
      <c r="AS379">
        <v>68</v>
      </c>
      <c r="AU379">
        <v>1997</v>
      </c>
      <c r="AV379" t="s">
        <v>113</v>
      </c>
      <c r="AW379" t="s">
        <v>4421</v>
      </c>
      <c r="AX379" t="s">
        <v>6018</v>
      </c>
      <c r="AY379" t="s">
        <v>6002</v>
      </c>
      <c r="AZ379">
        <v>69</v>
      </c>
      <c r="BB379">
        <v>1999</v>
      </c>
      <c r="BC379" t="s">
        <v>113</v>
      </c>
      <c r="BD379" t="s">
        <v>2583</v>
      </c>
      <c r="BE379" t="s">
        <v>6019</v>
      </c>
      <c r="BF379" t="s">
        <v>6020</v>
      </c>
      <c r="BG379">
        <v>62</v>
      </c>
      <c r="BI379">
        <v>2002</v>
      </c>
      <c r="BJ379">
        <v>19</v>
      </c>
      <c r="BK379" t="s">
        <v>6021</v>
      </c>
      <c r="BL379">
        <v>11</v>
      </c>
      <c r="BN379" t="s">
        <v>109</v>
      </c>
      <c r="BY379" t="s">
        <v>109</v>
      </c>
      <c r="CF379" t="s">
        <v>109</v>
      </c>
      <c r="CL379" t="s">
        <v>113</v>
      </c>
      <c r="CM379" t="s">
        <v>6022</v>
      </c>
      <c r="CN379" t="s">
        <v>109</v>
      </c>
      <c r="CP379" t="s">
        <v>6023</v>
      </c>
      <c r="CQ379" t="s">
        <v>6088</v>
      </c>
      <c r="CR379" t="s">
        <v>136</v>
      </c>
      <c r="CS379" t="str">
        <f>HYPERLINK("https://nconnect.nicmar.ac.in/pdf/540_resume_1771832859.pdf/Y2FyZWVy","View Resume")</f>
        <v>0</v>
      </c>
    </row>
    <row r="380" spans="1:97">
      <c r="A380" t="s">
        <v>3610</v>
      </c>
      <c r="B380" t="s">
        <v>3611</v>
      </c>
      <c r="C380" t="s">
        <v>295</v>
      </c>
      <c r="D380" t="s">
        <v>296</v>
      </c>
      <c r="E380" t="s">
        <v>6089</v>
      </c>
      <c r="F380" t="s">
        <v>6090</v>
      </c>
      <c r="G380">
        <v>9600014440</v>
      </c>
      <c r="H380" t="s">
        <v>103</v>
      </c>
      <c r="I380" t="s">
        <v>6091</v>
      </c>
      <c r="J380" t="s">
        <v>105</v>
      </c>
      <c r="K380" t="s">
        <v>6092</v>
      </c>
      <c r="L380" t="s">
        <v>6093</v>
      </c>
      <c r="M380" t="s">
        <v>6094</v>
      </c>
      <c r="N380" t="s">
        <v>109</v>
      </c>
      <c r="AI380" t="s">
        <v>6095</v>
      </c>
      <c r="AJ380" t="s">
        <v>6096</v>
      </c>
      <c r="AK380" t="s">
        <v>6097</v>
      </c>
      <c r="AL380">
        <v>93.5</v>
      </c>
      <c r="AN380">
        <v>1982</v>
      </c>
      <c r="AO380" t="s">
        <v>113</v>
      </c>
      <c r="AP380" t="s">
        <v>6098</v>
      </c>
      <c r="AQ380" t="s">
        <v>6096</v>
      </c>
      <c r="AR380" t="s">
        <v>6099</v>
      </c>
      <c r="AS380">
        <v>93</v>
      </c>
      <c r="AU380">
        <v>1984</v>
      </c>
      <c r="AV380" t="s">
        <v>109</v>
      </c>
      <c r="BC380" t="s">
        <v>113</v>
      </c>
      <c r="BD380" t="s">
        <v>6100</v>
      </c>
      <c r="BE380" t="s">
        <v>6101</v>
      </c>
      <c r="BF380" t="s">
        <v>6102</v>
      </c>
      <c r="BG380">
        <v>67</v>
      </c>
      <c r="BI380">
        <v>1989</v>
      </c>
      <c r="BJ380">
        <v>8</v>
      </c>
      <c r="BL380">
        <v>2</v>
      </c>
      <c r="BN380" t="s">
        <v>113</v>
      </c>
      <c r="BO380" t="s">
        <v>6103</v>
      </c>
      <c r="BP380" t="s">
        <v>6104</v>
      </c>
      <c r="BQ380" t="s">
        <v>6105</v>
      </c>
      <c r="BR380">
        <v>64</v>
      </c>
      <c r="BT380">
        <v>1991</v>
      </c>
      <c r="BU380">
        <v>20</v>
      </c>
      <c r="BW380">
        <v>38</v>
      </c>
      <c r="BY380" t="s">
        <v>109</v>
      </c>
      <c r="CF380" t="s">
        <v>109</v>
      </c>
      <c r="CL380" t="s">
        <v>113</v>
      </c>
      <c r="CM380" t="s">
        <v>6106</v>
      </c>
      <c r="CN380" t="s">
        <v>113</v>
      </c>
      <c r="CO380" t="s">
        <v>6107</v>
      </c>
      <c r="CP380" t="s">
        <v>6108</v>
      </c>
      <c r="CQ380" t="s">
        <v>6109</v>
      </c>
      <c r="CR380" t="s">
        <v>136</v>
      </c>
      <c r="CS380" t="str">
        <f>HYPERLINK("https://nconnect.nicmar.ac.in/pdf/544_resume_1771838521.pdf/Y2FyZWVy","View Resume")</f>
        <v>0</v>
      </c>
    </row>
    <row r="381" spans="1:97">
      <c r="A381" t="s">
        <v>317</v>
      </c>
      <c r="B381" t="s">
        <v>318</v>
      </c>
      <c r="C381" t="s">
        <v>165</v>
      </c>
      <c r="D381" t="s">
        <v>319</v>
      </c>
      <c r="E381" t="s">
        <v>6110</v>
      </c>
      <c r="F381" t="s">
        <v>6111</v>
      </c>
      <c r="G381">
        <v>9850693698</v>
      </c>
      <c r="H381" t="s">
        <v>169</v>
      </c>
      <c r="I381" t="s">
        <v>6112</v>
      </c>
      <c r="J381" t="s">
        <v>105</v>
      </c>
      <c r="K381" t="s">
        <v>228</v>
      </c>
      <c r="L381" t="s">
        <v>6113</v>
      </c>
      <c r="M381" t="s">
        <v>6114</v>
      </c>
      <c r="N381" t="s">
        <v>109</v>
      </c>
      <c r="AI381" t="s">
        <v>6115</v>
      </c>
      <c r="AJ381" t="s">
        <v>6116</v>
      </c>
      <c r="AK381" t="s">
        <v>4217</v>
      </c>
      <c r="AL381">
        <v>58</v>
      </c>
      <c r="AM381">
        <v>0</v>
      </c>
      <c r="AN381">
        <v>1999</v>
      </c>
      <c r="AO381" t="s">
        <v>113</v>
      </c>
      <c r="AP381" t="s">
        <v>6117</v>
      </c>
      <c r="AQ381" t="s">
        <v>6116</v>
      </c>
      <c r="AR381" t="s">
        <v>6118</v>
      </c>
      <c r="AS381">
        <v>74</v>
      </c>
      <c r="AU381">
        <v>2001</v>
      </c>
      <c r="AV381" t="s">
        <v>109</v>
      </c>
      <c r="BC381" t="s">
        <v>113</v>
      </c>
      <c r="BD381" t="s">
        <v>2744</v>
      </c>
      <c r="BE381" t="s">
        <v>6119</v>
      </c>
      <c r="BF381" t="s">
        <v>6120</v>
      </c>
      <c r="BG381">
        <v>65</v>
      </c>
      <c r="BI381">
        <v>2004</v>
      </c>
      <c r="BJ381">
        <v>19</v>
      </c>
      <c r="BK381" t="s">
        <v>1984</v>
      </c>
      <c r="BL381">
        <v>53</v>
      </c>
      <c r="BM381" t="s">
        <v>6120</v>
      </c>
      <c r="BN381" t="s">
        <v>113</v>
      </c>
      <c r="BO381" t="s">
        <v>2744</v>
      </c>
      <c r="BP381" t="s">
        <v>6121</v>
      </c>
      <c r="BQ381" t="s">
        <v>1330</v>
      </c>
      <c r="BR381">
        <v>64</v>
      </c>
      <c r="BT381">
        <v>2006</v>
      </c>
      <c r="BU381">
        <v>31</v>
      </c>
      <c r="BV381" t="s">
        <v>385</v>
      </c>
      <c r="BW381">
        <v>23</v>
      </c>
      <c r="BY381" t="s">
        <v>113</v>
      </c>
      <c r="BZ381" t="s">
        <v>2744</v>
      </c>
      <c r="CA381" t="s">
        <v>6122</v>
      </c>
      <c r="CB381" t="s">
        <v>338</v>
      </c>
      <c r="CC381">
        <v>63</v>
      </c>
      <c r="CE381">
        <v>2007</v>
      </c>
      <c r="CF381" t="s">
        <v>113</v>
      </c>
      <c r="CG381" t="s">
        <v>6123</v>
      </c>
      <c r="CH381" t="s">
        <v>6124</v>
      </c>
      <c r="CI381" t="s">
        <v>132</v>
      </c>
      <c r="CJ381">
        <v>2015</v>
      </c>
      <c r="CL381" t="s">
        <v>113</v>
      </c>
      <c r="CM381" t="s">
        <v>6125</v>
      </c>
      <c r="CN381" t="s">
        <v>113</v>
      </c>
      <c r="CO381" t="s">
        <v>6126</v>
      </c>
      <c r="CP381" t="s">
        <v>3294</v>
      </c>
      <c r="CQ381" t="s">
        <v>6127</v>
      </c>
      <c r="CR381" t="str">
        <f>HYPERLINK("https://nconnect.nicmar.ac.in/public/storage/profile/699c1fae413ed.png","Download")</f>
        <v>0</v>
      </c>
      <c r="CS381" t="str">
        <f>HYPERLINK("https://nconnect.nicmar.ac.in/pdf/549_resume_1771839329.pdf/Y2FyZWVy","View Resume")</f>
        <v>0</v>
      </c>
    </row>
    <row r="382" spans="1:97">
      <c r="A382" t="s">
        <v>164</v>
      </c>
      <c r="B382" t="s">
        <v>138</v>
      </c>
      <c r="C382" t="s">
        <v>165</v>
      </c>
      <c r="D382" t="s">
        <v>166</v>
      </c>
      <c r="E382" t="s">
        <v>6128</v>
      </c>
      <c r="F382" t="s">
        <v>6129</v>
      </c>
      <c r="G382">
        <v>8412020925</v>
      </c>
      <c r="H382" t="s">
        <v>169</v>
      </c>
      <c r="I382" t="s">
        <v>6130</v>
      </c>
      <c r="J382" t="s">
        <v>105</v>
      </c>
      <c r="K382" t="s">
        <v>6131</v>
      </c>
      <c r="L382" t="s">
        <v>6132</v>
      </c>
      <c r="M382" t="s">
        <v>6133</v>
      </c>
      <c r="N382" t="s">
        <v>109</v>
      </c>
      <c r="AI382" t="s">
        <v>6134</v>
      </c>
      <c r="AJ382" t="s">
        <v>4684</v>
      </c>
      <c r="AK382" t="s">
        <v>6135</v>
      </c>
      <c r="AL382">
        <v>92</v>
      </c>
      <c r="AN382">
        <v>2013</v>
      </c>
      <c r="AO382" t="s">
        <v>113</v>
      </c>
      <c r="AP382" t="s">
        <v>6136</v>
      </c>
      <c r="AQ382" t="s">
        <v>1542</v>
      </c>
      <c r="AR382" t="s">
        <v>6137</v>
      </c>
      <c r="AS382">
        <v>78</v>
      </c>
      <c r="AU382">
        <v>2015</v>
      </c>
      <c r="AV382" t="s">
        <v>113</v>
      </c>
      <c r="AW382" t="s">
        <v>1047</v>
      </c>
      <c r="AX382" t="s">
        <v>6138</v>
      </c>
      <c r="AY382" t="s">
        <v>1047</v>
      </c>
      <c r="AZ382">
        <v>88</v>
      </c>
      <c r="BB382">
        <v>2018</v>
      </c>
      <c r="BC382" t="s">
        <v>113</v>
      </c>
      <c r="BD382" t="s">
        <v>6139</v>
      </c>
      <c r="BE382" t="s">
        <v>6140</v>
      </c>
      <c r="BF382" t="s">
        <v>4134</v>
      </c>
      <c r="BG382">
        <v>63</v>
      </c>
      <c r="BI382">
        <v>2018</v>
      </c>
      <c r="BJ382">
        <v>19</v>
      </c>
      <c r="BK382" t="s">
        <v>6141</v>
      </c>
      <c r="BL382">
        <v>53</v>
      </c>
      <c r="BM382" t="s">
        <v>6142</v>
      </c>
      <c r="BN382" t="s">
        <v>113</v>
      </c>
      <c r="BO382" t="s">
        <v>279</v>
      </c>
      <c r="BP382" t="s">
        <v>6143</v>
      </c>
      <c r="BQ382" t="s">
        <v>6144</v>
      </c>
      <c r="BR382">
        <v>851</v>
      </c>
      <c r="BT382">
        <v>2021</v>
      </c>
      <c r="BU382">
        <v>31</v>
      </c>
      <c r="BV382" t="s">
        <v>6145</v>
      </c>
      <c r="BW382">
        <v>32</v>
      </c>
      <c r="BY382" t="s">
        <v>109</v>
      </c>
      <c r="CF382" t="s">
        <v>113</v>
      </c>
      <c r="CG382" t="s">
        <v>6146</v>
      </c>
      <c r="CH382" t="s">
        <v>6147</v>
      </c>
      <c r="CI382" t="s">
        <v>240</v>
      </c>
      <c r="CL382" t="s">
        <v>113</v>
      </c>
      <c r="CM382" t="s">
        <v>6148</v>
      </c>
      <c r="CN382" t="s">
        <v>113</v>
      </c>
      <c r="CO382" t="s">
        <v>6149</v>
      </c>
      <c r="CP382" t="s">
        <v>6150</v>
      </c>
      <c r="CQ382" t="s">
        <v>6127</v>
      </c>
      <c r="CR382" t="s">
        <v>136</v>
      </c>
      <c r="CS382" t="str">
        <f>HYPERLINK("https://nconnect.nicmar.ac.in/pdf/551_resume_1771839341.pdf/Y2FyZWVy","View Resume")</f>
        <v>0</v>
      </c>
    </row>
    <row r="383" spans="1:97">
      <c r="A383" t="s">
        <v>370</v>
      </c>
      <c r="B383" t="s">
        <v>138</v>
      </c>
      <c r="C383" t="s">
        <v>295</v>
      </c>
      <c r="D383" t="s">
        <v>371</v>
      </c>
      <c r="E383" t="s">
        <v>6151</v>
      </c>
      <c r="F383" t="s">
        <v>6152</v>
      </c>
      <c r="G383">
        <v>9020321332</v>
      </c>
      <c r="H383" t="s">
        <v>103</v>
      </c>
      <c r="I383" t="s">
        <v>6153</v>
      </c>
      <c r="J383" t="s">
        <v>105</v>
      </c>
      <c r="K383" t="s">
        <v>6154</v>
      </c>
      <c r="L383" t="s">
        <v>6155</v>
      </c>
      <c r="M383" t="s">
        <v>6156</v>
      </c>
      <c r="N383" t="s">
        <v>109</v>
      </c>
      <c r="AI383" t="s">
        <v>6157</v>
      </c>
      <c r="AJ383" t="s">
        <v>6158</v>
      </c>
      <c r="AK383" t="s">
        <v>6159</v>
      </c>
      <c r="AL383">
        <v>96</v>
      </c>
      <c r="AN383">
        <v>2009</v>
      </c>
      <c r="AO383" t="s">
        <v>113</v>
      </c>
      <c r="AP383" t="s">
        <v>6160</v>
      </c>
      <c r="AQ383" t="s">
        <v>6161</v>
      </c>
      <c r="AR383" t="s">
        <v>6162</v>
      </c>
      <c r="AS383">
        <v>92</v>
      </c>
      <c r="AU383">
        <v>2011</v>
      </c>
      <c r="AV383" t="s">
        <v>109</v>
      </c>
      <c r="BC383" t="s">
        <v>113</v>
      </c>
      <c r="BD383" t="s">
        <v>6163</v>
      </c>
      <c r="BE383" t="s">
        <v>6164</v>
      </c>
      <c r="BF383" t="s">
        <v>309</v>
      </c>
      <c r="BG383">
        <v>78</v>
      </c>
      <c r="BH383">
        <v>7.82</v>
      </c>
      <c r="BI383">
        <v>2015</v>
      </c>
      <c r="BJ383">
        <v>1</v>
      </c>
      <c r="BL383">
        <v>9</v>
      </c>
      <c r="BN383" t="s">
        <v>113</v>
      </c>
      <c r="BO383" t="s">
        <v>6165</v>
      </c>
      <c r="BP383" t="s">
        <v>1406</v>
      </c>
      <c r="BQ383" t="s">
        <v>1350</v>
      </c>
      <c r="BR383">
        <v>78</v>
      </c>
      <c r="BS383">
        <v>7.83</v>
      </c>
      <c r="BT383">
        <v>2019</v>
      </c>
      <c r="BU383">
        <v>12</v>
      </c>
      <c r="BW383">
        <v>15</v>
      </c>
      <c r="BY383" t="s">
        <v>109</v>
      </c>
      <c r="CF383" t="s">
        <v>113</v>
      </c>
      <c r="CG383" t="s">
        <v>5726</v>
      </c>
      <c r="CH383" t="s">
        <v>6166</v>
      </c>
      <c r="CI383" t="s">
        <v>240</v>
      </c>
      <c r="CK383" t="s">
        <v>113</v>
      </c>
      <c r="CL383" t="s">
        <v>113</v>
      </c>
      <c r="CM383" t="s">
        <v>6167</v>
      </c>
      <c r="CN383" t="s">
        <v>109</v>
      </c>
      <c r="CP383" t="s">
        <v>6168</v>
      </c>
      <c r="CQ383" t="s">
        <v>6169</v>
      </c>
      <c r="CR383" t="str">
        <f>HYPERLINK("https://nconnect.nicmar.ac.in/public/storage/profile/69982f24ae6f8.png","Download")</f>
        <v>0</v>
      </c>
      <c r="CS383" t="str">
        <f>HYPERLINK("https://nconnect.nicmar.ac.in/pdf/431_resume_1771823859.pdf/Y2FyZWVy","View Resume")</f>
        <v>0</v>
      </c>
    </row>
    <row r="384" spans="1:97">
      <c r="A384" t="s">
        <v>2591</v>
      </c>
      <c r="B384" t="s">
        <v>138</v>
      </c>
      <c r="C384" t="s">
        <v>295</v>
      </c>
      <c r="D384" t="s">
        <v>2592</v>
      </c>
      <c r="E384" t="s">
        <v>6151</v>
      </c>
      <c r="F384" t="s">
        <v>6152</v>
      </c>
      <c r="G384">
        <v>9020321332</v>
      </c>
      <c r="H384" t="s">
        <v>103</v>
      </c>
      <c r="I384" t="s">
        <v>6153</v>
      </c>
      <c r="J384" t="s">
        <v>105</v>
      </c>
      <c r="K384" t="s">
        <v>6154</v>
      </c>
      <c r="L384" t="s">
        <v>6155</v>
      </c>
      <c r="M384" t="s">
        <v>6156</v>
      </c>
      <c r="N384" t="s">
        <v>109</v>
      </c>
      <c r="AI384" t="s">
        <v>6157</v>
      </c>
      <c r="AJ384" t="s">
        <v>6158</v>
      </c>
      <c r="AK384" t="s">
        <v>6159</v>
      </c>
      <c r="AL384">
        <v>96</v>
      </c>
      <c r="AN384">
        <v>2009</v>
      </c>
      <c r="AO384" t="s">
        <v>113</v>
      </c>
      <c r="AP384" t="s">
        <v>6160</v>
      </c>
      <c r="AQ384" t="s">
        <v>6161</v>
      </c>
      <c r="AR384" t="s">
        <v>6162</v>
      </c>
      <c r="AS384">
        <v>92</v>
      </c>
      <c r="AU384">
        <v>2011</v>
      </c>
      <c r="AV384" t="s">
        <v>109</v>
      </c>
      <c r="BC384" t="s">
        <v>113</v>
      </c>
      <c r="BD384" t="s">
        <v>6163</v>
      </c>
      <c r="BE384" t="s">
        <v>6164</v>
      </c>
      <c r="BF384" t="s">
        <v>309</v>
      </c>
      <c r="BG384">
        <v>78</v>
      </c>
      <c r="BH384">
        <v>7.82</v>
      </c>
      <c r="BI384">
        <v>2015</v>
      </c>
      <c r="BJ384">
        <v>1</v>
      </c>
      <c r="BL384">
        <v>9</v>
      </c>
      <c r="BN384" t="s">
        <v>113</v>
      </c>
      <c r="BO384" t="s">
        <v>6165</v>
      </c>
      <c r="BP384" t="s">
        <v>1406</v>
      </c>
      <c r="BQ384" t="s">
        <v>1350</v>
      </c>
      <c r="BR384">
        <v>78</v>
      </c>
      <c r="BS384">
        <v>7.83</v>
      </c>
      <c r="BT384">
        <v>2019</v>
      </c>
      <c r="BU384">
        <v>12</v>
      </c>
      <c r="BW384">
        <v>15</v>
      </c>
      <c r="BY384" t="s">
        <v>109</v>
      </c>
      <c r="CF384" t="s">
        <v>113</v>
      </c>
      <c r="CG384" t="s">
        <v>5726</v>
      </c>
      <c r="CH384" t="s">
        <v>6166</v>
      </c>
      <c r="CI384" t="s">
        <v>240</v>
      </c>
      <c r="CK384" t="s">
        <v>113</v>
      </c>
      <c r="CL384" t="s">
        <v>113</v>
      </c>
      <c r="CM384" t="s">
        <v>6167</v>
      </c>
      <c r="CN384" t="s">
        <v>109</v>
      </c>
      <c r="CP384" t="s">
        <v>6168</v>
      </c>
      <c r="CQ384" t="s">
        <v>6169</v>
      </c>
      <c r="CR384" t="str">
        <f>HYPERLINK("https://nconnect.nicmar.ac.in/public/storage/profile/69982f24ae6f8.png","Download")</f>
        <v>0</v>
      </c>
      <c r="CS384" t="str">
        <f>HYPERLINK("https://nconnect.nicmar.ac.in/pdf/431_resume_1771823859.pdf/Y2FyZWVy","View Resume")</f>
        <v>0</v>
      </c>
    </row>
    <row r="385" spans="1:97">
      <c r="A385" t="s">
        <v>367</v>
      </c>
      <c r="B385" t="s">
        <v>138</v>
      </c>
      <c r="C385" t="s">
        <v>295</v>
      </c>
      <c r="D385" t="s">
        <v>368</v>
      </c>
      <c r="E385" t="s">
        <v>6151</v>
      </c>
      <c r="F385" t="s">
        <v>6152</v>
      </c>
      <c r="G385">
        <v>9020321332</v>
      </c>
      <c r="H385" t="s">
        <v>103</v>
      </c>
      <c r="I385" t="s">
        <v>6153</v>
      </c>
      <c r="J385" t="s">
        <v>105</v>
      </c>
      <c r="K385" t="s">
        <v>6154</v>
      </c>
      <c r="L385" t="s">
        <v>6155</v>
      </c>
      <c r="M385" t="s">
        <v>6156</v>
      </c>
      <c r="N385" t="s">
        <v>109</v>
      </c>
      <c r="AI385" t="s">
        <v>6157</v>
      </c>
      <c r="AJ385" t="s">
        <v>6158</v>
      </c>
      <c r="AK385" t="s">
        <v>6159</v>
      </c>
      <c r="AL385">
        <v>96</v>
      </c>
      <c r="AN385">
        <v>2009</v>
      </c>
      <c r="AO385" t="s">
        <v>113</v>
      </c>
      <c r="AP385" t="s">
        <v>6160</v>
      </c>
      <c r="AQ385" t="s">
        <v>6161</v>
      </c>
      <c r="AR385" t="s">
        <v>6162</v>
      </c>
      <c r="AS385">
        <v>92</v>
      </c>
      <c r="AU385">
        <v>2011</v>
      </c>
      <c r="AV385" t="s">
        <v>109</v>
      </c>
      <c r="BC385" t="s">
        <v>113</v>
      </c>
      <c r="BD385" t="s">
        <v>6163</v>
      </c>
      <c r="BE385" t="s">
        <v>6164</v>
      </c>
      <c r="BF385" t="s">
        <v>309</v>
      </c>
      <c r="BG385">
        <v>78</v>
      </c>
      <c r="BH385">
        <v>7.82</v>
      </c>
      <c r="BI385">
        <v>2015</v>
      </c>
      <c r="BJ385">
        <v>1</v>
      </c>
      <c r="BL385">
        <v>9</v>
      </c>
      <c r="BN385" t="s">
        <v>113</v>
      </c>
      <c r="BO385" t="s">
        <v>6165</v>
      </c>
      <c r="BP385" t="s">
        <v>1406</v>
      </c>
      <c r="BQ385" t="s">
        <v>1350</v>
      </c>
      <c r="BR385">
        <v>78</v>
      </c>
      <c r="BS385">
        <v>7.83</v>
      </c>
      <c r="BT385">
        <v>2019</v>
      </c>
      <c r="BU385">
        <v>12</v>
      </c>
      <c r="BW385">
        <v>15</v>
      </c>
      <c r="BY385" t="s">
        <v>109</v>
      </c>
      <c r="CF385" t="s">
        <v>113</v>
      </c>
      <c r="CG385" t="s">
        <v>5726</v>
      </c>
      <c r="CH385" t="s">
        <v>6166</v>
      </c>
      <c r="CI385" t="s">
        <v>240</v>
      </c>
      <c r="CK385" t="s">
        <v>113</v>
      </c>
      <c r="CL385" t="s">
        <v>113</v>
      </c>
      <c r="CM385" t="s">
        <v>6167</v>
      </c>
      <c r="CN385" t="s">
        <v>109</v>
      </c>
      <c r="CP385" t="s">
        <v>6168</v>
      </c>
      <c r="CQ385" t="s">
        <v>6170</v>
      </c>
      <c r="CR385" t="str">
        <f>HYPERLINK("https://nconnect.nicmar.ac.in/public/storage/profile/69982f24ae6f8.png","Download")</f>
        <v>0</v>
      </c>
      <c r="CS385" t="str">
        <f>HYPERLINK("https://nconnect.nicmar.ac.in/pdf/431_resume_1771823859.pdf/Y2FyZWVy","View Resume")</f>
        <v>0</v>
      </c>
    </row>
    <row r="386" spans="1:97">
      <c r="A386" t="s">
        <v>3610</v>
      </c>
      <c r="B386" t="s">
        <v>3611</v>
      </c>
      <c r="C386" t="s">
        <v>295</v>
      </c>
      <c r="D386" t="s">
        <v>296</v>
      </c>
      <c r="E386" t="s">
        <v>6151</v>
      </c>
      <c r="F386" t="s">
        <v>6152</v>
      </c>
      <c r="G386">
        <v>9020321332</v>
      </c>
      <c r="H386" t="s">
        <v>103</v>
      </c>
      <c r="I386" t="s">
        <v>6153</v>
      </c>
      <c r="J386" t="s">
        <v>105</v>
      </c>
      <c r="K386" t="s">
        <v>6154</v>
      </c>
      <c r="L386" t="s">
        <v>6155</v>
      </c>
      <c r="M386" t="s">
        <v>6156</v>
      </c>
      <c r="N386" t="s">
        <v>109</v>
      </c>
      <c r="AI386" t="s">
        <v>6157</v>
      </c>
      <c r="AJ386" t="s">
        <v>6158</v>
      </c>
      <c r="AK386" t="s">
        <v>6159</v>
      </c>
      <c r="AL386">
        <v>96</v>
      </c>
      <c r="AN386">
        <v>2009</v>
      </c>
      <c r="AO386" t="s">
        <v>113</v>
      </c>
      <c r="AP386" t="s">
        <v>6160</v>
      </c>
      <c r="AQ386" t="s">
        <v>6161</v>
      </c>
      <c r="AR386" t="s">
        <v>6162</v>
      </c>
      <c r="AS386">
        <v>92</v>
      </c>
      <c r="AU386">
        <v>2011</v>
      </c>
      <c r="AV386" t="s">
        <v>109</v>
      </c>
      <c r="BC386" t="s">
        <v>113</v>
      </c>
      <c r="BD386" t="s">
        <v>6163</v>
      </c>
      <c r="BE386" t="s">
        <v>6164</v>
      </c>
      <c r="BF386" t="s">
        <v>309</v>
      </c>
      <c r="BG386">
        <v>78</v>
      </c>
      <c r="BH386">
        <v>7.82</v>
      </c>
      <c r="BI386">
        <v>2015</v>
      </c>
      <c r="BJ386">
        <v>1</v>
      </c>
      <c r="BL386">
        <v>9</v>
      </c>
      <c r="BN386" t="s">
        <v>113</v>
      </c>
      <c r="BO386" t="s">
        <v>6165</v>
      </c>
      <c r="BP386" t="s">
        <v>1406</v>
      </c>
      <c r="BQ386" t="s">
        <v>1350</v>
      </c>
      <c r="BR386">
        <v>78</v>
      </c>
      <c r="BS386">
        <v>7.83</v>
      </c>
      <c r="BT386">
        <v>2019</v>
      </c>
      <c r="BU386">
        <v>12</v>
      </c>
      <c r="BW386">
        <v>15</v>
      </c>
      <c r="BY386" t="s">
        <v>109</v>
      </c>
      <c r="CF386" t="s">
        <v>113</v>
      </c>
      <c r="CG386" t="s">
        <v>5726</v>
      </c>
      <c r="CH386" t="s">
        <v>6166</v>
      </c>
      <c r="CI386" t="s">
        <v>240</v>
      </c>
      <c r="CK386" t="s">
        <v>113</v>
      </c>
      <c r="CL386" t="s">
        <v>113</v>
      </c>
      <c r="CM386" t="s">
        <v>6167</v>
      </c>
      <c r="CN386" t="s">
        <v>109</v>
      </c>
      <c r="CP386" t="s">
        <v>6168</v>
      </c>
      <c r="CQ386" t="s">
        <v>6171</v>
      </c>
      <c r="CR386" t="str">
        <f>HYPERLINK("https://nconnect.nicmar.ac.in/public/storage/profile/69982f24ae6f8.png","Download")</f>
        <v>0</v>
      </c>
      <c r="CS386" t="str">
        <f>HYPERLINK("https://nconnect.nicmar.ac.in/pdf/431_resume_1771823859.pdf/Y2FyZWVy","View Resume")</f>
        <v>0</v>
      </c>
    </row>
    <row r="387" spans="1:97">
      <c r="A387" t="s">
        <v>1203</v>
      </c>
      <c r="B387" t="s">
        <v>138</v>
      </c>
      <c r="C387" t="s">
        <v>165</v>
      </c>
      <c r="D387" t="s">
        <v>1204</v>
      </c>
      <c r="E387" t="s">
        <v>6172</v>
      </c>
      <c r="F387" t="s">
        <v>6173</v>
      </c>
      <c r="G387">
        <v>9309940987</v>
      </c>
      <c r="H387" t="s">
        <v>103</v>
      </c>
      <c r="I387" t="s">
        <v>6174</v>
      </c>
      <c r="J387" t="s">
        <v>105</v>
      </c>
      <c r="K387" t="s">
        <v>272</v>
      </c>
      <c r="L387" t="s">
        <v>6175</v>
      </c>
      <c r="M387" t="s">
        <v>6176</v>
      </c>
      <c r="N387" t="s">
        <v>109</v>
      </c>
      <c r="AI387" t="s">
        <v>6177</v>
      </c>
      <c r="AJ387" t="s">
        <v>6178</v>
      </c>
      <c r="AK387" t="s">
        <v>6179</v>
      </c>
      <c r="AL387">
        <v>80.18</v>
      </c>
      <c r="AN387">
        <v>2012</v>
      </c>
      <c r="AO387" t="s">
        <v>113</v>
      </c>
      <c r="AP387" t="s">
        <v>6180</v>
      </c>
      <c r="AQ387" t="s">
        <v>6178</v>
      </c>
      <c r="AR387" t="s">
        <v>406</v>
      </c>
      <c r="AS387">
        <v>53.38</v>
      </c>
      <c r="AU387">
        <v>2014</v>
      </c>
      <c r="AV387" t="s">
        <v>109</v>
      </c>
      <c r="BC387" t="s">
        <v>113</v>
      </c>
      <c r="BD387" t="s">
        <v>279</v>
      </c>
      <c r="BE387" t="s">
        <v>6181</v>
      </c>
      <c r="BF387" t="s">
        <v>6182</v>
      </c>
      <c r="BG387">
        <v>61.66</v>
      </c>
      <c r="BI387">
        <v>2018</v>
      </c>
      <c r="BJ387">
        <v>19</v>
      </c>
      <c r="BK387" t="s">
        <v>2503</v>
      </c>
      <c r="BL387">
        <v>53</v>
      </c>
      <c r="BM387" t="s">
        <v>1866</v>
      </c>
      <c r="BN387" t="s">
        <v>113</v>
      </c>
      <c r="BO387" t="s">
        <v>279</v>
      </c>
      <c r="BP387" t="s">
        <v>6183</v>
      </c>
      <c r="BQ387" t="s">
        <v>6184</v>
      </c>
      <c r="BR387">
        <v>68.23</v>
      </c>
      <c r="BT387">
        <v>2020</v>
      </c>
      <c r="BU387">
        <v>31</v>
      </c>
      <c r="BV387" t="s">
        <v>339</v>
      </c>
      <c r="BW387">
        <v>32</v>
      </c>
      <c r="BX387" t="s">
        <v>6146</v>
      </c>
      <c r="BY387" t="s">
        <v>109</v>
      </c>
      <c r="CF387" t="s">
        <v>113</v>
      </c>
      <c r="CG387" t="s">
        <v>6185</v>
      </c>
      <c r="CH387" t="s">
        <v>6186</v>
      </c>
      <c r="CI387" t="s">
        <v>240</v>
      </c>
      <c r="CK387" t="s">
        <v>109</v>
      </c>
      <c r="CL387" t="s">
        <v>113</v>
      </c>
      <c r="CM387" t="s">
        <v>6187</v>
      </c>
      <c r="CN387" t="s">
        <v>113</v>
      </c>
      <c r="CO387" t="s">
        <v>6188</v>
      </c>
      <c r="CP387" t="s">
        <v>6189</v>
      </c>
      <c r="CQ387" t="s">
        <v>6190</v>
      </c>
      <c r="CR387" t="str">
        <f>HYPERLINK("https://nconnect.nicmar.ac.in/public/storage/profile/699c25793e9bc.png","Download")</f>
        <v>0</v>
      </c>
      <c r="CS387" t="str">
        <f>HYPERLINK("https://nconnect.nicmar.ac.in/pdf/118_resume_1771840730.pdf/Y2FyZWVy","View Resume")</f>
        <v>0</v>
      </c>
    </row>
    <row r="388" spans="1:97">
      <c r="A388" t="s">
        <v>3610</v>
      </c>
      <c r="B388" t="s">
        <v>3611</v>
      </c>
      <c r="C388" t="s">
        <v>295</v>
      </c>
      <c r="D388" t="s">
        <v>296</v>
      </c>
      <c r="E388" t="s">
        <v>6191</v>
      </c>
      <c r="F388" t="s">
        <v>6192</v>
      </c>
      <c r="G388">
        <v>7276231975</v>
      </c>
      <c r="H388" t="s">
        <v>103</v>
      </c>
      <c r="I388" t="s">
        <v>6193</v>
      </c>
      <c r="J388" t="s">
        <v>105</v>
      </c>
      <c r="K388" t="s">
        <v>4130</v>
      </c>
      <c r="L388" t="s">
        <v>6194</v>
      </c>
      <c r="M388" t="s">
        <v>6195</v>
      </c>
      <c r="N388" t="s">
        <v>109</v>
      </c>
      <c r="AI388" t="s">
        <v>6196</v>
      </c>
      <c r="AJ388" t="s">
        <v>352</v>
      </c>
      <c r="AK388" t="s">
        <v>5974</v>
      </c>
      <c r="AL388">
        <v>76.76</v>
      </c>
      <c r="AN388">
        <v>2007</v>
      </c>
      <c r="AO388" t="s">
        <v>109</v>
      </c>
      <c r="AV388" t="s">
        <v>113</v>
      </c>
      <c r="AW388" t="s">
        <v>354</v>
      </c>
      <c r="AX388" t="s">
        <v>6197</v>
      </c>
      <c r="AY388" t="s">
        <v>6198</v>
      </c>
      <c r="AZ388">
        <v>77.07</v>
      </c>
      <c r="BB388">
        <v>2010</v>
      </c>
      <c r="BC388" t="s">
        <v>113</v>
      </c>
      <c r="BD388" t="s">
        <v>358</v>
      </c>
      <c r="BE388" t="s">
        <v>6199</v>
      </c>
      <c r="BF388" t="s">
        <v>6200</v>
      </c>
      <c r="BG388">
        <v>74.45</v>
      </c>
      <c r="BI388">
        <v>2013</v>
      </c>
      <c r="BJ388">
        <v>2</v>
      </c>
      <c r="BL388">
        <v>9</v>
      </c>
      <c r="BN388" t="s">
        <v>113</v>
      </c>
      <c r="BO388" t="s">
        <v>6201</v>
      </c>
      <c r="BP388" t="s">
        <v>6202</v>
      </c>
      <c r="BQ388" t="s">
        <v>6203</v>
      </c>
      <c r="BR388">
        <v>67.45</v>
      </c>
      <c r="BT388">
        <v>2018</v>
      </c>
      <c r="BU388">
        <v>20</v>
      </c>
      <c r="BW388">
        <v>5</v>
      </c>
      <c r="BY388" t="s">
        <v>109</v>
      </c>
      <c r="CF388" t="s">
        <v>113</v>
      </c>
      <c r="CG388" t="s">
        <v>6204</v>
      </c>
      <c r="CH388" t="s">
        <v>6205</v>
      </c>
      <c r="CI388" t="s">
        <v>240</v>
      </c>
      <c r="CK388" t="s">
        <v>109</v>
      </c>
      <c r="CL388" t="s">
        <v>113</v>
      </c>
      <c r="CM388" t="s">
        <v>6206</v>
      </c>
      <c r="CN388" t="s">
        <v>113</v>
      </c>
      <c r="CO388" t="s">
        <v>6207</v>
      </c>
      <c r="CP388" t="s">
        <v>6208</v>
      </c>
      <c r="CQ388" t="s">
        <v>6209</v>
      </c>
      <c r="CR388" t="s">
        <v>136</v>
      </c>
      <c r="CS388" t="str">
        <f>HYPERLINK("https://nconnect.nicmar.ac.in/pdf/547_resume_1771840334.pdf/Y2FyZWVy","View Resume")</f>
        <v>0</v>
      </c>
    </row>
    <row r="389" spans="1:97">
      <c r="A389" t="s">
        <v>370</v>
      </c>
      <c r="B389" t="s">
        <v>138</v>
      </c>
      <c r="C389" t="s">
        <v>295</v>
      </c>
      <c r="D389" t="s">
        <v>371</v>
      </c>
      <c r="E389" t="s">
        <v>6191</v>
      </c>
      <c r="F389" t="s">
        <v>6192</v>
      </c>
      <c r="G389">
        <v>7276231975</v>
      </c>
      <c r="H389" t="s">
        <v>103</v>
      </c>
      <c r="I389" t="s">
        <v>6193</v>
      </c>
      <c r="J389" t="s">
        <v>105</v>
      </c>
      <c r="K389" t="s">
        <v>4130</v>
      </c>
      <c r="L389" t="s">
        <v>6194</v>
      </c>
      <c r="M389" t="s">
        <v>6195</v>
      </c>
      <c r="N389" t="s">
        <v>109</v>
      </c>
      <c r="AI389" t="s">
        <v>6196</v>
      </c>
      <c r="AJ389" t="s">
        <v>352</v>
      </c>
      <c r="AK389" t="s">
        <v>5974</v>
      </c>
      <c r="AL389">
        <v>76.76</v>
      </c>
      <c r="AN389">
        <v>2007</v>
      </c>
      <c r="AO389" t="s">
        <v>109</v>
      </c>
      <c r="AV389" t="s">
        <v>113</v>
      </c>
      <c r="AW389" t="s">
        <v>354</v>
      </c>
      <c r="AX389" t="s">
        <v>6197</v>
      </c>
      <c r="AY389" t="s">
        <v>6198</v>
      </c>
      <c r="AZ389">
        <v>77.07</v>
      </c>
      <c r="BB389">
        <v>2010</v>
      </c>
      <c r="BC389" t="s">
        <v>113</v>
      </c>
      <c r="BD389" t="s">
        <v>358</v>
      </c>
      <c r="BE389" t="s">
        <v>6199</v>
      </c>
      <c r="BF389" t="s">
        <v>6200</v>
      </c>
      <c r="BG389">
        <v>74.45</v>
      </c>
      <c r="BI389">
        <v>2013</v>
      </c>
      <c r="BJ389">
        <v>2</v>
      </c>
      <c r="BL389">
        <v>9</v>
      </c>
      <c r="BN389" t="s">
        <v>113</v>
      </c>
      <c r="BO389" t="s">
        <v>6201</v>
      </c>
      <c r="BP389" t="s">
        <v>6202</v>
      </c>
      <c r="BQ389" t="s">
        <v>6203</v>
      </c>
      <c r="BR389">
        <v>67.45</v>
      </c>
      <c r="BT389">
        <v>2018</v>
      </c>
      <c r="BU389">
        <v>20</v>
      </c>
      <c r="BW389">
        <v>5</v>
      </c>
      <c r="BY389" t="s">
        <v>109</v>
      </c>
      <c r="CF389" t="s">
        <v>113</v>
      </c>
      <c r="CG389" t="s">
        <v>6204</v>
      </c>
      <c r="CH389" t="s">
        <v>6205</v>
      </c>
      <c r="CI389" t="s">
        <v>240</v>
      </c>
      <c r="CK389" t="s">
        <v>109</v>
      </c>
      <c r="CL389" t="s">
        <v>113</v>
      </c>
      <c r="CM389" t="s">
        <v>6206</v>
      </c>
      <c r="CN389" t="s">
        <v>113</v>
      </c>
      <c r="CO389" t="s">
        <v>6207</v>
      </c>
      <c r="CP389" t="s">
        <v>6208</v>
      </c>
      <c r="CQ389" t="s">
        <v>6210</v>
      </c>
      <c r="CR389" t="s">
        <v>136</v>
      </c>
      <c r="CS389" t="str">
        <f>HYPERLINK("https://nconnect.nicmar.ac.in/pdf/547_resume_1771840334.pdf/Y2FyZWVy","View Resume")</f>
        <v>0</v>
      </c>
    </row>
    <row r="390" spans="1:97">
      <c r="A390" t="s">
        <v>190</v>
      </c>
      <c r="B390" t="s">
        <v>138</v>
      </c>
      <c r="C390" t="s">
        <v>139</v>
      </c>
      <c r="D390" t="s">
        <v>191</v>
      </c>
      <c r="E390" t="s">
        <v>6211</v>
      </c>
      <c r="F390" t="s">
        <v>6212</v>
      </c>
      <c r="G390">
        <v>9927211192</v>
      </c>
      <c r="H390" t="s">
        <v>103</v>
      </c>
      <c r="I390" t="s">
        <v>6213</v>
      </c>
      <c r="J390" t="s">
        <v>144</v>
      </c>
      <c r="K390" t="s">
        <v>6214</v>
      </c>
      <c r="L390" t="s">
        <v>6215</v>
      </c>
      <c r="M390" t="s">
        <v>6216</v>
      </c>
      <c r="N390" t="s">
        <v>109</v>
      </c>
      <c r="AI390" t="s">
        <v>6217</v>
      </c>
      <c r="AJ390" t="s">
        <v>6218</v>
      </c>
      <c r="AK390" t="s">
        <v>6219</v>
      </c>
      <c r="AL390">
        <v>88</v>
      </c>
      <c r="AN390">
        <v>2006</v>
      </c>
      <c r="AO390" t="s">
        <v>113</v>
      </c>
      <c r="AP390" t="s">
        <v>6217</v>
      </c>
      <c r="AQ390" t="s">
        <v>6218</v>
      </c>
      <c r="AR390" t="s">
        <v>6220</v>
      </c>
      <c r="AS390">
        <v>70.4</v>
      </c>
      <c r="AU390">
        <v>2008</v>
      </c>
      <c r="AV390" t="s">
        <v>109</v>
      </c>
      <c r="BC390" t="s">
        <v>113</v>
      </c>
      <c r="BD390" t="s">
        <v>816</v>
      </c>
      <c r="BE390" t="s">
        <v>816</v>
      </c>
      <c r="BF390" t="s">
        <v>6221</v>
      </c>
      <c r="BG390">
        <v>73.8</v>
      </c>
      <c r="BI390">
        <v>2013</v>
      </c>
      <c r="BJ390">
        <v>19</v>
      </c>
      <c r="BK390" t="s">
        <v>6222</v>
      </c>
      <c r="BL390">
        <v>53</v>
      </c>
      <c r="BM390" t="s">
        <v>281</v>
      </c>
      <c r="BN390" t="s">
        <v>113</v>
      </c>
      <c r="BO390" t="s">
        <v>816</v>
      </c>
      <c r="BP390" t="s">
        <v>816</v>
      </c>
      <c r="BQ390" t="s">
        <v>281</v>
      </c>
      <c r="BR390">
        <v>74.12</v>
      </c>
      <c r="BT390">
        <v>2015</v>
      </c>
      <c r="BU390">
        <v>31</v>
      </c>
      <c r="BV390" t="s">
        <v>4352</v>
      </c>
      <c r="BW390">
        <v>53</v>
      </c>
      <c r="BX390" t="s">
        <v>281</v>
      </c>
      <c r="BY390" t="s">
        <v>109</v>
      </c>
      <c r="CF390" t="s">
        <v>113</v>
      </c>
      <c r="CG390" t="s">
        <v>6223</v>
      </c>
      <c r="CH390" t="s">
        <v>816</v>
      </c>
      <c r="CI390" t="s">
        <v>132</v>
      </c>
      <c r="CJ390">
        <v>2022</v>
      </c>
      <c r="CL390" t="s">
        <v>109</v>
      </c>
      <c r="CN390" t="s">
        <v>109</v>
      </c>
      <c r="CP390" t="s">
        <v>6224</v>
      </c>
      <c r="CQ390" t="s">
        <v>6225</v>
      </c>
      <c r="CR390" t="s">
        <v>136</v>
      </c>
      <c r="CS390" t="str">
        <f>HYPERLINK("https://nconnect.nicmar.ac.in/pdf/552_resume_1771843042.pdf/Y2FyZWVy","View Resume")</f>
        <v>0</v>
      </c>
    </row>
    <row r="391" spans="1:97">
      <c r="A391" t="s">
        <v>3610</v>
      </c>
      <c r="B391" t="s">
        <v>3611</v>
      </c>
      <c r="C391" t="s">
        <v>295</v>
      </c>
      <c r="D391" t="s">
        <v>296</v>
      </c>
      <c r="E391" t="s">
        <v>6226</v>
      </c>
      <c r="F391" t="s">
        <v>6227</v>
      </c>
      <c r="G391">
        <v>7780600900</v>
      </c>
      <c r="H391" t="s">
        <v>103</v>
      </c>
      <c r="I391" t="s">
        <v>6228</v>
      </c>
      <c r="J391" t="s">
        <v>105</v>
      </c>
      <c r="K391" t="s">
        <v>526</v>
      </c>
      <c r="L391" t="s">
        <v>6229</v>
      </c>
      <c r="M391" t="s">
        <v>6230</v>
      </c>
      <c r="N391" t="s">
        <v>109</v>
      </c>
      <c r="AI391" t="s">
        <v>6231</v>
      </c>
      <c r="AJ391" t="s">
        <v>6232</v>
      </c>
      <c r="AK391" t="s">
        <v>6233</v>
      </c>
      <c r="AL391">
        <v>84</v>
      </c>
      <c r="AN391">
        <v>2009</v>
      </c>
      <c r="AO391" t="s">
        <v>113</v>
      </c>
      <c r="AP391" t="s">
        <v>6234</v>
      </c>
      <c r="AQ391" t="s">
        <v>3520</v>
      </c>
      <c r="AR391" t="s">
        <v>2191</v>
      </c>
      <c r="AS391">
        <v>84</v>
      </c>
      <c r="AU391">
        <v>2011</v>
      </c>
      <c r="AV391" t="s">
        <v>109</v>
      </c>
      <c r="BC391" t="s">
        <v>113</v>
      </c>
      <c r="BD391" t="s">
        <v>1813</v>
      </c>
      <c r="BE391" t="s">
        <v>4710</v>
      </c>
      <c r="BF391" t="s">
        <v>6235</v>
      </c>
      <c r="BG391">
        <v>83</v>
      </c>
      <c r="BI391">
        <v>2015</v>
      </c>
      <c r="BJ391">
        <v>1</v>
      </c>
      <c r="BL391">
        <v>9</v>
      </c>
      <c r="BN391" t="s">
        <v>113</v>
      </c>
      <c r="BO391" t="s">
        <v>120</v>
      </c>
      <c r="BP391" t="s">
        <v>6236</v>
      </c>
      <c r="BQ391" t="s">
        <v>6237</v>
      </c>
      <c r="BR391">
        <v>75.82</v>
      </c>
      <c r="BS391">
        <v>8.19</v>
      </c>
      <c r="BT391">
        <v>2017</v>
      </c>
      <c r="BU391">
        <v>14</v>
      </c>
      <c r="BW391">
        <v>47</v>
      </c>
      <c r="BY391" t="s">
        <v>109</v>
      </c>
      <c r="CF391" t="s">
        <v>113</v>
      </c>
      <c r="CG391" t="s">
        <v>309</v>
      </c>
      <c r="CH391" t="s">
        <v>2614</v>
      </c>
      <c r="CI391" t="s">
        <v>240</v>
      </c>
      <c r="CJ391">
        <v>2025</v>
      </c>
      <c r="CL391" t="s">
        <v>113</v>
      </c>
      <c r="CM391" t="s">
        <v>6238</v>
      </c>
      <c r="CN391" t="s">
        <v>113</v>
      </c>
      <c r="CO391" t="s">
        <v>6239</v>
      </c>
      <c r="CP391" t="s">
        <v>6240</v>
      </c>
      <c r="CQ391" t="s">
        <v>6241</v>
      </c>
      <c r="CR391" t="s">
        <v>136</v>
      </c>
      <c r="CS391" t="str">
        <f>HYPERLINK("https://nconnect.nicmar.ac.in/pdf/554_resume_1771843443.pdf/Y2FyZWVy","View Resume")</f>
        <v>0</v>
      </c>
    </row>
    <row r="392" spans="1:97">
      <c r="A392" t="s">
        <v>190</v>
      </c>
      <c r="B392" t="s">
        <v>138</v>
      </c>
      <c r="C392" t="s">
        <v>139</v>
      </c>
      <c r="D392" t="s">
        <v>191</v>
      </c>
      <c r="E392" t="s">
        <v>6242</v>
      </c>
      <c r="F392" t="s">
        <v>6243</v>
      </c>
      <c r="G392">
        <v>9971674085</v>
      </c>
      <c r="H392" t="s">
        <v>103</v>
      </c>
      <c r="I392" t="s">
        <v>6244</v>
      </c>
      <c r="J392" t="s">
        <v>144</v>
      </c>
      <c r="K392" t="s">
        <v>505</v>
      </c>
      <c r="L392" t="s">
        <v>6245</v>
      </c>
      <c r="M392" t="s">
        <v>6246</v>
      </c>
      <c r="N392" t="s">
        <v>109</v>
      </c>
      <c r="AI392" t="s">
        <v>6247</v>
      </c>
      <c r="AJ392" t="s">
        <v>6248</v>
      </c>
      <c r="AK392" t="s">
        <v>6249</v>
      </c>
      <c r="AL392">
        <v>70</v>
      </c>
      <c r="AN392">
        <v>2010</v>
      </c>
      <c r="AO392" t="s">
        <v>113</v>
      </c>
      <c r="AP392" t="s">
        <v>6247</v>
      </c>
      <c r="AQ392" t="s">
        <v>6248</v>
      </c>
      <c r="AR392" t="s">
        <v>6250</v>
      </c>
      <c r="AS392">
        <v>65</v>
      </c>
      <c r="AU392">
        <v>2012</v>
      </c>
      <c r="AV392" t="s">
        <v>109</v>
      </c>
      <c r="BC392" t="s">
        <v>113</v>
      </c>
      <c r="BD392" t="s">
        <v>6251</v>
      </c>
      <c r="BE392" t="s">
        <v>1300</v>
      </c>
      <c r="BF392" t="s">
        <v>6252</v>
      </c>
      <c r="BG392">
        <v>83</v>
      </c>
      <c r="BI392">
        <v>2016</v>
      </c>
      <c r="BJ392">
        <v>19</v>
      </c>
      <c r="BK392" t="s">
        <v>335</v>
      </c>
      <c r="BL392">
        <v>53</v>
      </c>
      <c r="BM392" t="s">
        <v>957</v>
      </c>
      <c r="BN392" t="s">
        <v>113</v>
      </c>
      <c r="BO392" t="s">
        <v>6253</v>
      </c>
      <c r="BP392" t="s">
        <v>5466</v>
      </c>
      <c r="BQ392" t="s">
        <v>6254</v>
      </c>
      <c r="BR392">
        <v>73</v>
      </c>
      <c r="BT392">
        <v>2019</v>
      </c>
      <c r="BU392">
        <v>31</v>
      </c>
      <c r="BV392" t="s">
        <v>1965</v>
      </c>
      <c r="BW392">
        <v>53</v>
      </c>
      <c r="BX392" t="s">
        <v>957</v>
      </c>
      <c r="BY392" t="s">
        <v>109</v>
      </c>
      <c r="CF392" t="s">
        <v>113</v>
      </c>
      <c r="CG392" t="s">
        <v>6255</v>
      </c>
      <c r="CH392" t="s">
        <v>6256</v>
      </c>
      <c r="CI392" t="s">
        <v>132</v>
      </c>
      <c r="CJ392">
        <v>2025</v>
      </c>
      <c r="CL392" t="s">
        <v>109</v>
      </c>
      <c r="CN392" t="s">
        <v>113</v>
      </c>
      <c r="CO392" t="s">
        <v>6257</v>
      </c>
      <c r="CP392" t="s">
        <v>342</v>
      </c>
      <c r="CQ392" t="s">
        <v>6258</v>
      </c>
      <c r="CR392" t="s">
        <v>136</v>
      </c>
      <c r="CS392" t="str">
        <f>HYPERLINK("https://nconnect.nicmar.ac.in/pdf/559_resume_1771844004.pdf/Y2FyZWVy","View Resume")</f>
        <v>0</v>
      </c>
    </row>
    <row r="393" spans="1:97">
      <c r="A393" t="s">
        <v>3528</v>
      </c>
      <c r="B393" t="s">
        <v>318</v>
      </c>
      <c r="C393" t="s">
        <v>99</v>
      </c>
      <c r="D393" t="s">
        <v>3529</v>
      </c>
      <c r="E393" t="s">
        <v>6259</v>
      </c>
      <c r="F393" t="s">
        <v>6260</v>
      </c>
      <c r="G393">
        <v>7588858555</v>
      </c>
      <c r="H393" t="s">
        <v>103</v>
      </c>
      <c r="I393" t="s">
        <v>6261</v>
      </c>
      <c r="J393" t="s">
        <v>105</v>
      </c>
      <c r="K393" t="s">
        <v>2797</v>
      </c>
      <c r="L393" t="s">
        <v>6262</v>
      </c>
      <c r="M393" t="s">
        <v>6263</v>
      </c>
      <c r="N393" t="s">
        <v>109</v>
      </c>
      <c r="AI393" t="s">
        <v>6264</v>
      </c>
      <c r="AJ393" t="s">
        <v>6265</v>
      </c>
      <c r="AK393" t="s">
        <v>1212</v>
      </c>
      <c r="AL393">
        <v>68.93</v>
      </c>
      <c r="AN393">
        <v>2002</v>
      </c>
      <c r="AO393" t="s">
        <v>113</v>
      </c>
      <c r="AP393" t="s">
        <v>6266</v>
      </c>
      <c r="AQ393" t="s">
        <v>6267</v>
      </c>
      <c r="AR393" t="s">
        <v>6268</v>
      </c>
      <c r="AS393">
        <v>64.5</v>
      </c>
      <c r="AU393">
        <v>2004</v>
      </c>
      <c r="AV393" t="s">
        <v>109</v>
      </c>
      <c r="BC393" t="s">
        <v>113</v>
      </c>
      <c r="BD393" t="s">
        <v>356</v>
      </c>
      <c r="BE393" t="s">
        <v>6269</v>
      </c>
      <c r="BF393" t="s">
        <v>1117</v>
      </c>
      <c r="BG393">
        <v>63.68</v>
      </c>
      <c r="BI393">
        <v>2009</v>
      </c>
      <c r="BJ393">
        <v>8</v>
      </c>
      <c r="BL393">
        <v>2</v>
      </c>
      <c r="BN393" t="s">
        <v>113</v>
      </c>
      <c r="BO393" t="s">
        <v>6270</v>
      </c>
      <c r="BP393" t="s">
        <v>6271</v>
      </c>
      <c r="BQ393" t="s">
        <v>6272</v>
      </c>
      <c r="BR393">
        <v>69</v>
      </c>
      <c r="BS393">
        <v>6.88</v>
      </c>
      <c r="BT393">
        <v>2012</v>
      </c>
      <c r="BU393">
        <v>31</v>
      </c>
      <c r="BV393" t="s">
        <v>6273</v>
      </c>
      <c r="BW393">
        <v>35</v>
      </c>
      <c r="BY393" t="s">
        <v>109</v>
      </c>
      <c r="CF393" t="s">
        <v>113</v>
      </c>
      <c r="CG393" t="s">
        <v>5538</v>
      </c>
      <c r="CH393" t="s">
        <v>6274</v>
      </c>
      <c r="CI393" t="s">
        <v>132</v>
      </c>
      <c r="CJ393">
        <v>2022</v>
      </c>
      <c r="CL393" t="s">
        <v>109</v>
      </c>
      <c r="CN393" t="s">
        <v>113</v>
      </c>
      <c r="CO393" t="s">
        <v>6275</v>
      </c>
      <c r="CP393" t="s">
        <v>6276</v>
      </c>
      <c r="CQ393" t="s">
        <v>6277</v>
      </c>
      <c r="CR393" t="s">
        <v>136</v>
      </c>
      <c r="CS393" t="str">
        <f>HYPERLINK("https://nconnect.nicmar.ac.in/pdf/297_resume_1771843975.pdf/Y2FyZWVy","View Resume")</f>
        <v>0</v>
      </c>
    </row>
    <row r="394" spans="1:97">
      <c r="A394" t="s">
        <v>1183</v>
      </c>
      <c r="B394" t="s">
        <v>318</v>
      </c>
      <c r="C394" t="s">
        <v>99</v>
      </c>
      <c r="D394" t="s">
        <v>1184</v>
      </c>
      <c r="E394" t="s">
        <v>6259</v>
      </c>
      <c r="F394" t="s">
        <v>6260</v>
      </c>
      <c r="G394">
        <v>7588858555</v>
      </c>
      <c r="H394" t="s">
        <v>103</v>
      </c>
      <c r="I394" t="s">
        <v>6261</v>
      </c>
      <c r="J394" t="s">
        <v>105</v>
      </c>
      <c r="K394" t="s">
        <v>2797</v>
      </c>
      <c r="L394" t="s">
        <v>6262</v>
      </c>
      <c r="M394" t="s">
        <v>6263</v>
      </c>
      <c r="N394" t="s">
        <v>109</v>
      </c>
      <c r="AI394" t="s">
        <v>6264</v>
      </c>
      <c r="AJ394" t="s">
        <v>6265</v>
      </c>
      <c r="AK394" t="s">
        <v>1212</v>
      </c>
      <c r="AL394">
        <v>68.93</v>
      </c>
      <c r="AN394">
        <v>2002</v>
      </c>
      <c r="AO394" t="s">
        <v>113</v>
      </c>
      <c r="AP394" t="s">
        <v>6266</v>
      </c>
      <c r="AQ394" t="s">
        <v>6267</v>
      </c>
      <c r="AR394" t="s">
        <v>6268</v>
      </c>
      <c r="AS394">
        <v>64.5</v>
      </c>
      <c r="AU394">
        <v>2004</v>
      </c>
      <c r="AV394" t="s">
        <v>109</v>
      </c>
      <c r="BC394" t="s">
        <v>113</v>
      </c>
      <c r="BD394" t="s">
        <v>356</v>
      </c>
      <c r="BE394" t="s">
        <v>6269</v>
      </c>
      <c r="BF394" t="s">
        <v>1117</v>
      </c>
      <c r="BG394">
        <v>63.68</v>
      </c>
      <c r="BI394">
        <v>2009</v>
      </c>
      <c r="BJ394">
        <v>8</v>
      </c>
      <c r="BL394">
        <v>2</v>
      </c>
      <c r="BN394" t="s">
        <v>113</v>
      </c>
      <c r="BO394" t="s">
        <v>6270</v>
      </c>
      <c r="BP394" t="s">
        <v>6271</v>
      </c>
      <c r="BQ394" t="s">
        <v>6272</v>
      </c>
      <c r="BR394">
        <v>69</v>
      </c>
      <c r="BS394">
        <v>6.88</v>
      </c>
      <c r="BT394">
        <v>2012</v>
      </c>
      <c r="BU394">
        <v>31</v>
      </c>
      <c r="BV394" t="s">
        <v>6273</v>
      </c>
      <c r="BW394">
        <v>35</v>
      </c>
      <c r="BY394" t="s">
        <v>109</v>
      </c>
      <c r="CF394" t="s">
        <v>113</v>
      </c>
      <c r="CG394" t="s">
        <v>5538</v>
      </c>
      <c r="CH394" t="s">
        <v>6274</v>
      </c>
      <c r="CI394" t="s">
        <v>132</v>
      </c>
      <c r="CJ394">
        <v>2022</v>
      </c>
      <c r="CL394" t="s">
        <v>109</v>
      </c>
      <c r="CN394" t="s">
        <v>113</v>
      </c>
      <c r="CO394" t="s">
        <v>6275</v>
      </c>
      <c r="CP394" t="s">
        <v>6276</v>
      </c>
      <c r="CQ394" t="s">
        <v>6277</v>
      </c>
      <c r="CR394" t="s">
        <v>136</v>
      </c>
      <c r="CS394" t="str">
        <f>HYPERLINK("https://nconnect.nicmar.ac.in/pdf/297_resume_1771843975.pdf/Y2FyZWVy","View Resume")</f>
        <v>0</v>
      </c>
    </row>
    <row r="395" spans="1:97">
      <c r="A395" t="s">
        <v>1624</v>
      </c>
      <c r="B395" t="s">
        <v>318</v>
      </c>
      <c r="C395" t="s">
        <v>99</v>
      </c>
      <c r="D395" t="s">
        <v>1625</v>
      </c>
      <c r="E395" t="s">
        <v>6259</v>
      </c>
      <c r="F395" t="s">
        <v>6260</v>
      </c>
      <c r="G395">
        <v>7588858555</v>
      </c>
      <c r="H395" t="s">
        <v>103</v>
      </c>
      <c r="I395" t="s">
        <v>6261</v>
      </c>
      <c r="J395" t="s">
        <v>105</v>
      </c>
      <c r="K395" t="s">
        <v>2797</v>
      </c>
      <c r="L395" t="s">
        <v>6262</v>
      </c>
      <c r="M395" t="s">
        <v>6263</v>
      </c>
      <c r="N395" t="s">
        <v>109</v>
      </c>
      <c r="AI395" t="s">
        <v>6264</v>
      </c>
      <c r="AJ395" t="s">
        <v>6265</v>
      </c>
      <c r="AK395" t="s">
        <v>1212</v>
      </c>
      <c r="AL395">
        <v>68.93</v>
      </c>
      <c r="AN395">
        <v>2002</v>
      </c>
      <c r="AO395" t="s">
        <v>113</v>
      </c>
      <c r="AP395" t="s">
        <v>6266</v>
      </c>
      <c r="AQ395" t="s">
        <v>6267</v>
      </c>
      <c r="AR395" t="s">
        <v>6268</v>
      </c>
      <c r="AS395">
        <v>64.5</v>
      </c>
      <c r="AU395">
        <v>2004</v>
      </c>
      <c r="AV395" t="s">
        <v>109</v>
      </c>
      <c r="BC395" t="s">
        <v>113</v>
      </c>
      <c r="BD395" t="s">
        <v>356</v>
      </c>
      <c r="BE395" t="s">
        <v>6269</v>
      </c>
      <c r="BF395" t="s">
        <v>1117</v>
      </c>
      <c r="BG395">
        <v>63.68</v>
      </c>
      <c r="BI395">
        <v>2009</v>
      </c>
      <c r="BJ395">
        <v>8</v>
      </c>
      <c r="BL395">
        <v>2</v>
      </c>
      <c r="BN395" t="s">
        <v>113</v>
      </c>
      <c r="BO395" t="s">
        <v>6270</v>
      </c>
      <c r="BP395" t="s">
        <v>6271</v>
      </c>
      <c r="BQ395" t="s">
        <v>6272</v>
      </c>
      <c r="BR395">
        <v>69</v>
      </c>
      <c r="BS395">
        <v>6.88</v>
      </c>
      <c r="BT395">
        <v>2012</v>
      </c>
      <c r="BU395">
        <v>31</v>
      </c>
      <c r="BV395" t="s">
        <v>6273</v>
      </c>
      <c r="BW395">
        <v>35</v>
      </c>
      <c r="BY395" t="s">
        <v>109</v>
      </c>
      <c r="CF395" t="s">
        <v>113</v>
      </c>
      <c r="CG395" t="s">
        <v>5538</v>
      </c>
      <c r="CH395" t="s">
        <v>6274</v>
      </c>
      <c r="CI395" t="s">
        <v>132</v>
      </c>
      <c r="CJ395">
        <v>2022</v>
      </c>
      <c r="CL395" t="s">
        <v>109</v>
      </c>
      <c r="CN395" t="s">
        <v>113</v>
      </c>
      <c r="CO395" t="s">
        <v>6275</v>
      </c>
      <c r="CP395" t="s">
        <v>6276</v>
      </c>
      <c r="CQ395" t="s">
        <v>6278</v>
      </c>
      <c r="CR395" t="s">
        <v>136</v>
      </c>
      <c r="CS395" t="str">
        <f>HYPERLINK("https://nconnect.nicmar.ac.in/pdf/297_resume_1771843975.pdf/Y2FyZWVy","View Resume")</f>
        <v>0</v>
      </c>
    </row>
    <row r="396" spans="1:97">
      <c r="A396" t="s">
        <v>2595</v>
      </c>
      <c r="B396" t="s">
        <v>2596</v>
      </c>
      <c r="C396" t="s">
        <v>703</v>
      </c>
      <c r="D396" t="s">
        <v>2597</v>
      </c>
      <c r="E396" t="s">
        <v>6259</v>
      </c>
      <c r="F396" t="s">
        <v>6260</v>
      </c>
      <c r="G396">
        <v>7588858555</v>
      </c>
      <c r="H396" t="s">
        <v>103</v>
      </c>
      <c r="I396" t="s">
        <v>6261</v>
      </c>
      <c r="J396" t="s">
        <v>105</v>
      </c>
      <c r="K396" t="s">
        <v>2797</v>
      </c>
      <c r="L396" t="s">
        <v>6262</v>
      </c>
      <c r="M396" t="s">
        <v>6263</v>
      </c>
      <c r="N396" t="s">
        <v>109</v>
      </c>
      <c r="AI396" t="s">
        <v>6264</v>
      </c>
      <c r="AJ396" t="s">
        <v>6265</v>
      </c>
      <c r="AK396" t="s">
        <v>1212</v>
      </c>
      <c r="AL396">
        <v>68.93</v>
      </c>
      <c r="AN396">
        <v>2002</v>
      </c>
      <c r="AO396" t="s">
        <v>113</v>
      </c>
      <c r="AP396" t="s">
        <v>6266</v>
      </c>
      <c r="AQ396" t="s">
        <v>6267</v>
      </c>
      <c r="AR396" t="s">
        <v>6268</v>
      </c>
      <c r="AS396">
        <v>64.5</v>
      </c>
      <c r="AU396">
        <v>2004</v>
      </c>
      <c r="AV396" t="s">
        <v>109</v>
      </c>
      <c r="BC396" t="s">
        <v>113</v>
      </c>
      <c r="BD396" t="s">
        <v>356</v>
      </c>
      <c r="BE396" t="s">
        <v>6269</v>
      </c>
      <c r="BF396" t="s">
        <v>1117</v>
      </c>
      <c r="BG396">
        <v>63.68</v>
      </c>
      <c r="BI396">
        <v>2009</v>
      </c>
      <c r="BJ396">
        <v>8</v>
      </c>
      <c r="BL396">
        <v>2</v>
      </c>
      <c r="BN396" t="s">
        <v>113</v>
      </c>
      <c r="BO396" t="s">
        <v>6270</v>
      </c>
      <c r="BP396" t="s">
        <v>6271</v>
      </c>
      <c r="BQ396" t="s">
        <v>6272</v>
      </c>
      <c r="BR396">
        <v>69</v>
      </c>
      <c r="BS396">
        <v>6.88</v>
      </c>
      <c r="BT396">
        <v>2012</v>
      </c>
      <c r="BU396">
        <v>31</v>
      </c>
      <c r="BV396" t="s">
        <v>6273</v>
      </c>
      <c r="BW396">
        <v>35</v>
      </c>
      <c r="BY396" t="s">
        <v>109</v>
      </c>
      <c r="CF396" t="s">
        <v>113</v>
      </c>
      <c r="CG396" t="s">
        <v>5538</v>
      </c>
      <c r="CH396" t="s">
        <v>6274</v>
      </c>
      <c r="CI396" t="s">
        <v>132</v>
      </c>
      <c r="CJ396">
        <v>2022</v>
      </c>
      <c r="CL396" t="s">
        <v>109</v>
      </c>
      <c r="CN396" t="s">
        <v>113</v>
      </c>
      <c r="CO396" t="s">
        <v>6275</v>
      </c>
      <c r="CP396" t="s">
        <v>6276</v>
      </c>
      <c r="CQ396" t="s">
        <v>6279</v>
      </c>
      <c r="CR396" t="s">
        <v>136</v>
      </c>
      <c r="CS396" t="str">
        <f>HYPERLINK("https://nconnect.nicmar.ac.in/pdf/297_resume_1771843975.pdf/Y2FyZWVy","View Resume")</f>
        <v>0</v>
      </c>
    </row>
    <row r="397" spans="1:97">
      <c r="A397" t="s">
        <v>372</v>
      </c>
      <c r="B397" t="s">
        <v>98</v>
      </c>
      <c r="C397" t="s">
        <v>165</v>
      </c>
      <c r="D397" t="s">
        <v>224</v>
      </c>
      <c r="E397" t="s">
        <v>6280</v>
      </c>
      <c r="F397" t="s">
        <v>6281</v>
      </c>
      <c r="G397">
        <v>9175854174</v>
      </c>
      <c r="H397" t="s">
        <v>103</v>
      </c>
      <c r="I397" t="s">
        <v>6282</v>
      </c>
      <c r="J397" t="s">
        <v>105</v>
      </c>
      <c r="K397" t="s">
        <v>526</v>
      </c>
      <c r="L397" t="s">
        <v>6283</v>
      </c>
      <c r="M397" t="s">
        <v>6284</v>
      </c>
      <c r="N397" t="s">
        <v>109</v>
      </c>
      <c r="AI397" t="s">
        <v>6285</v>
      </c>
      <c r="AJ397" t="s">
        <v>6286</v>
      </c>
      <c r="AK397" t="s">
        <v>4217</v>
      </c>
      <c r="AL397">
        <v>63</v>
      </c>
      <c r="AN397">
        <v>1989</v>
      </c>
      <c r="AO397" t="s">
        <v>113</v>
      </c>
      <c r="AP397" t="s">
        <v>6287</v>
      </c>
      <c r="AQ397" t="s">
        <v>6286</v>
      </c>
      <c r="AR397" t="s">
        <v>6288</v>
      </c>
      <c r="AS397">
        <v>62</v>
      </c>
      <c r="AU397">
        <v>1991</v>
      </c>
      <c r="AV397" t="s">
        <v>113</v>
      </c>
      <c r="AW397" t="s">
        <v>6289</v>
      </c>
      <c r="AX397" t="s">
        <v>6290</v>
      </c>
      <c r="AY397" t="s">
        <v>6291</v>
      </c>
      <c r="AZ397">
        <v>67</v>
      </c>
      <c r="BB397">
        <v>1999</v>
      </c>
      <c r="BC397" t="s">
        <v>113</v>
      </c>
      <c r="BD397" t="s">
        <v>6292</v>
      </c>
      <c r="BE397" t="s">
        <v>6287</v>
      </c>
      <c r="BF397" t="s">
        <v>6293</v>
      </c>
      <c r="BG397">
        <v>52</v>
      </c>
      <c r="BI397">
        <v>1994</v>
      </c>
      <c r="BJ397">
        <v>19</v>
      </c>
      <c r="BK397" t="s">
        <v>6294</v>
      </c>
      <c r="BL397">
        <v>17</v>
      </c>
      <c r="BN397" t="s">
        <v>113</v>
      </c>
      <c r="BO397" t="s">
        <v>6292</v>
      </c>
      <c r="BP397" t="s">
        <v>6295</v>
      </c>
      <c r="BQ397" t="s">
        <v>1071</v>
      </c>
      <c r="BR397">
        <v>64</v>
      </c>
      <c r="BT397">
        <v>1996</v>
      </c>
      <c r="BU397">
        <v>31</v>
      </c>
      <c r="BV397" t="s">
        <v>1986</v>
      </c>
      <c r="BW397">
        <v>17</v>
      </c>
      <c r="BY397" t="s">
        <v>113</v>
      </c>
      <c r="BZ397" t="s">
        <v>124</v>
      </c>
      <c r="CA397" t="s">
        <v>6296</v>
      </c>
      <c r="CB397" t="s">
        <v>6297</v>
      </c>
      <c r="CC397">
        <v>63</v>
      </c>
      <c r="CE397">
        <v>2008</v>
      </c>
      <c r="CF397" t="s">
        <v>113</v>
      </c>
      <c r="CG397" t="s">
        <v>6298</v>
      </c>
      <c r="CH397" t="s">
        <v>6292</v>
      </c>
      <c r="CI397" t="s">
        <v>132</v>
      </c>
      <c r="CJ397">
        <v>2017</v>
      </c>
      <c r="CL397" t="s">
        <v>113</v>
      </c>
      <c r="CM397" t="s">
        <v>6299</v>
      </c>
      <c r="CN397" t="s">
        <v>113</v>
      </c>
      <c r="CO397" t="s">
        <v>6300</v>
      </c>
      <c r="CP397" t="s">
        <v>6301</v>
      </c>
      <c r="CQ397" t="s">
        <v>6302</v>
      </c>
      <c r="CR397" t="s">
        <v>136</v>
      </c>
      <c r="CS397" t="str">
        <f>HYPERLINK("https://nconnect.nicmar.ac.in/pdf/562_resume_1771847571.pdf/Y2FyZWVy","View Resume")</f>
        <v>0</v>
      </c>
    </row>
    <row r="398" spans="1:97">
      <c r="A398" t="s">
        <v>137</v>
      </c>
      <c r="B398" t="s">
        <v>138</v>
      </c>
      <c r="C398" t="s">
        <v>139</v>
      </c>
      <c r="D398" t="s">
        <v>140</v>
      </c>
      <c r="E398" t="s">
        <v>6303</v>
      </c>
      <c r="F398" t="s">
        <v>6304</v>
      </c>
      <c r="G398">
        <v>9099311592</v>
      </c>
      <c r="H398" t="s">
        <v>103</v>
      </c>
      <c r="I398" t="s">
        <v>6305</v>
      </c>
      <c r="J398" t="s">
        <v>105</v>
      </c>
      <c r="K398" t="s">
        <v>6306</v>
      </c>
      <c r="L398" t="s">
        <v>6307</v>
      </c>
      <c r="M398" t="s">
        <v>6308</v>
      </c>
      <c r="N398" t="s">
        <v>109</v>
      </c>
      <c r="AI398" t="s">
        <v>6309</v>
      </c>
      <c r="AJ398" t="s">
        <v>6310</v>
      </c>
      <c r="AK398" t="s">
        <v>6311</v>
      </c>
      <c r="AL398">
        <v>78.92</v>
      </c>
      <c r="AN398">
        <v>2007</v>
      </c>
      <c r="AO398" t="s">
        <v>113</v>
      </c>
      <c r="AP398" t="s">
        <v>6309</v>
      </c>
      <c r="AQ398" t="s">
        <v>6312</v>
      </c>
      <c r="AR398" t="s">
        <v>6313</v>
      </c>
      <c r="AS398">
        <v>46</v>
      </c>
      <c r="AU398">
        <v>2009</v>
      </c>
      <c r="AV398" t="s">
        <v>109</v>
      </c>
      <c r="BC398" t="s">
        <v>113</v>
      </c>
      <c r="BD398" t="s">
        <v>6314</v>
      </c>
      <c r="BE398" t="s">
        <v>6315</v>
      </c>
      <c r="BF398" t="s">
        <v>6316</v>
      </c>
      <c r="BG398">
        <v>63.1</v>
      </c>
      <c r="BH398">
        <v>6.81</v>
      </c>
      <c r="BI398">
        <v>2013</v>
      </c>
      <c r="BJ398">
        <v>2</v>
      </c>
      <c r="BL398">
        <v>9</v>
      </c>
      <c r="BN398" t="s">
        <v>113</v>
      </c>
      <c r="BO398" t="s">
        <v>6317</v>
      </c>
      <c r="BP398" t="s">
        <v>6318</v>
      </c>
      <c r="BQ398" t="s">
        <v>6319</v>
      </c>
      <c r="BR398">
        <v>80</v>
      </c>
      <c r="BS398">
        <v>8</v>
      </c>
      <c r="BT398">
        <v>2016</v>
      </c>
      <c r="BU398">
        <v>14</v>
      </c>
      <c r="BW398">
        <v>47</v>
      </c>
      <c r="BY398" t="s">
        <v>109</v>
      </c>
      <c r="BZ398" t="s">
        <v>6320</v>
      </c>
      <c r="CA398" t="s">
        <v>6320</v>
      </c>
      <c r="CB398" t="s">
        <v>156</v>
      </c>
      <c r="CC398" t="s">
        <v>5818</v>
      </c>
      <c r="CD398" t="s">
        <v>5818</v>
      </c>
      <c r="CE398">
        <v>2024</v>
      </c>
      <c r="CF398" t="s">
        <v>113</v>
      </c>
      <c r="CG398" t="s">
        <v>6321</v>
      </c>
      <c r="CH398" t="s">
        <v>6320</v>
      </c>
      <c r="CI398" t="s">
        <v>132</v>
      </c>
      <c r="CJ398">
        <v>2024</v>
      </c>
      <c r="CL398" t="s">
        <v>113</v>
      </c>
      <c r="CM398" t="s">
        <v>6322</v>
      </c>
      <c r="CN398" t="s">
        <v>113</v>
      </c>
      <c r="CO398" t="s">
        <v>6323</v>
      </c>
      <c r="CP398" t="s">
        <v>6324</v>
      </c>
      <c r="CQ398" t="s">
        <v>6325</v>
      </c>
      <c r="CR398" t="s">
        <v>136</v>
      </c>
      <c r="CS398" t="str">
        <f>HYPERLINK("https://nconnect.nicmar.ac.in/pdf/566_resume_1771848968.pdf/Y2FyZWVy","View Resume")</f>
        <v>0</v>
      </c>
    </row>
    <row r="399" spans="1:97">
      <c r="A399" t="s">
        <v>223</v>
      </c>
      <c r="B399" t="s">
        <v>138</v>
      </c>
      <c r="C399" t="s">
        <v>165</v>
      </c>
      <c r="D399" t="s">
        <v>224</v>
      </c>
      <c r="E399" t="s">
        <v>6326</v>
      </c>
      <c r="F399" t="s">
        <v>6327</v>
      </c>
      <c r="G399">
        <v>8092183485</v>
      </c>
      <c r="H399" t="s">
        <v>103</v>
      </c>
      <c r="I399" t="s">
        <v>6328</v>
      </c>
      <c r="J399" t="s">
        <v>144</v>
      </c>
      <c r="K399" t="s">
        <v>6329</v>
      </c>
      <c r="L399" t="s">
        <v>6330</v>
      </c>
      <c r="M399" t="s">
        <v>6331</v>
      </c>
      <c r="N399" t="s">
        <v>109</v>
      </c>
      <c r="AI399" t="s">
        <v>6332</v>
      </c>
      <c r="AJ399" t="s">
        <v>6333</v>
      </c>
      <c r="AK399" t="s">
        <v>6334</v>
      </c>
      <c r="AL399">
        <v>77.2</v>
      </c>
      <c r="AN399">
        <v>2011</v>
      </c>
      <c r="AO399" t="s">
        <v>113</v>
      </c>
      <c r="AP399" t="s">
        <v>6332</v>
      </c>
      <c r="AQ399" t="s">
        <v>6333</v>
      </c>
      <c r="AR399" t="s">
        <v>6335</v>
      </c>
      <c r="AS399">
        <v>72.6</v>
      </c>
      <c r="AU399">
        <v>2013</v>
      </c>
      <c r="AV399" t="s">
        <v>109</v>
      </c>
      <c r="BC399" t="s">
        <v>113</v>
      </c>
      <c r="BD399" t="s">
        <v>6336</v>
      </c>
      <c r="BE399" t="s">
        <v>6337</v>
      </c>
      <c r="BF399" t="s">
        <v>841</v>
      </c>
      <c r="BG399">
        <v>83.6</v>
      </c>
      <c r="BH399">
        <v>8.86</v>
      </c>
      <c r="BI399">
        <v>2018</v>
      </c>
      <c r="BJ399">
        <v>19</v>
      </c>
      <c r="BK399" t="s">
        <v>2503</v>
      </c>
      <c r="BL399">
        <v>52</v>
      </c>
      <c r="BN399" t="s">
        <v>113</v>
      </c>
      <c r="BO399" t="s">
        <v>6336</v>
      </c>
      <c r="BP399" t="s">
        <v>6337</v>
      </c>
      <c r="BQ399" t="s">
        <v>1686</v>
      </c>
      <c r="BR399">
        <v>84.9</v>
      </c>
      <c r="BS399">
        <v>8.99</v>
      </c>
      <c r="BT399">
        <v>2020</v>
      </c>
      <c r="BU399">
        <v>31</v>
      </c>
      <c r="BV399" t="s">
        <v>6338</v>
      </c>
      <c r="BW399">
        <v>53</v>
      </c>
      <c r="BX399" t="s">
        <v>1686</v>
      </c>
      <c r="BY399" t="s">
        <v>109</v>
      </c>
      <c r="CF399" t="s">
        <v>113</v>
      </c>
      <c r="CG399" t="s">
        <v>6339</v>
      </c>
      <c r="CH399" t="s">
        <v>6340</v>
      </c>
      <c r="CI399" t="s">
        <v>240</v>
      </c>
      <c r="CK399" t="s">
        <v>113</v>
      </c>
      <c r="CL399" t="s">
        <v>113</v>
      </c>
      <c r="CM399" t="s">
        <v>6341</v>
      </c>
      <c r="CN399" t="s">
        <v>113</v>
      </c>
      <c r="CO399" t="s">
        <v>6342</v>
      </c>
      <c r="CP399" t="s">
        <v>6343</v>
      </c>
      <c r="CQ399" t="s">
        <v>6344</v>
      </c>
      <c r="CR399" t="str">
        <f>HYPERLINK("https://nconnect.nicmar.ac.in/public/storage/profile/699c3eae2e909.png","Download")</f>
        <v>0</v>
      </c>
      <c r="CS399" t="str">
        <f>HYPERLINK("https://nconnect.nicmar.ac.in/pdf/116_resume_1771849824.pdf/Y2FyZWVy","View Resume")</f>
        <v>0</v>
      </c>
    </row>
    <row r="400" spans="1:97">
      <c r="A400" t="s">
        <v>802</v>
      </c>
      <c r="B400" t="s">
        <v>138</v>
      </c>
      <c r="C400" t="s">
        <v>165</v>
      </c>
      <c r="D400" t="s">
        <v>803</v>
      </c>
      <c r="E400" t="s">
        <v>6326</v>
      </c>
      <c r="F400" t="s">
        <v>6327</v>
      </c>
      <c r="G400">
        <v>8092183485</v>
      </c>
      <c r="H400" t="s">
        <v>103</v>
      </c>
      <c r="I400" t="s">
        <v>6328</v>
      </c>
      <c r="J400" t="s">
        <v>144</v>
      </c>
      <c r="K400" t="s">
        <v>6329</v>
      </c>
      <c r="L400" t="s">
        <v>6330</v>
      </c>
      <c r="M400" t="s">
        <v>6331</v>
      </c>
      <c r="N400" t="s">
        <v>109</v>
      </c>
      <c r="AI400" t="s">
        <v>6332</v>
      </c>
      <c r="AJ400" t="s">
        <v>6333</v>
      </c>
      <c r="AK400" t="s">
        <v>6334</v>
      </c>
      <c r="AL400">
        <v>77.2</v>
      </c>
      <c r="AN400">
        <v>2011</v>
      </c>
      <c r="AO400" t="s">
        <v>113</v>
      </c>
      <c r="AP400" t="s">
        <v>6332</v>
      </c>
      <c r="AQ400" t="s">
        <v>6333</v>
      </c>
      <c r="AR400" t="s">
        <v>6335</v>
      </c>
      <c r="AS400">
        <v>72.6</v>
      </c>
      <c r="AU400">
        <v>2013</v>
      </c>
      <c r="AV400" t="s">
        <v>109</v>
      </c>
      <c r="BC400" t="s">
        <v>113</v>
      </c>
      <c r="BD400" t="s">
        <v>6336</v>
      </c>
      <c r="BE400" t="s">
        <v>6337</v>
      </c>
      <c r="BF400" t="s">
        <v>841</v>
      </c>
      <c r="BG400">
        <v>83.6</v>
      </c>
      <c r="BH400">
        <v>8.86</v>
      </c>
      <c r="BI400">
        <v>2018</v>
      </c>
      <c r="BJ400">
        <v>19</v>
      </c>
      <c r="BK400" t="s">
        <v>2503</v>
      </c>
      <c r="BL400">
        <v>52</v>
      </c>
      <c r="BN400" t="s">
        <v>113</v>
      </c>
      <c r="BO400" t="s">
        <v>6336</v>
      </c>
      <c r="BP400" t="s">
        <v>6337</v>
      </c>
      <c r="BQ400" t="s">
        <v>1686</v>
      </c>
      <c r="BR400">
        <v>84.9</v>
      </c>
      <c r="BS400">
        <v>8.99</v>
      </c>
      <c r="BT400">
        <v>2020</v>
      </c>
      <c r="BU400">
        <v>31</v>
      </c>
      <c r="BV400" t="s">
        <v>6338</v>
      </c>
      <c r="BW400">
        <v>53</v>
      </c>
      <c r="BX400" t="s">
        <v>1686</v>
      </c>
      <c r="BY400" t="s">
        <v>109</v>
      </c>
      <c r="CF400" t="s">
        <v>113</v>
      </c>
      <c r="CG400" t="s">
        <v>6339</v>
      </c>
      <c r="CH400" t="s">
        <v>6340</v>
      </c>
      <c r="CI400" t="s">
        <v>240</v>
      </c>
      <c r="CK400" t="s">
        <v>113</v>
      </c>
      <c r="CL400" t="s">
        <v>113</v>
      </c>
      <c r="CM400" t="s">
        <v>6341</v>
      </c>
      <c r="CN400" t="s">
        <v>113</v>
      </c>
      <c r="CO400" t="s">
        <v>6342</v>
      </c>
      <c r="CP400" t="s">
        <v>6343</v>
      </c>
      <c r="CQ400" t="s">
        <v>6345</v>
      </c>
      <c r="CR400" t="str">
        <f>HYPERLINK("https://nconnect.nicmar.ac.in/public/storage/profile/699c3eae2e909.png","Download")</f>
        <v>0</v>
      </c>
      <c r="CS400" t="str">
        <f>HYPERLINK("https://nconnect.nicmar.ac.in/pdf/116_resume_1771849824.pdf/Y2FyZWVy","View Resume")</f>
        <v>0</v>
      </c>
    </row>
    <row r="401" spans="1:97">
      <c r="A401" t="s">
        <v>192</v>
      </c>
      <c r="B401" t="s">
        <v>138</v>
      </c>
      <c r="C401" t="s">
        <v>165</v>
      </c>
      <c r="D401" t="s">
        <v>193</v>
      </c>
      <c r="E401" t="s">
        <v>6326</v>
      </c>
      <c r="F401" t="s">
        <v>6327</v>
      </c>
      <c r="G401">
        <v>8092183485</v>
      </c>
      <c r="H401" t="s">
        <v>103</v>
      </c>
      <c r="I401" t="s">
        <v>6328</v>
      </c>
      <c r="J401" t="s">
        <v>144</v>
      </c>
      <c r="K401" t="s">
        <v>6329</v>
      </c>
      <c r="L401" t="s">
        <v>6330</v>
      </c>
      <c r="M401" t="s">
        <v>6331</v>
      </c>
      <c r="N401" t="s">
        <v>109</v>
      </c>
      <c r="AI401" t="s">
        <v>6332</v>
      </c>
      <c r="AJ401" t="s">
        <v>6333</v>
      </c>
      <c r="AK401" t="s">
        <v>6334</v>
      </c>
      <c r="AL401">
        <v>77.2</v>
      </c>
      <c r="AN401">
        <v>2011</v>
      </c>
      <c r="AO401" t="s">
        <v>113</v>
      </c>
      <c r="AP401" t="s">
        <v>6332</v>
      </c>
      <c r="AQ401" t="s">
        <v>6333</v>
      </c>
      <c r="AR401" t="s">
        <v>6335</v>
      </c>
      <c r="AS401">
        <v>72.6</v>
      </c>
      <c r="AU401">
        <v>2013</v>
      </c>
      <c r="AV401" t="s">
        <v>109</v>
      </c>
      <c r="BC401" t="s">
        <v>113</v>
      </c>
      <c r="BD401" t="s">
        <v>6336</v>
      </c>
      <c r="BE401" t="s">
        <v>6337</v>
      </c>
      <c r="BF401" t="s">
        <v>841</v>
      </c>
      <c r="BG401">
        <v>83.6</v>
      </c>
      <c r="BH401">
        <v>8.86</v>
      </c>
      <c r="BI401">
        <v>2018</v>
      </c>
      <c r="BJ401">
        <v>19</v>
      </c>
      <c r="BK401" t="s">
        <v>2503</v>
      </c>
      <c r="BL401">
        <v>52</v>
      </c>
      <c r="BN401" t="s">
        <v>113</v>
      </c>
      <c r="BO401" t="s">
        <v>6336</v>
      </c>
      <c r="BP401" t="s">
        <v>6337</v>
      </c>
      <c r="BQ401" t="s">
        <v>1686</v>
      </c>
      <c r="BR401">
        <v>84.9</v>
      </c>
      <c r="BS401">
        <v>8.99</v>
      </c>
      <c r="BT401">
        <v>2020</v>
      </c>
      <c r="BU401">
        <v>31</v>
      </c>
      <c r="BV401" t="s">
        <v>6338</v>
      </c>
      <c r="BW401">
        <v>53</v>
      </c>
      <c r="BX401" t="s">
        <v>1686</v>
      </c>
      <c r="BY401" t="s">
        <v>109</v>
      </c>
      <c r="CF401" t="s">
        <v>113</v>
      </c>
      <c r="CG401" t="s">
        <v>6339</v>
      </c>
      <c r="CH401" t="s">
        <v>6340</v>
      </c>
      <c r="CI401" t="s">
        <v>240</v>
      </c>
      <c r="CK401" t="s">
        <v>113</v>
      </c>
      <c r="CL401" t="s">
        <v>113</v>
      </c>
      <c r="CM401" t="s">
        <v>6341</v>
      </c>
      <c r="CN401" t="s">
        <v>113</v>
      </c>
      <c r="CO401" t="s">
        <v>6342</v>
      </c>
      <c r="CP401" t="s">
        <v>6343</v>
      </c>
      <c r="CQ401" t="s">
        <v>6346</v>
      </c>
      <c r="CR401" t="str">
        <f>HYPERLINK("https://nconnect.nicmar.ac.in/public/storage/profile/699c3eae2e909.png","Download")</f>
        <v>0</v>
      </c>
      <c r="CS401" t="str">
        <f>HYPERLINK("https://nconnect.nicmar.ac.in/pdf/116_resume_1771849824.pdf/Y2FyZWVy","View Resume")</f>
        <v>0</v>
      </c>
    </row>
    <row r="402" spans="1:97">
      <c r="A402" t="s">
        <v>294</v>
      </c>
      <c r="B402" t="s">
        <v>138</v>
      </c>
      <c r="C402" t="s">
        <v>295</v>
      </c>
      <c r="D402" t="s">
        <v>296</v>
      </c>
      <c r="E402" t="s">
        <v>6347</v>
      </c>
      <c r="F402" t="s">
        <v>6348</v>
      </c>
      <c r="G402">
        <v>9806677314</v>
      </c>
      <c r="H402" t="s">
        <v>103</v>
      </c>
      <c r="I402" t="s">
        <v>6349</v>
      </c>
      <c r="J402" t="s">
        <v>144</v>
      </c>
      <c r="K402" t="s">
        <v>145</v>
      </c>
      <c r="L402" t="s">
        <v>6350</v>
      </c>
      <c r="M402" t="s">
        <v>6351</v>
      </c>
      <c r="N402" t="s">
        <v>109</v>
      </c>
      <c r="AI402" t="s">
        <v>6352</v>
      </c>
      <c r="AJ402" t="s">
        <v>4089</v>
      </c>
      <c r="AK402" t="s">
        <v>6353</v>
      </c>
      <c r="AL402">
        <v>66.8</v>
      </c>
      <c r="AN402">
        <v>2008</v>
      </c>
      <c r="AO402" t="s">
        <v>113</v>
      </c>
      <c r="AP402" t="s">
        <v>6354</v>
      </c>
      <c r="AQ402" t="s">
        <v>4089</v>
      </c>
      <c r="AR402" t="s">
        <v>6355</v>
      </c>
      <c r="AS402">
        <v>70.4</v>
      </c>
      <c r="AU402">
        <v>2010</v>
      </c>
      <c r="AV402" t="s">
        <v>109</v>
      </c>
      <c r="BC402" t="s">
        <v>113</v>
      </c>
      <c r="BD402" t="s">
        <v>6356</v>
      </c>
      <c r="BE402" t="s">
        <v>6357</v>
      </c>
      <c r="BF402" t="s">
        <v>309</v>
      </c>
      <c r="BG402">
        <v>72.5</v>
      </c>
      <c r="BH402">
        <v>7.25</v>
      </c>
      <c r="BI402">
        <v>2015</v>
      </c>
      <c r="BJ402">
        <v>2</v>
      </c>
      <c r="BL402">
        <v>9</v>
      </c>
      <c r="BN402" t="s">
        <v>113</v>
      </c>
      <c r="BO402" t="s">
        <v>6356</v>
      </c>
      <c r="BP402" t="s">
        <v>6358</v>
      </c>
      <c r="BQ402" t="s">
        <v>296</v>
      </c>
      <c r="BR402">
        <v>82.3</v>
      </c>
      <c r="BS402">
        <v>8.23</v>
      </c>
      <c r="BT402">
        <v>2020</v>
      </c>
      <c r="BU402">
        <v>12</v>
      </c>
      <c r="BW402">
        <v>15</v>
      </c>
      <c r="BY402" t="s">
        <v>109</v>
      </c>
      <c r="CF402" t="s">
        <v>113</v>
      </c>
      <c r="CG402" t="s">
        <v>6359</v>
      </c>
      <c r="CH402" t="s">
        <v>1405</v>
      </c>
      <c r="CI402" t="s">
        <v>240</v>
      </c>
      <c r="CK402" t="s">
        <v>109</v>
      </c>
      <c r="CL402" t="s">
        <v>113</v>
      </c>
      <c r="CN402" t="s">
        <v>113</v>
      </c>
      <c r="CO402" t="s">
        <v>6360</v>
      </c>
      <c r="CP402" t="s">
        <v>6361</v>
      </c>
      <c r="CQ402" t="s">
        <v>6362</v>
      </c>
      <c r="CR402" t="str">
        <f>HYPERLINK("https://nconnect.nicmar.ac.in/public/storage/profile/699bd4c324893.png","Download")</f>
        <v>0</v>
      </c>
      <c r="CS402" t="str">
        <f>HYPERLINK("https://nconnect.nicmar.ac.in/pdf/141_resume_1771829121.pdf/Y2FyZWVy","View Resume")</f>
        <v>0</v>
      </c>
    </row>
    <row r="403" spans="1:97">
      <c r="A403" t="s">
        <v>223</v>
      </c>
      <c r="B403" t="s">
        <v>138</v>
      </c>
      <c r="C403" t="s">
        <v>165</v>
      </c>
      <c r="D403" t="s">
        <v>224</v>
      </c>
      <c r="E403" t="s">
        <v>6363</v>
      </c>
      <c r="F403" t="s">
        <v>6364</v>
      </c>
      <c r="G403">
        <v>7043459734</v>
      </c>
      <c r="H403" t="s">
        <v>169</v>
      </c>
      <c r="I403" t="s">
        <v>6365</v>
      </c>
      <c r="J403" t="s">
        <v>105</v>
      </c>
      <c r="K403" t="s">
        <v>505</v>
      </c>
      <c r="L403" t="s">
        <v>6366</v>
      </c>
      <c r="M403" t="s">
        <v>6367</v>
      </c>
      <c r="N403" t="s">
        <v>109</v>
      </c>
      <c r="AI403" t="s">
        <v>6368</v>
      </c>
      <c r="AJ403" t="s">
        <v>1231</v>
      </c>
      <c r="AK403" t="s">
        <v>6369</v>
      </c>
      <c r="AL403">
        <v>72.8</v>
      </c>
      <c r="AN403">
        <v>2005</v>
      </c>
      <c r="AO403" t="s">
        <v>113</v>
      </c>
      <c r="AP403" t="s">
        <v>6370</v>
      </c>
      <c r="AQ403" t="s">
        <v>1231</v>
      </c>
      <c r="AR403" t="s">
        <v>6371</v>
      </c>
      <c r="AS403">
        <v>71.1</v>
      </c>
      <c r="AU403">
        <v>2007</v>
      </c>
      <c r="AV403" t="s">
        <v>109</v>
      </c>
      <c r="BC403" t="s">
        <v>113</v>
      </c>
      <c r="BD403" t="s">
        <v>6372</v>
      </c>
      <c r="BE403" t="s">
        <v>6373</v>
      </c>
      <c r="BF403" t="s">
        <v>6374</v>
      </c>
      <c r="BG403">
        <v>70</v>
      </c>
      <c r="BI403">
        <v>2010</v>
      </c>
      <c r="BJ403">
        <v>19</v>
      </c>
      <c r="BK403" t="s">
        <v>6375</v>
      </c>
      <c r="BL403">
        <v>53</v>
      </c>
      <c r="BM403" t="s">
        <v>6374</v>
      </c>
      <c r="BN403" t="s">
        <v>113</v>
      </c>
      <c r="BO403" t="s">
        <v>6376</v>
      </c>
      <c r="BP403" t="s">
        <v>6377</v>
      </c>
      <c r="BQ403" t="s">
        <v>6374</v>
      </c>
      <c r="BR403">
        <v>71.1</v>
      </c>
      <c r="BT403">
        <v>2012</v>
      </c>
      <c r="BU403">
        <v>31</v>
      </c>
      <c r="BV403" t="s">
        <v>6378</v>
      </c>
      <c r="BW403">
        <v>53</v>
      </c>
      <c r="BX403" t="s">
        <v>6374</v>
      </c>
      <c r="BY403" t="s">
        <v>109</v>
      </c>
      <c r="CF403" t="s">
        <v>113</v>
      </c>
      <c r="CG403" t="s">
        <v>6379</v>
      </c>
      <c r="CH403" t="s">
        <v>6380</v>
      </c>
      <c r="CI403" t="s">
        <v>240</v>
      </c>
      <c r="CK403" t="s">
        <v>109</v>
      </c>
      <c r="CL403" t="s">
        <v>109</v>
      </c>
      <c r="CN403" t="s">
        <v>113</v>
      </c>
      <c r="CO403" t="s">
        <v>6381</v>
      </c>
      <c r="CP403" t="s">
        <v>6382</v>
      </c>
      <c r="CQ403" t="s">
        <v>6383</v>
      </c>
      <c r="CR403" t="str">
        <f>HYPERLINK("https://nconnect.nicmar.ac.in/public/storage/profile/699c3da93083e.png","Download")</f>
        <v>0</v>
      </c>
      <c r="CS403" t="str">
        <f>HYPERLINK("https://nconnect.nicmar.ac.in/pdf/565_resume_1771850906.pdf/Y2FyZWVy","View Resume")</f>
        <v>0</v>
      </c>
    </row>
    <row r="404" spans="1:97">
      <c r="A404" t="s">
        <v>137</v>
      </c>
      <c r="B404" t="s">
        <v>138</v>
      </c>
      <c r="C404" t="s">
        <v>139</v>
      </c>
      <c r="D404" t="s">
        <v>140</v>
      </c>
      <c r="E404" t="s">
        <v>6384</v>
      </c>
      <c r="F404" t="s">
        <v>6385</v>
      </c>
      <c r="G404">
        <v>9582298835</v>
      </c>
      <c r="H404" t="s">
        <v>103</v>
      </c>
      <c r="I404" t="s">
        <v>6386</v>
      </c>
      <c r="J404" t="s">
        <v>144</v>
      </c>
      <c r="K404" t="s">
        <v>348</v>
      </c>
      <c r="L404" t="s">
        <v>6387</v>
      </c>
      <c r="M404" t="s">
        <v>6388</v>
      </c>
      <c r="N404" t="s">
        <v>109</v>
      </c>
      <c r="AI404" t="s">
        <v>6389</v>
      </c>
      <c r="AJ404" t="s">
        <v>6390</v>
      </c>
      <c r="AK404" t="s">
        <v>6391</v>
      </c>
      <c r="AL404">
        <v>62</v>
      </c>
      <c r="AN404">
        <v>2008</v>
      </c>
      <c r="AO404" t="s">
        <v>113</v>
      </c>
      <c r="AP404" t="s">
        <v>6392</v>
      </c>
      <c r="AQ404" t="s">
        <v>6393</v>
      </c>
      <c r="AR404" t="s">
        <v>277</v>
      </c>
      <c r="AS404">
        <v>66.5</v>
      </c>
      <c r="AU404">
        <v>2010</v>
      </c>
      <c r="AV404" t="s">
        <v>109</v>
      </c>
      <c r="AX404" t="s">
        <v>6394</v>
      </c>
      <c r="AZ404">
        <v>71.8</v>
      </c>
      <c r="BC404" t="s">
        <v>113</v>
      </c>
      <c r="BD404" t="s">
        <v>6395</v>
      </c>
      <c r="BE404" t="s">
        <v>6396</v>
      </c>
      <c r="BF404" t="s">
        <v>309</v>
      </c>
      <c r="BG404">
        <v>71.8</v>
      </c>
      <c r="BI404">
        <v>2014</v>
      </c>
      <c r="BJ404">
        <v>2</v>
      </c>
      <c r="BL404">
        <v>9</v>
      </c>
      <c r="BN404" t="s">
        <v>113</v>
      </c>
      <c r="BO404" t="s">
        <v>1747</v>
      </c>
      <c r="BP404" t="s">
        <v>6397</v>
      </c>
      <c r="BQ404" t="s">
        <v>6398</v>
      </c>
      <c r="BR404">
        <v>70</v>
      </c>
      <c r="BT404">
        <v>2016</v>
      </c>
      <c r="BU404">
        <v>31</v>
      </c>
      <c r="BV404" t="s">
        <v>6399</v>
      </c>
      <c r="BW404">
        <v>7</v>
      </c>
      <c r="BY404" t="s">
        <v>109</v>
      </c>
      <c r="BZ404" t="s">
        <v>6400</v>
      </c>
      <c r="CA404" t="s">
        <v>6401</v>
      </c>
      <c r="CC404">
        <v>70</v>
      </c>
      <c r="CF404" t="s">
        <v>113</v>
      </c>
      <c r="CG404" t="s">
        <v>6402</v>
      </c>
      <c r="CH404" t="s">
        <v>6403</v>
      </c>
      <c r="CI404" t="s">
        <v>132</v>
      </c>
      <c r="CJ404">
        <v>2024</v>
      </c>
      <c r="CL404" t="s">
        <v>109</v>
      </c>
      <c r="CN404" t="s">
        <v>113</v>
      </c>
      <c r="CO404" t="s">
        <v>6404</v>
      </c>
      <c r="CP404" t="s">
        <v>6405</v>
      </c>
      <c r="CQ404" t="s">
        <v>6406</v>
      </c>
      <c r="CR404" t="str">
        <f>HYPERLINK("https://nconnect.nicmar.ac.in/public/storage/profile/6996fea994c13.png","Download")</f>
        <v>0</v>
      </c>
      <c r="CS404" t="str">
        <f>HYPERLINK("https://nconnect.nicmar.ac.in/pdf/235_resume_1771782628.pdf/Y2FyZWVy","View Resume")</f>
        <v>0</v>
      </c>
    </row>
    <row r="405" spans="1:97">
      <c r="A405" t="s">
        <v>1116</v>
      </c>
      <c r="B405" t="s">
        <v>98</v>
      </c>
      <c r="C405" t="s">
        <v>99</v>
      </c>
      <c r="D405" t="s">
        <v>1117</v>
      </c>
      <c r="E405" t="s">
        <v>3888</v>
      </c>
      <c r="F405" t="s">
        <v>3889</v>
      </c>
      <c r="G405">
        <v>9075908710</v>
      </c>
      <c r="H405" t="s">
        <v>169</v>
      </c>
      <c r="I405" t="s">
        <v>3890</v>
      </c>
      <c r="J405" t="s">
        <v>144</v>
      </c>
      <c r="K405" t="s">
        <v>3891</v>
      </c>
      <c r="L405" t="s">
        <v>3892</v>
      </c>
      <c r="M405" t="s">
        <v>3893</v>
      </c>
      <c r="N405" t="s">
        <v>109</v>
      </c>
      <c r="AI405" t="s">
        <v>3894</v>
      </c>
      <c r="AJ405" t="s">
        <v>3895</v>
      </c>
      <c r="AK405" t="s">
        <v>3896</v>
      </c>
      <c r="AL405">
        <v>87.09</v>
      </c>
      <c r="AN405">
        <v>2011</v>
      </c>
      <c r="AO405" t="s">
        <v>113</v>
      </c>
      <c r="AP405" t="s">
        <v>3897</v>
      </c>
      <c r="AQ405" t="s">
        <v>3225</v>
      </c>
      <c r="AR405" t="s">
        <v>3898</v>
      </c>
      <c r="AS405">
        <v>67.17</v>
      </c>
      <c r="AU405">
        <v>2013</v>
      </c>
      <c r="AV405" t="s">
        <v>109</v>
      </c>
      <c r="BC405" t="s">
        <v>113</v>
      </c>
      <c r="BD405" t="s">
        <v>358</v>
      </c>
      <c r="BE405" t="s">
        <v>3899</v>
      </c>
      <c r="BF405" t="s">
        <v>3861</v>
      </c>
      <c r="BG405">
        <v>70.6</v>
      </c>
      <c r="BI405">
        <v>2017</v>
      </c>
      <c r="BJ405">
        <v>2</v>
      </c>
      <c r="BL405">
        <v>9</v>
      </c>
      <c r="BN405" t="s">
        <v>113</v>
      </c>
      <c r="BO405" t="s">
        <v>358</v>
      </c>
      <c r="BP405" t="s">
        <v>3900</v>
      </c>
      <c r="BQ405" t="s">
        <v>3901</v>
      </c>
      <c r="BR405">
        <v>92</v>
      </c>
      <c r="BS405">
        <v>9.21</v>
      </c>
      <c r="BT405">
        <v>2021</v>
      </c>
      <c r="BU405">
        <v>14</v>
      </c>
      <c r="BW405">
        <v>7</v>
      </c>
      <c r="BY405" t="s">
        <v>109</v>
      </c>
      <c r="BZ405" t="s">
        <v>358</v>
      </c>
      <c r="CA405" t="s">
        <v>3902</v>
      </c>
      <c r="CF405" t="s">
        <v>113</v>
      </c>
      <c r="CG405" t="s">
        <v>3903</v>
      </c>
      <c r="CH405" t="s">
        <v>3904</v>
      </c>
      <c r="CI405" t="s">
        <v>240</v>
      </c>
      <c r="CK405" t="s">
        <v>109</v>
      </c>
      <c r="CL405" t="s">
        <v>113</v>
      </c>
      <c r="CM405" t="s">
        <v>3905</v>
      </c>
      <c r="CN405" t="s">
        <v>113</v>
      </c>
      <c r="CO405" t="s">
        <v>3906</v>
      </c>
      <c r="CP405" t="s">
        <v>3907</v>
      </c>
      <c r="CQ405" t="s">
        <v>6407</v>
      </c>
      <c r="CR405" t="s">
        <v>136</v>
      </c>
      <c r="CS405" t="str">
        <f>HYPERLINK("https://nconnect.nicmar.ac.in/pdf/370_resume_1771855626.jpg/Y2FyZWVy","View Resume")</f>
        <v>0</v>
      </c>
    </row>
    <row r="406" spans="1:97">
      <c r="A406" t="s">
        <v>164</v>
      </c>
      <c r="B406" t="s">
        <v>138</v>
      </c>
      <c r="C406" t="s">
        <v>165</v>
      </c>
      <c r="D406" t="s">
        <v>166</v>
      </c>
      <c r="E406" t="s">
        <v>6408</v>
      </c>
      <c r="F406" t="s">
        <v>6409</v>
      </c>
      <c r="G406">
        <v>9867178441</v>
      </c>
      <c r="H406" t="s">
        <v>103</v>
      </c>
      <c r="I406" t="s">
        <v>6410</v>
      </c>
      <c r="J406" t="s">
        <v>144</v>
      </c>
      <c r="K406" t="s">
        <v>526</v>
      </c>
      <c r="L406" t="s">
        <v>6411</v>
      </c>
      <c r="M406" t="s">
        <v>6412</v>
      </c>
      <c r="N406" t="s">
        <v>109</v>
      </c>
      <c r="AI406" t="s">
        <v>6413</v>
      </c>
      <c r="AJ406" t="s">
        <v>6414</v>
      </c>
      <c r="AK406" t="s">
        <v>342</v>
      </c>
      <c r="AL406">
        <v>70</v>
      </c>
      <c r="AN406">
        <v>2008</v>
      </c>
      <c r="AO406" t="s">
        <v>113</v>
      </c>
      <c r="AP406" t="s">
        <v>6415</v>
      </c>
      <c r="AQ406" t="s">
        <v>6416</v>
      </c>
      <c r="AR406" t="s">
        <v>277</v>
      </c>
      <c r="AS406">
        <v>52</v>
      </c>
      <c r="AU406">
        <v>2012</v>
      </c>
      <c r="AV406" t="s">
        <v>109</v>
      </c>
      <c r="BC406" t="s">
        <v>113</v>
      </c>
      <c r="BD406" t="s">
        <v>6417</v>
      </c>
      <c r="BE406" t="s">
        <v>6418</v>
      </c>
      <c r="BF406" t="s">
        <v>6419</v>
      </c>
      <c r="BG406">
        <v>64</v>
      </c>
      <c r="BI406">
        <v>2015</v>
      </c>
      <c r="BJ406">
        <v>19</v>
      </c>
      <c r="BK406" t="s">
        <v>1984</v>
      </c>
      <c r="BL406">
        <v>53</v>
      </c>
      <c r="BM406" t="s">
        <v>6420</v>
      </c>
      <c r="BN406" t="s">
        <v>113</v>
      </c>
      <c r="BO406" t="s">
        <v>6421</v>
      </c>
      <c r="BP406" t="s">
        <v>6422</v>
      </c>
      <c r="BQ406" t="s">
        <v>6423</v>
      </c>
      <c r="BR406">
        <v>68.53</v>
      </c>
      <c r="BS406">
        <v>8.2</v>
      </c>
      <c r="BT406">
        <v>2018</v>
      </c>
      <c r="BU406">
        <v>31</v>
      </c>
      <c r="BV406" t="s">
        <v>339</v>
      </c>
      <c r="BW406">
        <v>53</v>
      </c>
      <c r="BX406" t="s">
        <v>6424</v>
      </c>
      <c r="BY406" t="s">
        <v>109</v>
      </c>
      <c r="CF406" t="s">
        <v>113</v>
      </c>
      <c r="CG406" t="s">
        <v>5929</v>
      </c>
      <c r="CH406" t="s">
        <v>6425</v>
      </c>
      <c r="CI406" t="s">
        <v>240</v>
      </c>
      <c r="CK406" t="s">
        <v>109</v>
      </c>
      <c r="CL406" t="s">
        <v>113</v>
      </c>
      <c r="CM406" t="s">
        <v>6426</v>
      </c>
      <c r="CN406" t="s">
        <v>113</v>
      </c>
      <c r="CO406" t="s">
        <v>6427</v>
      </c>
      <c r="CP406" t="s">
        <v>6428</v>
      </c>
      <c r="CQ406" t="s">
        <v>6429</v>
      </c>
      <c r="CR406" t="s">
        <v>136</v>
      </c>
      <c r="CS406" t="str">
        <f>HYPERLINK("https://nconnect.nicmar.ac.in/pdf/571_resume_1771856311.pdf/Y2FyZWVy","View Resume")</f>
        <v>0</v>
      </c>
    </row>
    <row r="407" spans="1:97">
      <c r="A407" t="s">
        <v>702</v>
      </c>
      <c r="B407" t="s">
        <v>138</v>
      </c>
      <c r="C407" t="s">
        <v>703</v>
      </c>
      <c r="D407" t="s">
        <v>704</v>
      </c>
      <c r="E407" t="s">
        <v>6430</v>
      </c>
      <c r="F407" t="s">
        <v>6431</v>
      </c>
      <c r="G407">
        <v>8273798144</v>
      </c>
      <c r="H407" t="s">
        <v>169</v>
      </c>
      <c r="I407" t="s">
        <v>6432</v>
      </c>
      <c r="J407" t="s">
        <v>144</v>
      </c>
      <c r="K407" t="s">
        <v>6433</v>
      </c>
      <c r="L407" t="s">
        <v>6434</v>
      </c>
      <c r="M407" t="s">
        <v>6435</v>
      </c>
      <c r="N407" t="s">
        <v>109</v>
      </c>
      <c r="AI407" t="s">
        <v>6436</v>
      </c>
      <c r="AJ407" t="s">
        <v>1231</v>
      </c>
      <c r="AK407" t="s">
        <v>6437</v>
      </c>
      <c r="AL407">
        <v>86</v>
      </c>
      <c r="AN407">
        <v>2017</v>
      </c>
      <c r="AO407" t="s">
        <v>113</v>
      </c>
      <c r="AP407" t="s">
        <v>6436</v>
      </c>
      <c r="AQ407" t="s">
        <v>937</v>
      </c>
      <c r="AR407" t="s">
        <v>6438</v>
      </c>
      <c r="AS407">
        <v>80.6</v>
      </c>
      <c r="AU407">
        <v>2019</v>
      </c>
      <c r="AV407" t="s">
        <v>109</v>
      </c>
      <c r="BB407">
        <v>2019</v>
      </c>
      <c r="BC407" t="s">
        <v>113</v>
      </c>
      <c r="BD407" t="s">
        <v>6439</v>
      </c>
      <c r="BE407" t="s">
        <v>6439</v>
      </c>
      <c r="BF407" t="s">
        <v>3211</v>
      </c>
      <c r="BG407">
        <v>81.2</v>
      </c>
      <c r="BI407">
        <v>2024</v>
      </c>
      <c r="BJ407">
        <v>8</v>
      </c>
      <c r="BL407">
        <v>2</v>
      </c>
      <c r="BN407" t="s">
        <v>113</v>
      </c>
      <c r="BO407" t="s">
        <v>6440</v>
      </c>
      <c r="BP407" t="s">
        <v>6441</v>
      </c>
      <c r="BQ407" t="s">
        <v>3529</v>
      </c>
      <c r="BR407">
        <v>80</v>
      </c>
      <c r="BT407">
        <v>2026</v>
      </c>
      <c r="BU407">
        <v>24</v>
      </c>
      <c r="BW407">
        <v>50</v>
      </c>
      <c r="BY407" t="s">
        <v>109</v>
      </c>
      <c r="CF407" t="s">
        <v>109</v>
      </c>
      <c r="CJ407">
        <v>2026</v>
      </c>
      <c r="CL407" t="s">
        <v>113</v>
      </c>
      <c r="CM407" t="s">
        <v>6442</v>
      </c>
      <c r="CN407" t="s">
        <v>113</v>
      </c>
      <c r="CO407" t="s">
        <v>6443</v>
      </c>
      <c r="CP407" t="s">
        <v>6444</v>
      </c>
      <c r="CQ407" t="s">
        <v>6445</v>
      </c>
      <c r="CR407" t="str">
        <f>HYPERLINK("https://nconnect.nicmar.ac.in/public/storage/profile/699732104c933.png","Download")</f>
        <v>0</v>
      </c>
      <c r="CS407" t="str">
        <f>HYPERLINK("https://nconnect.nicmar.ac.in/pdf/574_resume_1771856597.pdf/Y2FyZWVy","View Resume")</f>
        <v>0</v>
      </c>
    </row>
    <row r="408" spans="1:97">
      <c r="A408" t="s">
        <v>501</v>
      </c>
      <c r="B408" t="s">
        <v>138</v>
      </c>
      <c r="C408" t="s">
        <v>165</v>
      </c>
      <c r="D408" t="s">
        <v>319</v>
      </c>
      <c r="E408" t="s">
        <v>6446</v>
      </c>
      <c r="F408" t="s">
        <v>6447</v>
      </c>
      <c r="G408">
        <v>8171517526</v>
      </c>
      <c r="H408" t="s">
        <v>169</v>
      </c>
      <c r="I408" t="s">
        <v>6448</v>
      </c>
      <c r="J408" t="s">
        <v>105</v>
      </c>
      <c r="K408" t="s">
        <v>484</v>
      </c>
      <c r="L408" t="s">
        <v>6449</v>
      </c>
      <c r="M408" t="s">
        <v>6450</v>
      </c>
      <c r="N408" t="s">
        <v>109</v>
      </c>
      <c r="AI408" t="s">
        <v>6451</v>
      </c>
      <c r="AJ408" t="s">
        <v>1231</v>
      </c>
      <c r="AK408" t="s">
        <v>1297</v>
      </c>
      <c r="AL408">
        <v>83</v>
      </c>
      <c r="AN408">
        <v>2011</v>
      </c>
      <c r="AO408" t="s">
        <v>113</v>
      </c>
      <c r="AP408" t="s">
        <v>6452</v>
      </c>
      <c r="AQ408" t="s">
        <v>738</v>
      </c>
      <c r="AR408" t="s">
        <v>6453</v>
      </c>
      <c r="AS408">
        <v>88</v>
      </c>
      <c r="AU408">
        <v>2013</v>
      </c>
      <c r="AV408" t="s">
        <v>109</v>
      </c>
      <c r="BC408" t="s">
        <v>113</v>
      </c>
      <c r="BD408" t="s">
        <v>6454</v>
      </c>
      <c r="BE408" t="s">
        <v>6455</v>
      </c>
      <c r="BF408" t="s">
        <v>6456</v>
      </c>
      <c r="BG408">
        <v>59</v>
      </c>
      <c r="BI408">
        <v>2013</v>
      </c>
      <c r="BJ408">
        <v>19</v>
      </c>
      <c r="BK408" t="s">
        <v>515</v>
      </c>
      <c r="BL408">
        <v>23</v>
      </c>
      <c r="BN408" t="s">
        <v>113</v>
      </c>
      <c r="BO408" t="s">
        <v>6454</v>
      </c>
      <c r="BP408" t="s">
        <v>6455</v>
      </c>
      <c r="BQ408" t="s">
        <v>6457</v>
      </c>
      <c r="BR408">
        <v>63</v>
      </c>
      <c r="BT408">
        <v>2018</v>
      </c>
      <c r="BU408">
        <v>31</v>
      </c>
      <c r="BV408" t="s">
        <v>518</v>
      </c>
      <c r="BW408">
        <v>23</v>
      </c>
      <c r="BY408" t="s">
        <v>109</v>
      </c>
      <c r="CF408" t="s">
        <v>113</v>
      </c>
      <c r="CG408" t="s">
        <v>6458</v>
      </c>
      <c r="CH408" t="s">
        <v>6459</v>
      </c>
      <c r="CI408" t="s">
        <v>132</v>
      </c>
      <c r="CJ408">
        <v>2023</v>
      </c>
      <c r="CL408" t="s">
        <v>113</v>
      </c>
      <c r="CM408" t="s">
        <v>6460</v>
      </c>
      <c r="CN408" t="s">
        <v>113</v>
      </c>
      <c r="CO408" t="s">
        <v>6461</v>
      </c>
      <c r="CP408" t="s">
        <v>6462</v>
      </c>
      <c r="CQ408" t="s">
        <v>6463</v>
      </c>
      <c r="CR408" t="s">
        <v>136</v>
      </c>
      <c r="CS408" t="str">
        <f>HYPERLINK("https://nconnect.nicmar.ac.in/pdf/148_resume_1771859307.pdf/Y2FyZWVy","View Resume")</f>
        <v>0</v>
      </c>
    </row>
    <row r="409" spans="1:97">
      <c r="A409" t="s">
        <v>294</v>
      </c>
      <c r="B409" t="s">
        <v>138</v>
      </c>
      <c r="C409" t="s">
        <v>295</v>
      </c>
      <c r="D409" t="s">
        <v>296</v>
      </c>
      <c r="E409" t="s">
        <v>6464</v>
      </c>
      <c r="F409" t="s">
        <v>6465</v>
      </c>
      <c r="G409">
        <v>9686350249</v>
      </c>
      <c r="H409" t="s">
        <v>103</v>
      </c>
      <c r="I409" t="s">
        <v>2999</v>
      </c>
      <c r="J409" t="s">
        <v>144</v>
      </c>
      <c r="K409" t="s">
        <v>6466</v>
      </c>
      <c r="L409" t="s">
        <v>6467</v>
      </c>
      <c r="M409" t="s">
        <v>6468</v>
      </c>
      <c r="N409" t="s">
        <v>113</v>
      </c>
      <c r="O409" t="s">
        <v>6469</v>
      </c>
      <c r="P409" t="s">
        <v>360</v>
      </c>
      <c r="AI409" t="s">
        <v>6470</v>
      </c>
      <c r="AJ409" t="s">
        <v>736</v>
      </c>
      <c r="AK409" t="s">
        <v>6471</v>
      </c>
      <c r="AL409">
        <v>80.2</v>
      </c>
      <c r="AM409">
        <v>8.2</v>
      </c>
      <c r="AN409">
        <v>2012</v>
      </c>
      <c r="AO409" t="s">
        <v>113</v>
      </c>
      <c r="AP409" t="s">
        <v>6472</v>
      </c>
      <c r="AQ409" t="s">
        <v>6473</v>
      </c>
      <c r="AR409" t="s">
        <v>6474</v>
      </c>
      <c r="AS409">
        <v>68</v>
      </c>
      <c r="AT409">
        <v>6.8</v>
      </c>
      <c r="AU409">
        <v>2014</v>
      </c>
      <c r="AV409" t="s">
        <v>109</v>
      </c>
      <c r="BC409" t="s">
        <v>113</v>
      </c>
      <c r="BD409" t="s">
        <v>6475</v>
      </c>
      <c r="BE409" t="s">
        <v>6476</v>
      </c>
      <c r="BF409" t="s">
        <v>6477</v>
      </c>
      <c r="BG409">
        <v>70.8</v>
      </c>
      <c r="BH409">
        <v>7.8</v>
      </c>
      <c r="BI409">
        <v>2018</v>
      </c>
      <c r="BJ409">
        <v>1</v>
      </c>
      <c r="BL409">
        <v>9</v>
      </c>
      <c r="BN409" t="s">
        <v>113</v>
      </c>
      <c r="BO409" t="s">
        <v>6478</v>
      </c>
      <c r="BP409" t="s">
        <v>6479</v>
      </c>
      <c r="BQ409" t="s">
        <v>6480</v>
      </c>
      <c r="BR409">
        <v>98</v>
      </c>
      <c r="BS409">
        <v>9.8</v>
      </c>
      <c r="BT409">
        <v>2020</v>
      </c>
      <c r="BU409">
        <v>12</v>
      </c>
      <c r="BW409">
        <v>13</v>
      </c>
      <c r="BY409" t="s">
        <v>109</v>
      </c>
      <c r="CF409" t="s">
        <v>113</v>
      </c>
      <c r="CG409" t="s">
        <v>360</v>
      </c>
      <c r="CH409" t="s">
        <v>6479</v>
      </c>
      <c r="CI409" t="s">
        <v>132</v>
      </c>
      <c r="CJ409">
        <v>2023</v>
      </c>
      <c r="CL409" t="s">
        <v>109</v>
      </c>
      <c r="CN409" t="s">
        <v>113</v>
      </c>
      <c r="CO409" t="s">
        <v>6481</v>
      </c>
      <c r="CP409" t="s">
        <v>6482</v>
      </c>
      <c r="CQ409" t="s">
        <v>6483</v>
      </c>
      <c r="CR409" t="str">
        <f>HYPERLINK("https://nconnect.nicmar.ac.in/public/storage/profile/6999c86b278d4.png","Download")</f>
        <v>0</v>
      </c>
      <c r="CS409" t="str">
        <f>HYPERLINK("https://nconnect.nicmar.ac.in/pdf/463_resume_1771861215.pdf/Y2FyZWVy","View Resume")</f>
        <v>0</v>
      </c>
    </row>
    <row r="410" spans="1:97">
      <c r="A410" t="s">
        <v>501</v>
      </c>
      <c r="B410" t="s">
        <v>138</v>
      </c>
      <c r="C410" t="s">
        <v>165</v>
      </c>
      <c r="D410" t="s">
        <v>319</v>
      </c>
      <c r="E410" t="s">
        <v>6484</v>
      </c>
      <c r="F410" t="s">
        <v>6485</v>
      </c>
      <c r="G410">
        <v>9764750479</v>
      </c>
      <c r="H410" t="s">
        <v>103</v>
      </c>
      <c r="I410" t="s">
        <v>6486</v>
      </c>
      <c r="J410" t="s">
        <v>105</v>
      </c>
      <c r="K410" t="s">
        <v>423</v>
      </c>
      <c r="L410" t="s">
        <v>6487</v>
      </c>
      <c r="M410" t="s">
        <v>6488</v>
      </c>
      <c r="N410" t="s">
        <v>113</v>
      </c>
      <c r="O410" t="s">
        <v>6489</v>
      </c>
      <c r="P410" t="s">
        <v>6490</v>
      </c>
      <c r="AI410" t="s">
        <v>6491</v>
      </c>
      <c r="AJ410" t="s">
        <v>6492</v>
      </c>
      <c r="AK410" t="s">
        <v>782</v>
      </c>
      <c r="AL410">
        <v>64.76</v>
      </c>
      <c r="AN410">
        <v>2008</v>
      </c>
      <c r="AO410" t="s">
        <v>113</v>
      </c>
      <c r="AP410" t="s">
        <v>6493</v>
      </c>
      <c r="AQ410" t="s">
        <v>6494</v>
      </c>
      <c r="AR410" t="s">
        <v>839</v>
      </c>
      <c r="AS410">
        <v>67</v>
      </c>
      <c r="AU410">
        <v>2010</v>
      </c>
      <c r="AV410" t="s">
        <v>113</v>
      </c>
      <c r="AW410" t="s">
        <v>6495</v>
      </c>
      <c r="AX410" t="s">
        <v>6496</v>
      </c>
      <c r="AY410" t="s">
        <v>6497</v>
      </c>
      <c r="AZ410">
        <v>56.16</v>
      </c>
      <c r="BB410">
        <v>2016</v>
      </c>
      <c r="BC410" t="s">
        <v>113</v>
      </c>
      <c r="BD410" t="s">
        <v>2905</v>
      </c>
      <c r="BE410" t="s">
        <v>6498</v>
      </c>
      <c r="BF410" t="s">
        <v>6499</v>
      </c>
      <c r="BG410">
        <v>75.08</v>
      </c>
      <c r="BI410">
        <v>2013</v>
      </c>
      <c r="BJ410">
        <v>19</v>
      </c>
      <c r="BK410" t="s">
        <v>515</v>
      </c>
      <c r="BL410">
        <v>53</v>
      </c>
      <c r="BM410" t="s">
        <v>6500</v>
      </c>
      <c r="BN410" t="s">
        <v>113</v>
      </c>
      <c r="BO410" t="s">
        <v>2905</v>
      </c>
      <c r="BP410" t="s">
        <v>6498</v>
      </c>
      <c r="BQ410" t="s">
        <v>6501</v>
      </c>
      <c r="BR410">
        <v>80.06</v>
      </c>
      <c r="BT410">
        <v>2016</v>
      </c>
      <c r="BU410">
        <v>31</v>
      </c>
      <c r="BV410" t="s">
        <v>3544</v>
      </c>
      <c r="BW410">
        <v>53</v>
      </c>
      <c r="BX410" t="s">
        <v>6501</v>
      </c>
      <c r="BY410" t="s">
        <v>109</v>
      </c>
      <c r="CF410" t="s">
        <v>113</v>
      </c>
      <c r="CG410" t="s">
        <v>6502</v>
      </c>
      <c r="CH410" t="s">
        <v>2905</v>
      </c>
      <c r="CI410" t="s">
        <v>132</v>
      </c>
      <c r="CJ410">
        <v>2023</v>
      </c>
      <c r="CL410" t="s">
        <v>113</v>
      </c>
      <c r="CM410" t="s">
        <v>6503</v>
      </c>
      <c r="CN410" t="s">
        <v>113</v>
      </c>
      <c r="CO410" t="s">
        <v>6504</v>
      </c>
      <c r="CP410" t="s">
        <v>6505</v>
      </c>
      <c r="CQ410" t="s">
        <v>6506</v>
      </c>
      <c r="CR410" t="s">
        <v>136</v>
      </c>
      <c r="CS410" t="str">
        <f>HYPERLINK("https://nconnect.nicmar.ac.in/pdf/579_resume_1771861646.pdf/Y2FyZWVy","View Resume")</f>
        <v>0</v>
      </c>
    </row>
    <row r="411" spans="1:97">
      <c r="A411" t="s">
        <v>192</v>
      </c>
      <c r="B411" t="s">
        <v>138</v>
      </c>
      <c r="C411" t="s">
        <v>165</v>
      </c>
      <c r="D411" t="s">
        <v>193</v>
      </c>
      <c r="E411" t="s">
        <v>6484</v>
      </c>
      <c r="F411" t="s">
        <v>6485</v>
      </c>
      <c r="G411">
        <v>9764750479</v>
      </c>
      <c r="H411" t="s">
        <v>103</v>
      </c>
      <c r="I411" t="s">
        <v>6486</v>
      </c>
      <c r="J411" t="s">
        <v>105</v>
      </c>
      <c r="K411" t="s">
        <v>423</v>
      </c>
      <c r="L411" t="s">
        <v>6487</v>
      </c>
      <c r="M411" t="s">
        <v>6488</v>
      </c>
      <c r="N411" t="s">
        <v>113</v>
      </c>
      <c r="O411" t="s">
        <v>6489</v>
      </c>
      <c r="P411" t="s">
        <v>6490</v>
      </c>
      <c r="AI411" t="s">
        <v>6491</v>
      </c>
      <c r="AJ411" t="s">
        <v>6492</v>
      </c>
      <c r="AK411" t="s">
        <v>782</v>
      </c>
      <c r="AL411">
        <v>64.76</v>
      </c>
      <c r="AN411">
        <v>2008</v>
      </c>
      <c r="AO411" t="s">
        <v>113</v>
      </c>
      <c r="AP411" t="s">
        <v>6493</v>
      </c>
      <c r="AQ411" t="s">
        <v>6494</v>
      </c>
      <c r="AR411" t="s">
        <v>839</v>
      </c>
      <c r="AS411">
        <v>67</v>
      </c>
      <c r="AU411">
        <v>2010</v>
      </c>
      <c r="AV411" t="s">
        <v>113</v>
      </c>
      <c r="AW411" t="s">
        <v>6495</v>
      </c>
      <c r="AX411" t="s">
        <v>6496</v>
      </c>
      <c r="AY411" t="s">
        <v>6497</v>
      </c>
      <c r="AZ411">
        <v>56.16</v>
      </c>
      <c r="BB411">
        <v>2016</v>
      </c>
      <c r="BC411" t="s">
        <v>113</v>
      </c>
      <c r="BD411" t="s">
        <v>2905</v>
      </c>
      <c r="BE411" t="s">
        <v>6498</v>
      </c>
      <c r="BF411" t="s">
        <v>6499</v>
      </c>
      <c r="BG411">
        <v>75.08</v>
      </c>
      <c r="BI411">
        <v>2013</v>
      </c>
      <c r="BJ411">
        <v>19</v>
      </c>
      <c r="BK411" t="s">
        <v>515</v>
      </c>
      <c r="BL411">
        <v>53</v>
      </c>
      <c r="BM411" t="s">
        <v>6500</v>
      </c>
      <c r="BN411" t="s">
        <v>113</v>
      </c>
      <c r="BO411" t="s">
        <v>2905</v>
      </c>
      <c r="BP411" t="s">
        <v>6498</v>
      </c>
      <c r="BQ411" t="s">
        <v>6501</v>
      </c>
      <c r="BR411">
        <v>80.06</v>
      </c>
      <c r="BT411">
        <v>2016</v>
      </c>
      <c r="BU411">
        <v>31</v>
      </c>
      <c r="BV411" t="s">
        <v>3544</v>
      </c>
      <c r="BW411">
        <v>53</v>
      </c>
      <c r="BX411" t="s">
        <v>6501</v>
      </c>
      <c r="BY411" t="s">
        <v>109</v>
      </c>
      <c r="CF411" t="s">
        <v>113</v>
      </c>
      <c r="CG411" t="s">
        <v>6502</v>
      </c>
      <c r="CH411" t="s">
        <v>2905</v>
      </c>
      <c r="CI411" t="s">
        <v>132</v>
      </c>
      <c r="CJ411">
        <v>2023</v>
      </c>
      <c r="CL411" t="s">
        <v>113</v>
      </c>
      <c r="CM411" t="s">
        <v>6503</v>
      </c>
      <c r="CN411" t="s">
        <v>113</v>
      </c>
      <c r="CO411" t="s">
        <v>6504</v>
      </c>
      <c r="CP411" t="s">
        <v>6505</v>
      </c>
      <c r="CQ411" t="s">
        <v>6507</v>
      </c>
      <c r="CR411" t="s">
        <v>136</v>
      </c>
      <c r="CS411" t="str">
        <f>HYPERLINK("https://nconnect.nicmar.ac.in/pdf/579_resume_1771861646.pdf/Y2FyZWVy","View Resume")</f>
        <v>0</v>
      </c>
    </row>
    <row r="412" spans="1:97">
      <c r="A412" t="s">
        <v>802</v>
      </c>
      <c r="B412" t="s">
        <v>138</v>
      </c>
      <c r="C412" t="s">
        <v>165</v>
      </c>
      <c r="D412" t="s">
        <v>803</v>
      </c>
      <c r="E412" t="s">
        <v>6484</v>
      </c>
      <c r="F412" t="s">
        <v>6485</v>
      </c>
      <c r="G412">
        <v>9764750479</v>
      </c>
      <c r="H412" t="s">
        <v>103</v>
      </c>
      <c r="I412" t="s">
        <v>6486</v>
      </c>
      <c r="J412" t="s">
        <v>105</v>
      </c>
      <c r="K412" t="s">
        <v>423</v>
      </c>
      <c r="L412" t="s">
        <v>6487</v>
      </c>
      <c r="M412" t="s">
        <v>6488</v>
      </c>
      <c r="N412" t="s">
        <v>113</v>
      </c>
      <c r="O412" t="s">
        <v>6489</v>
      </c>
      <c r="P412" t="s">
        <v>6490</v>
      </c>
      <c r="AI412" t="s">
        <v>6491</v>
      </c>
      <c r="AJ412" t="s">
        <v>6492</v>
      </c>
      <c r="AK412" t="s">
        <v>782</v>
      </c>
      <c r="AL412">
        <v>64.76</v>
      </c>
      <c r="AN412">
        <v>2008</v>
      </c>
      <c r="AO412" t="s">
        <v>113</v>
      </c>
      <c r="AP412" t="s">
        <v>6493</v>
      </c>
      <c r="AQ412" t="s">
        <v>6494</v>
      </c>
      <c r="AR412" t="s">
        <v>839</v>
      </c>
      <c r="AS412">
        <v>67</v>
      </c>
      <c r="AU412">
        <v>2010</v>
      </c>
      <c r="AV412" t="s">
        <v>113</v>
      </c>
      <c r="AW412" t="s">
        <v>6495</v>
      </c>
      <c r="AX412" t="s">
        <v>6496</v>
      </c>
      <c r="AY412" t="s">
        <v>6497</v>
      </c>
      <c r="AZ412">
        <v>56.16</v>
      </c>
      <c r="BB412">
        <v>2016</v>
      </c>
      <c r="BC412" t="s">
        <v>113</v>
      </c>
      <c r="BD412" t="s">
        <v>2905</v>
      </c>
      <c r="BE412" t="s">
        <v>6498</v>
      </c>
      <c r="BF412" t="s">
        <v>6499</v>
      </c>
      <c r="BG412">
        <v>75.08</v>
      </c>
      <c r="BI412">
        <v>2013</v>
      </c>
      <c r="BJ412">
        <v>19</v>
      </c>
      <c r="BK412" t="s">
        <v>515</v>
      </c>
      <c r="BL412">
        <v>53</v>
      </c>
      <c r="BM412" t="s">
        <v>6500</v>
      </c>
      <c r="BN412" t="s">
        <v>113</v>
      </c>
      <c r="BO412" t="s">
        <v>2905</v>
      </c>
      <c r="BP412" t="s">
        <v>6498</v>
      </c>
      <c r="BQ412" t="s">
        <v>6501</v>
      </c>
      <c r="BR412">
        <v>80.06</v>
      </c>
      <c r="BT412">
        <v>2016</v>
      </c>
      <c r="BU412">
        <v>31</v>
      </c>
      <c r="BV412" t="s">
        <v>3544</v>
      </c>
      <c r="BW412">
        <v>53</v>
      </c>
      <c r="BX412" t="s">
        <v>6501</v>
      </c>
      <c r="BY412" t="s">
        <v>109</v>
      </c>
      <c r="CF412" t="s">
        <v>113</v>
      </c>
      <c r="CG412" t="s">
        <v>6502</v>
      </c>
      <c r="CH412" t="s">
        <v>2905</v>
      </c>
      <c r="CI412" t="s">
        <v>132</v>
      </c>
      <c r="CJ412">
        <v>2023</v>
      </c>
      <c r="CL412" t="s">
        <v>113</v>
      </c>
      <c r="CM412" t="s">
        <v>6503</v>
      </c>
      <c r="CN412" t="s">
        <v>113</v>
      </c>
      <c r="CO412" t="s">
        <v>6504</v>
      </c>
      <c r="CP412" t="s">
        <v>6505</v>
      </c>
      <c r="CQ412" t="s">
        <v>6508</v>
      </c>
      <c r="CR412" t="s">
        <v>136</v>
      </c>
      <c r="CS412" t="str">
        <f>HYPERLINK("https://nconnect.nicmar.ac.in/pdf/579_resume_1771861646.pdf/Y2FyZWVy","View Resume")</f>
        <v>0</v>
      </c>
    </row>
    <row r="413" spans="1:97">
      <c r="A413" t="s">
        <v>164</v>
      </c>
      <c r="B413" t="s">
        <v>138</v>
      </c>
      <c r="C413" t="s">
        <v>165</v>
      </c>
      <c r="D413" t="s">
        <v>166</v>
      </c>
      <c r="E413" t="s">
        <v>6509</v>
      </c>
      <c r="F413" t="s">
        <v>6510</v>
      </c>
      <c r="G413">
        <v>6376414548</v>
      </c>
      <c r="H413" t="s">
        <v>103</v>
      </c>
      <c r="I413" t="s">
        <v>6511</v>
      </c>
      <c r="J413" t="s">
        <v>105</v>
      </c>
      <c r="K413" t="s">
        <v>505</v>
      </c>
      <c r="L413" t="s">
        <v>6512</v>
      </c>
      <c r="M413" t="s">
        <v>6513</v>
      </c>
      <c r="N413" t="s">
        <v>109</v>
      </c>
      <c r="AI413" t="s">
        <v>6514</v>
      </c>
      <c r="AJ413" t="s">
        <v>6515</v>
      </c>
      <c r="AK413" t="s">
        <v>6516</v>
      </c>
      <c r="AL413">
        <v>83</v>
      </c>
      <c r="AN413">
        <v>2007</v>
      </c>
      <c r="AO413" t="s">
        <v>113</v>
      </c>
      <c r="AP413" t="s">
        <v>832</v>
      </c>
      <c r="AQ413" t="s">
        <v>6517</v>
      </c>
      <c r="AR413" t="s">
        <v>406</v>
      </c>
      <c r="AS413">
        <v>83.6</v>
      </c>
      <c r="AU413">
        <v>2009</v>
      </c>
      <c r="AV413" t="s">
        <v>109</v>
      </c>
      <c r="AX413" t="s">
        <v>6518</v>
      </c>
      <c r="AY413" t="s">
        <v>6519</v>
      </c>
      <c r="AZ413">
        <v>84.8</v>
      </c>
      <c r="BB413">
        <v>2025</v>
      </c>
      <c r="BC413" t="s">
        <v>113</v>
      </c>
      <c r="BD413" t="s">
        <v>6520</v>
      </c>
      <c r="BE413" t="s">
        <v>6521</v>
      </c>
      <c r="BF413" t="s">
        <v>1047</v>
      </c>
      <c r="BG413">
        <v>65.3</v>
      </c>
      <c r="BI413">
        <v>2014</v>
      </c>
      <c r="BJ413">
        <v>19</v>
      </c>
      <c r="BK413" t="s">
        <v>2445</v>
      </c>
      <c r="BL413">
        <v>34</v>
      </c>
      <c r="BN413" t="s">
        <v>113</v>
      </c>
      <c r="BO413" t="s">
        <v>6522</v>
      </c>
      <c r="BP413" t="s">
        <v>6522</v>
      </c>
      <c r="BQ413" t="s">
        <v>1047</v>
      </c>
      <c r="BR413">
        <v>76.2</v>
      </c>
      <c r="BT413">
        <v>2018</v>
      </c>
      <c r="BU413">
        <v>31</v>
      </c>
      <c r="BV413" t="s">
        <v>1051</v>
      </c>
      <c r="BW413">
        <v>34</v>
      </c>
      <c r="BY413" t="s">
        <v>113</v>
      </c>
      <c r="BZ413" t="s">
        <v>6518</v>
      </c>
      <c r="CA413" t="s">
        <v>6518</v>
      </c>
      <c r="CB413" t="s">
        <v>6523</v>
      </c>
      <c r="CC413">
        <v>84.8</v>
      </c>
      <c r="CE413">
        <v>2025</v>
      </c>
      <c r="CF413" t="s">
        <v>113</v>
      </c>
      <c r="CG413" t="s">
        <v>6524</v>
      </c>
      <c r="CH413" t="s">
        <v>6525</v>
      </c>
      <c r="CI413" t="s">
        <v>240</v>
      </c>
      <c r="CK413" t="s">
        <v>109</v>
      </c>
      <c r="CL413" t="s">
        <v>109</v>
      </c>
      <c r="CN413" t="s">
        <v>109</v>
      </c>
      <c r="CP413" t="s">
        <v>6526</v>
      </c>
      <c r="CQ413" t="s">
        <v>6527</v>
      </c>
      <c r="CR413" t="str">
        <f>HYPERLINK("https://nconnect.nicmar.ac.in/public/storage/profile/699c6a05f38a2.png","Download")</f>
        <v>0</v>
      </c>
      <c r="CS413" t="str">
        <f>HYPERLINK("https://nconnect.nicmar.ac.in/pdf/578_resume_1771862449.pdf/Y2FyZWVy","View Resume")</f>
        <v>0</v>
      </c>
    </row>
    <row r="414" spans="1:97">
      <c r="A414" t="s">
        <v>137</v>
      </c>
      <c r="B414" t="s">
        <v>138</v>
      </c>
      <c r="C414" t="s">
        <v>139</v>
      </c>
      <c r="D414" t="s">
        <v>140</v>
      </c>
      <c r="E414" t="s">
        <v>6528</v>
      </c>
      <c r="F414" t="s">
        <v>6529</v>
      </c>
      <c r="G414">
        <v>9008312904</v>
      </c>
      <c r="H414" t="s">
        <v>103</v>
      </c>
      <c r="I414" t="s">
        <v>6530</v>
      </c>
      <c r="J414" t="s">
        <v>144</v>
      </c>
      <c r="K414" t="s">
        <v>145</v>
      </c>
      <c r="L414" t="s">
        <v>6531</v>
      </c>
      <c r="M414" t="s">
        <v>6532</v>
      </c>
      <c r="N414" t="s">
        <v>109</v>
      </c>
      <c r="AI414" t="s">
        <v>6533</v>
      </c>
      <c r="AJ414" t="s">
        <v>6534</v>
      </c>
      <c r="AK414" t="s">
        <v>6535</v>
      </c>
      <c r="AL414">
        <v>89.16</v>
      </c>
      <c r="AN414">
        <v>2013</v>
      </c>
      <c r="AO414" t="s">
        <v>113</v>
      </c>
      <c r="AP414" t="s">
        <v>6536</v>
      </c>
      <c r="AQ414" t="s">
        <v>6534</v>
      </c>
      <c r="AR414" t="s">
        <v>6537</v>
      </c>
      <c r="AS414">
        <v>87.4</v>
      </c>
      <c r="AU414">
        <v>2015</v>
      </c>
      <c r="AV414" t="s">
        <v>109</v>
      </c>
      <c r="BC414" t="s">
        <v>113</v>
      </c>
      <c r="BD414" t="s">
        <v>6538</v>
      </c>
      <c r="BE414" t="s">
        <v>6539</v>
      </c>
      <c r="BF414" t="s">
        <v>156</v>
      </c>
      <c r="BG414">
        <v>89.2</v>
      </c>
      <c r="BI414">
        <v>2019</v>
      </c>
      <c r="BJ414">
        <v>1</v>
      </c>
      <c r="BL414">
        <v>47</v>
      </c>
      <c r="BN414" t="s">
        <v>113</v>
      </c>
      <c r="BO414" t="s">
        <v>6540</v>
      </c>
      <c r="BP414" t="s">
        <v>6534</v>
      </c>
      <c r="BQ414" t="s">
        <v>158</v>
      </c>
      <c r="BR414">
        <v>91.3</v>
      </c>
      <c r="BT414">
        <v>2021</v>
      </c>
      <c r="BU414">
        <v>14</v>
      </c>
      <c r="BW414">
        <v>47</v>
      </c>
      <c r="BY414" t="s">
        <v>109</v>
      </c>
      <c r="CF414" t="s">
        <v>113</v>
      </c>
      <c r="CG414" t="s">
        <v>158</v>
      </c>
      <c r="CH414" t="s">
        <v>6540</v>
      </c>
      <c r="CI414" t="s">
        <v>132</v>
      </c>
      <c r="CJ414">
        <v>2024</v>
      </c>
      <c r="CL414" t="s">
        <v>109</v>
      </c>
      <c r="CN414" t="s">
        <v>113</v>
      </c>
      <c r="CO414" t="s">
        <v>6541</v>
      </c>
      <c r="CP414" t="s">
        <v>6542</v>
      </c>
      <c r="CQ414" t="s">
        <v>6543</v>
      </c>
      <c r="CR414" t="str">
        <f>HYPERLINK("https://nconnect.nicmar.ac.in/public/storage/profile/69992c4e8ccea.png","Download")</f>
        <v>0</v>
      </c>
      <c r="CS414" t="str">
        <f>HYPERLINK("https://nconnect.nicmar.ac.in/pdf/582_resume_1771865043.pdf/Y2FyZWVy","View Resume")</f>
        <v>0</v>
      </c>
    </row>
    <row r="415" spans="1:97">
      <c r="A415" t="s">
        <v>317</v>
      </c>
      <c r="B415" t="s">
        <v>318</v>
      </c>
      <c r="C415" t="s">
        <v>165</v>
      </c>
      <c r="D415" t="s">
        <v>319</v>
      </c>
      <c r="E415" t="s">
        <v>6544</v>
      </c>
      <c r="F415" t="s">
        <v>6545</v>
      </c>
      <c r="G415">
        <v>8550991101</v>
      </c>
      <c r="H415" t="s">
        <v>169</v>
      </c>
      <c r="I415" t="s">
        <v>6546</v>
      </c>
      <c r="J415" t="s">
        <v>105</v>
      </c>
      <c r="K415" t="s">
        <v>4948</v>
      </c>
      <c r="L415" t="s">
        <v>6547</v>
      </c>
      <c r="M415" t="s">
        <v>6548</v>
      </c>
      <c r="N415" t="s">
        <v>113</v>
      </c>
      <c r="O415" t="s">
        <v>6549</v>
      </c>
      <c r="P415" t="s">
        <v>6550</v>
      </c>
      <c r="AI415" t="s">
        <v>6544</v>
      </c>
      <c r="AJ415" t="s">
        <v>6551</v>
      </c>
      <c r="AK415" t="s">
        <v>6552</v>
      </c>
      <c r="AL415">
        <v>85.33</v>
      </c>
      <c r="AN415">
        <v>2000</v>
      </c>
      <c r="AO415" t="s">
        <v>113</v>
      </c>
      <c r="AP415" t="s">
        <v>6544</v>
      </c>
      <c r="AQ415" t="s">
        <v>6553</v>
      </c>
      <c r="AR415" t="s">
        <v>6554</v>
      </c>
      <c r="AS415">
        <v>76.83</v>
      </c>
      <c r="AU415">
        <v>2002</v>
      </c>
      <c r="AV415" t="s">
        <v>109</v>
      </c>
      <c r="BC415" t="s">
        <v>113</v>
      </c>
      <c r="BD415" t="s">
        <v>358</v>
      </c>
      <c r="BE415" t="s">
        <v>6555</v>
      </c>
      <c r="BF415" t="s">
        <v>6556</v>
      </c>
      <c r="BG415">
        <v>77.08</v>
      </c>
      <c r="BI415">
        <v>2006</v>
      </c>
      <c r="BJ415">
        <v>19</v>
      </c>
      <c r="BK415" t="s">
        <v>515</v>
      </c>
      <c r="BL415">
        <v>23</v>
      </c>
      <c r="BN415" t="s">
        <v>113</v>
      </c>
      <c r="BO415" t="s">
        <v>1215</v>
      </c>
      <c r="BP415" t="s">
        <v>6557</v>
      </c>
      <c r="BQ415" t="s">
        <v>6558</v>
      </c>
      <c r="BR415">
        <v>61.82</v>
      </c>
      <c r="BT415">
        <v>2008</v>
      </c>
      <c r="BU415">
        <v>31</v>
      </c>
      <c r="BV415" t="s">
        <v>6559</v>
      </c>
      <c r="BW415">
        <v>53</v>
      </c>
      <c r="BX415" t="s">
        <v>6560</v>
      </c>
      <c r="BY415" t="s">
        <v>113</v>
      </c>
      <c r="BZ415" t="s">
        <v>3546</v>
      </c>
      <c r="CA415" t="s">
        <v>6561</v>
      </c>
      <c r="CB415" t="s">
        <v>6562</v>
      </c>
      <c r="CC415">
        <v>60.38</v>
      </c>
      <c r="CE415">
        <v>2008</v>
      </c>
      <c r="CF415" t="s">
        <v>113</v>
      </c>
      <c r="CG415" t="s">
        <v>3716</v>
      </c>
      <c r="CH415" t="s">
        <v>6563</v>
      </c>
      <c r="CI415" t="s">
        <v>132</v>
      </c>
      <c r="CJ415">
        <v>2016</v>
      </c>
      <c r="CL415" t="s">
        <v>113</v>
      </c>
      <c r="CM415" t="s">
        <v>6564</v>
      </c>
      <c r="CN415" t="s">
        <v>113</v>
      </c>
      <c r="CO415" t="s">
        <v>6565</v>
      </c>
      <c r="CP415" t="s">
        <v>435</v>
      </c>
      <c r="CQ415" t="s">
        <v>6566</v>
      </c>
      <c r="CR415" t="s">
        <v>136</v>
      </c>
      <c r="CS415" t="str">
        <f>HYPERLINK("https://nconnect.nicmar.ac.in/pdf/537_resume_1771866773.pdf/Y2FyZWVy","View Resume")</f>
        <v>0</v>
      </c>
    </row>
    <row r="416" spans="1:97">
      <c r="A416" t="s">
        <v>372</v>
      </c>
      <c r="B416" t="s">
        <v>98</v>
      </c>
      <c r="C416" t="s">
        <v>165</v>
      </c>
      <c r="D416" t="s">
        <v>224</v>
      </c>
      <c r="E416" t="s">
        <v>6567</v>
      </c>
      <c r="F416" t="s">
        <v>6568</v>
      </c>
      <c r="G416">
        <v>9439638483</v>
      </c>
      <c r="H416" t="s">
        <v>103</v>
      </c>
      <c r="I416" t="s">
        <v>6569</v>
      </c>
      <c r="J416" t="s">
        <v>105</v>
      </c>
      <c r="K416" t="s">
        <v>6570</v>
      </c>
      <c r="L416" t="s">
        <v>6571</v>
      </c>
      <c r="M416" t="s">
        <v>6572</v>
      </c>
      <c r="N416" t="s">
        <v>109</v>
      </c>
      <c r="AI416" t="s">
        <v>6573</v>
      </c>
      <c r="AJ416" t="s">
        <v>6574</v>
      </c>
      <c r="AK416" t="s">
        <v>6575</v>
      </c>
      <c r="AL416">
        <v>75</v>
      </c>
      <c r="AN416">
        <v>1992</v>
      </c>
      <c r="AO416" t="s">
        <v>113</v>
      </c>
      <c r="AP416" t="s">
        <v>6576</v>
      </c>
      <c r="AQ416" t="s">
        <v>6577</v>
      </c>
      <c r="AR416" t="s">
        <v>785</v>
      </c>
      <c r="AS416">
        <v>60</v>
      </c>
      <c r="AU416">
        <v>1994</v>
      </c>
      <c r="AV416" t="s">
        <v>109</v>
      </c>
      <c r="BC416" t="s">
        <v>113</v>
      </c>
      <c r="BD416" t="s">
        <v>6578</v>
      </c>
      <c r="BE416" t="s">
        <v>6579</v>
      </c>
      <c r="BF416" t="s">
        <v>537</v>
      </c>
      <c r="BG416">
        <v>69</v>
      </c>
      <c r="BI416">
        <v>2000</v>
      </c>
      <c r="BJ416">
        <v>19</v>
      </c>
      <c r="BK416" t="s">
        <v>6580</v>
      </c>
      <c r="BL416">
        <v>53</v>
      </c>
      <c r="BM416" t="s">
        <v>537</v>
      </c>
      <c r="BN416" t="s">
        <v>113</v>
      </c>
      <c r="BO416" t="s">
        <v>124</v>
      </c>
      <c r="BP416" t="s">
        <v>6581</v>
      </c>
      <c r="BQ416" t="s">
        <v>6582</v>
      </c>
      <c r="BR416">
        <v>61</v>
      </c>
      <c r="BT416">
        <v>2009</v>
      </c>
      <c r="BU416">
        <v>31</v>
      </c>
      <c r="BV416" t="s">
        <v>339</v>
      </c>
      <c r="BW416">
        <v>53</v>
      </c>
      <c r="BX416" t="s">
        <v>2448</v>
      </c>
      <c r="BY416" t="s">
        <v>113</v>
      </c>
      <c r="BZ416" t="s">
        <v>124</v>
      </c>
      <c r="CA416" t="s">
        <v>6583</v>
      </c>
      <c r="CB416" t="s">
        <v>263</v>
      </c>
      <c r="CC416">
        <v>61</v>
      </c>
      <c r="CE416">
        <v>2008</v>
      </c>
      <c r="CF416" t="s">
        <v>109</v>
      </c>
      <c r="CL416" t="s">
        <v>113</v>
      </c>
      <c r="CM416" t="s">
        <v>6584</v>
      </c>
      <c r="CN416" t="s">
        <v>113</v>
      </c>
      <c r="CO416" t="s">
        <v>6585</v>
      </c>
      <c r="CP416" t="s">
        <v>4449</v>
      </c>
      <c r="CQ416" t="s">
        <v>6586</v>
      </c>
      <c r="CR416" t="s">
        <v>136</v>
      </c>
      <c r="CS416" t="str">
        <f>HYPERLINK("https://nconnect.nicmar.ac.in/pdf/584_resume_1771867451.pdf/Y2FyZWVy","View Resume")</f>
        <v>0</v>
      </c>
    </row>
    <row r="417" spans="1:97">
      <c r="A417" t="s">
        <v>137</v>
      </c>
      <c r="B417" t="s">
        <v>138</v>
      </c>
      <c r="C417" t="s">
        <v>139</v>
      </c>
      <c r="D417" t="s">
        <v>140</v>
      </c>
      <c r="E417" t="s">
        <v>6587</v>
      </c>
      <c r="F417" t="s">
        <v>6588</v>
      </c>
      <c r="G417">
        <v>9597231180</v>
      </c>
      <c r="H417" t="s">
        <v>169</v>
      </c>
      <c r="I417" t="s">
        <v>6589</v>
      </c>
      <c r="J417" t="s">
        <v>144</v>
      </c>
      <c r="K417" t="s">
        <v>6590</v>
      </c>
      <c r="L417" t="s">
        <v>6591</v>
      </c>
      <c r="M417" t="s">
        <v>6592</v>
      </c>
      <c r="N417" t="s">
        <v>109</v>
      </c>
      <c r="AI417" t="s">
        <v>6593</v>
      </c>
      <c r="AJ417" t="s">
        <v>6594</v>
      </c>
      <c r="AK417" t="s">
        <v>6595</v>
      </c>
      <c r="AL417">
        <v>98.4</v>
      </c>
      <c r="AN417">
        <v>2013</v>
      </c>
      <c r="AO417" t="s">
        <v>113</v>
      </c>
      <c r="AP417" t="s">
        <v>6593</v>
      </c>
      <c r="AQ417" t="s">
        <v>6596</v>
      </c>
      <c r="AR417" t="s">
        <v>6597</v>
      </c>
      <c r="AS417">
        <v>98</v>
      </c>
      <c r="AU417">
        <v>2015</v>
      </c>
      <c r="AV417" t="s">
        <v>109</v>
      </c>
      <c r="BC417" t="s">
        <v>113</v>
      </c>
      <c r="BD417" t="s">
        <v>6598</v>
      </c>
      <c r="BE417" t="s">
        <v>6598</v>
      </c>
      <c r="BF417" t="s">
        <v>309</v>
      </c>
      <c r="BG417">
        <v>84.6</v>
      </c>
      <c r="BH417">
        <v>8.46</v>
      </c>
      <c r="BI417">
        <v>2019</v>
      </c>
      <c r="BJ417">
        <v>1</v>
      </c>
      <c r="BL417">
        <v>9</v>
      </c>
      <c r="BN417" t="s">
        <v>113</v>
      </c>
      <c r="BO417" t="s">
        <v>961</v>
      </c>
      <c r="BP417" t="s">
        <v>6599</v>
      </c>
      <c r="BQ417" t="s">
        <v>140</v>
      </c>
      <c r="BR417">
        <v>98.7</v>
      </c>
      <c r="BS417">
        <v>9.87</v>
      </c>
      <c r="BT417">
        <v>2021</v>
      </c>
      <c r="BU417">
        <v>14</v>
      </c>
      <c r="BW417">
        <v>47</v>
      </c>
      <c r="BY417" t="s">
        <v>109</v>
      </c>
      <c r="CF417" t="s">
        <v>113</v>
      </c>
      <c r="CG417" t="s">
        <v>6600</v>
      </c>
      <c r="CH417" t="s">
        <v>4205</v>
      </c>
      <c r="CI417" t="s">
        <v>132</v>
      </c>
      <c r="CJ417">
        <v>2025</v>
      </c>
      <c r="CL417" t="s">
        <v>113</v>
      </c>
      <c r="CM417" t="s">
        <v>6601</v>
      </c>
      <c r="CN417" t="s">
        <v>109</v>
      </c>
      <c r="CP417" t="s">
        <v>6602</v>
      </c>
      <c r="CQ417" t="s">
        <v>6603</v>
      </c>
      <c r="CR417" t="str">
        <f>HYPERLINK("https://nconnect.nicmar.ac.in/public/storage/profile/699c0ea3bd671.png","Download")</f>
        <v>0</v>
      </c>
      <c r="CS417" t="str">
        <f>HYPERLINK("https://nconnect.nicmar.ac.in/pdf/546_resume_1771857556.pdf/Y2FyZWVy","View Resume")</f>
        <v>0</v>
      </c>
    </row>
    <row r="418" spans="1:97">
      <c r="A418" t="s">
        <v>164</v>
      </c>
      <c r="B418" t="s">
        <v>138</v>
      </c>
      <c r="C418" t="s">
        <v>165</v>
      </c>
      <c r="D418" t="s">
        <v>166</v>
      </c>
      <c r="E418" t="s">
        <v>6604</v>
      </c>
      <c r="F418" t="s">
        <v>6605</v>
      </c>
      <c r="G418">
        <v>8318429437</v>
      </c>
      <c r="H418" t="s">
        <v>103</v>
      </c>
      <c r="I418" t="s">
        <v>6606</v>
      </c>
      <c r="J418" t="s">
        <v>105</v>
      </c>
      <c r="K418" t="s">
        <v>505</v>
      </c>
      <c r="L418" t="s">
        <v>6607</v>
      </c>
      <c r="M418" t="s">
        <v>6608</v>
      </c>
      <c r="N418" t="s">
        <v>109</v>
      </c>
      <c r="AI418" t="s">
        <v>6609</v>
      </c>
      <c r="AJ418" t="s">
        <v>6610</v>
      </c>
      <c r="AK418" t="s">
        <v>6611</v>
      </c>
      <c r="AL418">
        <v>65</v>
      </c>
      <c r="AN418">
        <v>2008</v>
      </c>
      <c r="AO418" t="s">
        <v>113</v>
      </c>
      <c r="AP418" t="s">
        <v>6609</v>
      </c>
      <c r="AQ418" t="s">
        <v>6612</v>
      </c>
      <c r="AR418" t="s">
        <v>739</v>
      </c>
      <c r="AS418">
        <v>55</v>
      </c>
      <c r="AU418">
        <v>2010</v>
      </c>
      <c r="AV418" t="s">
        <v>109</v>
      </c>
      <c r="BC418" t="s">
        <v>113</v>
      </c>
      <c r="BD418" t="s">
        <v>6613</v>
      </c>
      <c r="BE418" t="s">
        <v>6614</v>
      </c>
      <c r="BF418" t="s">
        <v>6615</v>
      </c>
      <c r="BG418">
        <v>75.2</v>
      </c>
      <c r="BI418">
        <v>2013</v>
      </c>
      <c r="BJ418">
        <v>19</v>
      </c>
      <c r="BK418" t="s">
        <v>6616</v>
      </c>
      <c r="BL418">
        <v>53</v>
      </c>
      <c r="BM418" t="s">
        <v>6617</v>
      </c>
      <c r="BN418" t="s">
        <v>113</v>
      </c>
      <c r="BO418" t="s">
        <v>6613</v>
      </c>
      <c r="BP418" t="s">
        <v>6614</v>
      </c>
      <c r="BQ418" t="s">
        <v>6618</v>
      </c>
      <c r="BR418">
        <v>75.8</v>
      </c>
      <c r="BT418">
        <v>2015</v>
      </c>
      <c r="BU418">
        <v>31</v>
      </c>
      <c r="BV418" t="s">
        <v>987</v>
      </c>
      <c r="BW418">
        <v>32</v>
      </c>
      <c r="BY418" t="s">
        <v>109</v>
      </c>
      <c r="CF418" t="s">
        <v>113</v>
      </c>
      <c r="CG418" t="s">
        <v>6619</v>
      </c>
      <c r="CH418" t="s">
        <v>6620</v>
      </c>
      <c r="CI418" t="s">
        <v>240</v>
      </c>
      <c r="CK418" t="s">
        <v>113</v>
      </c>
      <c r="CL418" t="s">
        <v>109</v>
      </c>
      <c r="CN418" t="s">
        <v>113</v>
      </c>
      <c r="CO418" t="s">
        <v>6621</v>
      </c>
      <c r="CP418" t="s">
        <v>460</v>
      </c>
      <c r="CQ418" t="s">
        <v>6622</v>
      </c>
      <c r="CR418" t="s">
        <v>136</v>
      </c>
      <c r="CS418" t="str">
        <f>HYPERLINK("https://nconnect.nicmar.ac.in/pdf/587_resume_1771877483.pdf/Y2FyZWVy","View Resume")</f>
        <v>0</v>
      </c>
    </row>
    <row r="419" spans="1:97">
      <c r="A419" t="s">
        <v>702</v>
      </c>
      <c r="B419" t="s">
        <v>138</v>
      </c>
      <c r="C419" t="s">
        <v>703</v>
      </c>
      <c r="D419" t="s">
        <v>704</v>
      </c>
      <c r="E419" t="s">
        <v>6623</v>
      </c>
      <c r="F419" t="s">
        <v>6624</v>
      </c>
      <c r="G419">
        <v>7033296466</v>
      </c>
      <c r="H419" t="s">
        <v>103</v>
      </c>
      <c r="I419" t="s">
        <v>6625</v>
      </c>
      <c r="J419" t="s">
        <v>144</v>
      </c>
      <c r="K419" t="s">
        <v>145</v>
      </c>
      <c r="L419" t="s">
        <v>6626</v>
      </c>
      <c r="M419" t="s">
        <v>6627</v>
      </c>
      <c r="N419" t="s">
        <v>109</v>
      </c>
      <c r="AI419" t="s">
        <v>5527</v>
      </c>
      <c r="AJ419" t="s">
        <v>5171</v>
      </c>
      <c r="AK419" t="s">
        <v>6628</v>
      </c>
      <c r="AL419">
        <v>87.4</v>
      </c>
      <c r="AM419">
        <v>9.2</v>
      </c>
      <c r="AN419">
        <v>2014</v>
      </c>
      <c r="AO419" t="s">
        <v>113</v>
      </c>
      <c r="AP419" t="s">
        <v>6629</v>
      </c>
      <c r="AQ419" t="s">
        <v>5171</v>
      </c>
      <c r="AR419" t="s">
        <v>6630</v>
      </c>
      <c r="AS419">
        <v>83.2</v>
      </c>
      <c r="AU419">
        <v>2016</v>
      </c>
      <c r="AV419" t="s">
        <v>109</v>
      </c>
      <c r="BC419" t="s">
        <v>113</v>
      </c>
      <c r="BD419" t="s">
        <v>1431</v>
      </c>
      <c r="BE419" t="s">
        <v>6631</v>
      </c>
      <c r="BF419" t="s">
        <v>1117</v>
      </c>
      <c r="BG419">
        <v>83.6</v>
      </c>
      <c r="BI419">
        <v>2021</v>
      </c>
      <c r="BJ419">
        <v>8</v>
      </c>
      <c r="BL419">
        <v>2</v>
      </c>
      <c r="BN419" t="s">
        <v>113</v>
      </c>
      <c r="BO419" t="s">
        <v>3267</v>
      </c>
      <c r="BP419" t="s">
        <v>6632</v>
      </c>
      <c r="BQ419" t="s">
        <v>4022</v>
      </c>
      <c r="BR419">
        <v>88.65</v>
      </c>
      <c r="BT419">
        <v>2023</v>
      </c>
      <c r="BU419">
        <v>31</v>
      </c>
      <c r="BV419" t="s">
        <v>4021</v>
      </c>
      <c r="BW419">
        <v>35</v>
      </c>
      <c r="BY419" t="s">
        <v>109</v>
      </c>
      <c r="CF419" t="s">
        <v>109</v>
      </c>
      <c r="CJ419">
        <v>2026</v>
      </c>
      <c r="CL419" t="s">
        <v>109</v>
      </c>
      <c r="CN419" t="s">
        <v>113</v>
      </c>
      <c r="CO419" t="s">
        <v>6633</v>
      </c>
      <c r="CP419" t="s">
        <v>6634</v>
      </c>
      <c r="CQ419" t="s">
        <v>6635</v>
      </c>
      <c r="CR419" t="str">
        <f>HYPERLINK("https://nconnect.nicmar.ac.in/public/storage/profile/699b7863002ce.png","Download")</f>
        <v>0</v>
      </c>
      <c r="CS419" t="str">
        <f>HYPERLINK("https://nconnect.nicmar.ac.in/pdf/521_resume_1771889264.pdf/Y2FyZWVy","View Resume")</f>
        <v>0</v>
      </c>
    </row>
    <row r="420" spans="1:97">
      <c r="A420" t="s">
        <v>3528</v>
      </c>
      <c r="B420" t="s">
        <v>318</v>
      </c>
      <c r="C420" t="s">
        <v>99</v>
      </c>
      <c r="D420" t="s">
        <v>3529</v>
      </c>
      <c r="E420" t="s">
        <v>6636</v>
      </c>
      <c r="F420" t="s">
        <v>6637</v>
      </c>
      <c r="G420">
        <v>8087852785</v>
      </c>
      <c r="H420" t="s">
        <v>169</v>
      </c>
      <c r="I420" t="s">
        <v>6638</v>
      </c>
      <c r="J420" t="s">
        <v>105</v>
      </c>
      <c r="K420" t="s">
        <v>4752</v>
      </c>
      <c r="L420" t="s">
        <v>6639</v>
      </c>
      <c r="M420" t="s">
        <v>6640</v>
      </c>
      <c r="N420" t="s">
        <v>109</v>
      </c>
      <c r="AI420" t="s">
        <v>6641</v>
      </c>
      <c r="AJ420" t="s">
        <v>6642</v>
      </c>
      <c r="AK420" t="s">
        <v>6643</v>
      </c>
      <c r="AL420">
        <v>85.84</v>
      </c>
      <c r="AN420">
        <v>2007</v>
      </c>
      <c r="AO420" t="s">
        <v>113</v>
      </c>
      <c r="AP420" t="s">
        <v>6644</v>
      </c>
      <c r="AQ420" t="s">
        <v>6645</v>
      </c>
      <c r="AR420" t="s">
        <v>981</v>
      </c>
      <c r="AS420">
        <v>82.83</v>
      </c>
      <c r="AU420">
        <v>2009</v>
      </c>
      <c r="AV420" t="s">
        <v>109</v>
      </c>
      <c r="BC420" t="s">
        <v>113</v>
      </c>
      <c r="BD420" t="s">
        <v>1215</v>
      </c>
      <c r="BE420" t="s">
        <v>6646</v>
      </c>
      <c r="BF420" t="s">
        <v>6647</v>
      </c>
      <c r="BG420">
        <v>60.45</v>
      </c>
      <c r="BI420">
        <v>2014</v>
      </c>
      <c r="BJ420">
        <v>8</v>
      </c>
      <c r="BL420">
        <v>2</v>
      </c>
      <c r="BN420" t="s">
        <v>113</v>
      </c>
      <c r="BO420" t="s">
        <v>1132</v>
      </c>
      <c r="BP420" t="s">
        <v>6648</v>
      </c>
      <c r="BQ420" t="s">
        <v>3483</v>
      </c>
      <c r="BR420">
        <v>73.69</v>
      </c>
      <c r="BS420">
        <v>2.89</v>
      </c>
      <c r="BT420">
        <v>2019</v>
      </c>
      <c r="BU420">
        <v>31</v>
      </c>
      <c r="BV420" t="s">
        <v>6649</v>
      </c>
      <c r="BW420">
        <v>3</v>
      </c>
      <c r="BY420" t="s">
        <v>109</v>
      </c>
      <c r="CF420" t="s">
        <v>109</v>
      </c>
      <c r="CL420" t="s">
        <v>109</v>
      </c>
      <c r="CN420" t="s">
        <v>109</v>
      </c>
      <c r="CP420" t="s">
        <v>6650</v>
      </c>
      <c r="CQ420" t="s">
        <v>6651</v>
      </c>
      <c r="CR420" t="s">
        <v>136</v>
      </c>
      <c r="CS420" t="str">
        <f>HYPERLINK("https://nconnect.nicmar.ac.in/pdf/120_resume_1771577649.pdf/Y2FyZWVy","View Resume")</f>
        <v>0</v>
      </c>
    </row>
    <row r="421" spans="1:97">
      <c r="A421" t="s">
        <v>192</v>
      </c>
      <c r="B421" t="s">
        <v>138</v>
      </c>
      <c r="C421" t="s">
        <v>165</v>
      </c>
      <c r="D421" t="s">
        <v>193</v>
      </c>
      <c r="E421" t="s">
        <v>6652</v>
      </c>
      <c r="F421" t="s">
        <v>6653</v>
      </c>
      <c r="G421">
        <v>8414885601</v>
      </c>
      <c r="H421" t="s">
        <v>103</v>
      </c>
      <c r="I421" t="s">
        <v>6654</v>
      </c>
      <c r="J421" t="s">
        <v>105</v>
      </c>
      <c r="K421" t="s">
        <v>484</v>
      </c>
      <c r="L421" t="s">
        <v>6655</v>
      </c>
      <c r="M421" t="s">
        <v>6656</v>
      </c>
      <c r="N421" t="s">
        <v>109</v>
      </c>
      <c r="AI421" t="s">
        <v>6657</v>
      </c>
      <c r="AJ421" t="s">
        <v>6658</v>
      </c>
      <c r="AK421" t="s">
        <v>668</v>
      </c>
      <c r="AL421">
        <v>56.77</v>
      </c>
      <c r="AN421">
        <v>2003</v>
      </c>
      <c r="AO421" t="s">
        <v>113</v>
      </c>
      <c r="AP421" t="s">
        <v>6657</v>
      </c>
      <c r="AQ421" t="s">
        <v>6658</v>
      </c>
      <c r="AR421" t="s">
        <v>6659</v>
      </c>
      <c r="AS421">
        <v>66</v>
      </c>
      <c r="AU421">
        <v>2005</v>
      </c>
      <c r="AV421" t="s">
        <v>109</v>
      </c>
      <c r="BC421" t="s">
        <v>113</v>
      </c>
      <c r="BD421" t="s">
        <v>6660</v>
      </c>
      <c r="BE421" t="s">
        <v>6661</v>
      </c>
      <c r="BF421" t="s">
        <v>6662</v>
      </c>
      <c r="BG421">
        <v>64</v>
      </c>
      <c r="BI421">
        <v>2008</v>
      </c>
      <c r="BJ421">
        <v>19</v>
      </c>
      <c r="BK421" t="s">
        <v>6616</v>
      </c>
      <c r="BL421">
        <v>33</v>
      </c>
      <c r="BN421" t="s">
        <v>113</v>
      </c>
      <c r="BO421" t="s">
        <v>6663</v>
      </c>
      <c r="BP421" t="s">
        <v>6664</v>
      </c>
      <c r="BQ421" t="s">
        <v>793</v>
      </c>
      <c r="BR421">
        <v>64</v>
      </c>
      <c r="BT421">
        <v>2011</v>
      </c>
      <c r="BU421">
        <v>31</v>
      </c>
      <c r="BV421" t="s">
        <v>339</v>
      </c>
      <c r="BW421">
        <v>33</v>
      </c>
      <c r="BY421" t="s">
        <v>113</v>
      </c>
      <c r="BZ421" t="s">
        <v>6665</v>
      </c>
      <c r="CA421" t="s">
        <v>6661</v>
      </c>
      <c r="CB421" t="s">
        <v>6666</v>
      </c>
      <c r="CC421">
        <v>85.2</v>
      </c>
      <c r="CE421">
        <v>2019</v>
      </c>
      <c r="CF421" t="s">
        <v>113</v>
      </c>
      <c r="CG421" t="s">
        <v>793</v>
      </c>
      <c r="CH421" t="s">
        <v>6665</v>
      </c>
      <c r="CI421" t="s">
        <v>132</v>
      </c>
      <c r="CJ421">
        <v>2023</v>
      </c>
      <c r="CL421" t="s">
        <v>109</v>
      </c>
      <c r="CN421" t="s">
        <v>113</v>
      </c>
      <c r="CO421" t="s">
        <v>6667</v>
      </c>
      <c r="CP421" t="s">
        <v>435</v>
      </c>
      <c r="CQ421" t="s">
        <v>6668</v>
      </c>
      <c r="CR421" t="s">
        <v>136</v>
      </c>
      <c r="CS421" t="str">
        <f>HYPERLINK("https://nconnect.nicmar.ac.in/pdf/591_resume_1771909183.pdf/Y2FyZWVy","View Resume")</f>
        <v>0</v>
      </c>
    </row>
    <row r="422" spans="1:97">
      <c r="A422" t="s">
        <v>846</v>
      </c>
      <c r="B422" t="s">
        <v>138</v>
      </c>
      <c r="C422" t="s">
        <v>165</v>
      </c>
      <c r="D422" t="s">
        <v>847</v>
      </c>
      <c r="E422" t="s">
        <v>6669</v>
      </c>
      <c r="F422" t="s">
        <v>6670</v>
      </c>
      <c r="G422">
        <v>8130778090</v>
      </c>
      <c r="H422" t="s">
        <v>169</v>
      </c>
      <c r="I422" t="s">
        <v>6671</v>
      </c>
      <c r="J422" t="s">
        <v>105</v>
      </c>
      <c r="K422" t="s">
        <v>484</v>
      </c>
      <c r="L422" t="s">
        <v>6672</v>
      </c>
      <c r="M422" t="s">
        <v>6673</v>
      </c>
      <c r="N422" t="s">
        <v>109</v>
      </c>
      <c r="AI422" t="s">
        <v>6674</v>
      </c>
      <c r="AJ422" t="s">
        <v>6675</v>
      </c>
      <c r="AK422" t="s">
        <v>6676</v>
      </c>
      <c r="AL422">
        <v>81.33</v>
      </c>
      <c r="AN422">
        <v>2004</v>
      </c>
      <c r="AO422" t="s">
        <v>113</v>
      </c>
      <c r="AP422" t="s">
        <v>6677</v>
      </c>
      <c r="AQ422" t="s">
        <v>6675</v>
      </c>
      <c r="AR422" t="s">
        <v>6678</v>
      </c>
      <c r="AS422">
        <v>83.38</v>
      </c>
      <c r="AU422">
        <v>2006</v>
      </c>
      <c r="AV422" t="s">
        <v>109</v>
      </c>
      <c r="BC422" t="s">
        <v>113</v>
      </c>
      <c r="BD422" t="s">
        <v>6679</v>
      </c>
      <c r="BE422" t="s">
        <v>6680</v>
      </c>
      <c r="BF422" t="s">
        <v>6681</v>
      </c>
      <c r="BG422">
        <v>67</v>
      </c>
      <c r="BI422">
        <v>2009</v>
      </c>
      <c r="BJ422">
        <v>19</v>
      </c>
      <c r="BK422" t="s">
        <v>1383</v>
      </c>
      <c r="BL422">
        <v>17</v>
      </c>
      <c r="BN422" t="s">
        <v>113</v>
      </c>
      <c r="BO422" t="s">
        <v>6682</v>
      </c>
      <c r="BP422" t="s">
        <v>6682</v>
      </c>
      <c r="BQ422" t="s">
        <v>1071</v>
      </c>
      <c r="BR422">
        <v>75</v>
      </c>
      <c r="BT422">
        <v>2011</v>
      </c>
      <c r="BU422">
        <v>31</v>
      </c>
      <c r="BV422" t="s">
        <v>5061</v>
      </c>
      <c r="BW422">
        <v>17</v>
      </c>
      <c r="BY422" t="s">
        <v>109</v>
      </c>
      <c r="CF422" t="s">
        <v>113</v>
      </c>
      <c r="CG422" t="s">
        <v>1071</v>
      </c>
      <c r="CH422" t="s">
        <v>6682</v>
      </c>
      <c r="CI422" t="s">
        <v>132</v>
      </c>
      <c r="CJ422">
        <v>2019</v>
      </c>
      <c r="CL422" t="s">
        <v>113</v>
      </c>
      <c r="CM422" t="s">
        <v>6683</v>
      </c>
      <c r="CN422" t="s">
        <v>113</v>
      </c>
      <c r="CO422" t="s">
        <v>6684</v>
      </c>
      <c r="CP422" t="s">
        <v>6685</v>
      </c>
      <c r="CQ422" t="s">
        <v>6686</v>
      </c>
      <c r="CR422" t="s">
        <v>136</v>
      </c>
      <c r="CS422" t="str">
        <f>HYPERLINK("https://nconnect.nicmar.ac.in/pdf/33_resume_1771909329.pdf/Y2FyZWVy","View Resume")</f>
        <v>0</v>
      </c>
    </row>
    <row r="423" spans="1:97">
      <c r="A423" t="s">
        <v>137</v>
      </c>
      <c r="B423" t="s">
        <v>138</v>
      </c>
      <c r="C423" t="s">
        <v>139</v>
      </c>
      <c r="D423" t="s">
        <v>140</v>
      </c>
      <c r="E423" t="s">
        <v>6687</v>
      </c>
      <c r="F423" t="s">
        <v>6688</v>
      </c>
      <c r="G423">
        <v>9713364501</v>
      </c>
      <c r="H423" t="s">
        <v>103</v>
      </c>
      <c r="I423" t="s">
        <v>6689</v>
      </c>
      <c r="J423" t="s">
        <v>105</v>
      </c>
      <c r="K423" t="s">
        <v>3355</v>
      </c>
      <c r="L423" t="s">
        <v>6690</v>
      </c>
      <c r="M423" t="s">
        <v>6691</v>
      </c>
      <c r="N423" t="s">
        <v>109</v>
      </c>
      <c r="AI423" t="s">
        <v>6692</v>
      </c>
      <c r="AJ423" t="s">
        <v>6693</v>
      </c>
      <c r="AK423" t="s">
        <v>2153</v>
      </c>
      <c r="AL423">
        <v>73.16</v>
      </c>
      <c r="AN423">
        <v>2009</v>
      </c>
      <c r="AO423" t="s">
        <v>113</v>
      </c>
      <c r="AP423" t="s">
        <v>6692</v>
      </c>
      <c r="AQ423" t="s">
        <v>6693</v>
      </c>
      <c r="AR423" t="s">
        <v>668</v>
      </c>
      <c r="AS423">
        <v>73.6</v>
      </c>
      <c r="AU423">
        <v>2011</v>
      </c>
      <c r="AV423" t="s">
        <v>109</v>
      </c>
      <c r="BC423" t="s">
        <v>113</v>
      </c>
      <c r="BD423" t="s">
        <v>6694</v>
      </c>
      <c r="BE423" t="s">
        <v>6695</v>
      </c>
      <c r="BF423" t="s">
        <v>156</v>
      </c>
      <c r="BG423">
        <v>71.8</v>
      </c>
      <c r="BI423">
        <v>2015</v>
      </c>
      <c r="BJ423">
        <v>2</v>
      </c>
      <c r="BL423">
        <v>9</v>
      </c>
      <c r="BN423" t="s">
        <v>113</v>
      </c>
      <c r="BO423" t="s">
        <v>6696</v>
      </c>
      <c r="BP423" t="s">
        <v>6697</v>
      </c>
      <c r="BQ423" t="s">
        <v>158</v>
      </c>
      <c r="BR423">
        <v>62.7</v>
      </c>
      <c r="BT423">
        <v>2017</v>
      </c>
      <c r="BU423">
        <v>14</v>
      </c>
      <c r="BW423">
        <v>7</v>
      </c>
      <c r="BY423" t="s">
        <v>109</v>
      </c>
      <c r="CF423" t="s">
        <v>113</v>
      </c>
      <c r="CG423" t="s">
        <v>156</v>
      </c>
      <c r="CH423" t="s">
        <v>6698</v>
      </c>
      <c r="CI423" t="s">
        <v>240</v>
      </c>
      <c r="CK423" t="s">
        <v>109</v>
      </c>
      <c r="CL423" t="s">
        <v>109</v>
      </c>
      <c r="CN423" t="s">
        <v>109</v>
      </c>
      <c r="CP423" t="s">
        <v>6699</v>
      </c>
      <c r="CQ423" t="s">
        <v>6700</v>
      </c>
      <c r="CR423" t="s">
        <v>136</v>
      </c>
      <c r="CS423" t="str">
        <f>HYPERLINK("https://nconnect.nicmar.ac.in/pdf/597_resume_1771911105.pdf/Y2FyZWVy","View Resume")</f>
        <v>0</v>
      </c>
    </row>
    <row r="424" spans="1:97">
      <c r="A424" t="s">
        <v>1116</v>
      </c>
      <c r="B424" t="s">
        <v>98</v>
      </c>
      <c r="C424" t="s">
        <v>99</v>
      </c>
      <c r="D424" t="s">
        <v>1117</v>
      </c>
      <c r="E424" t="s">
        <v>6636</v>
      </c>
      <c r="F424" t="s">
        <v>6637</v>
      </c>
      <c r="G424">
        <v>8087852785</v>
      </c>
      <c r="H424" t="s">
        <v>169</v>
      </c>
      <c r="I424" t="s">
        <v>6638</v>
      </c>
      <c r="J424" t="s">
        <v>105</v>
      </c>
      <c r="K424" t="s">
        <v>4752</v>
      </c>
      <c r="L424" t="s">
        <v>6639</v>
      </c>
      <c r="M424" t="s">
        <v>6640</v>
      </c>
      <c r="N424" t="s">
        <v>109</v>
      </c>
      <c r="AI424" t="s">
        <v>6641</v>
      </c>
      <c r="AJ424" t="s">
        <v>6642</v>
      </c>
      <c r="AK424" t="s">
        <v>6643</v>
      </c>
      <c r="AL424">
        <v>85.84</v>
      </c>
      <c r="AN424">
        <v>2007</v>
      </c>
      <c r="AO424" t="s">
        <v>113</v>
      </c>
      <c r="AP424" t="s">
        <v>6644</v>
      </c>
      <c r="AQ424" t="s">
        <v>6645</v>
      </c>
      <c r="AR424" t="s">
        <v>981</v>
      </c>
      <c r="AS424">
        <v>82.83</v>
      </c>
      <c r="AU424">
        <v>2009</v>
      </c>
      <c r="AV424" t="s">
        <v>109</v>
      </c>
      <c r="BC424" t="s">
        <v>113</v>
      </c>
      <c r="BD424" t="s">
        <v>1215</v>
      </c>
      <c r="BE424" t="s">
        <v>6646</v>
      </c>
      <c r="BF424" t="s">
        <v>6647</v>
      </c>
      <c r="BG424">
        <v>60.45</v>
      </c>
      <c r="BI424">
        <v>2014</v>
      </c>
      <c r="BJ424">
        <v>8</v>
      </c>
      <c r="BL424">
        <v>2</v>
      </c>
      <c r="BN424" t="s">
        <v>113</v>
      </c>
      <c r="BO424" t="s">
        <v>1132</v>
      </c>
      <c r="BP424" t="s">
        <v>6648</v>
      </c>
      <c r="BQ424" t="s">
        <v>3483</v>
      </c>
      <c r="BR424">
        <v>73.69</v>
      </c>
      <c r="BS424">
        <v>2.89</v>
      </c>
      <c r="BT424">
        <v>2019</v>
      </c>
      <c r="BU424">
        <v>31</v>
      </c>
      <c r="BV424" t="s">
        <v>6649</v>
      </c>
      <c r="BW424">
        <v>3</v>
      </c>
      <c r="BY424" t="s">
        <v>109</v>
      </c>
      <c r="CF424" t="s">
        <v>109</v>
      </c>
      <c r="CL424" t="s">
        <v>109</v>
      </c>
      <c r="CN424" t="s">
        <v>109</v>
      </c>
      <c r="CP424" t="s">
        <v>6650</v>
      </c>
      <c r="CQ424" t="s">
        <v>6701</v>
      </c>
      <c r="CR424" t="s">
        <v>136</v>
      </c>
      <c r="CS424" t="str">
        <f>HYPERLINK("https://nconnect.nicmar.ac.in/pdf/120_resume_1771577649.pdf/Y2FyZWVy","View Resume")</f>
        <v>0</v>
      </c>
    </row>
    <row r="425" spans="1:97">
      <c r="A425" t="s">
        <v>802</v>
      </c>
      <c r="B425" t="s">
        <v>138</v>
      </c>
      <c r="C425" t="s">
        <v>165</v>
      </c>
      <c r="D425" t="s">
        <v>803</v>
      </c>
      <c r="E425" t="s">
        <v>6702</v>
      </c>
      <c r="F425" t="s">
        <v>6703</v>
      </c>
      <c r="G425">
        <v>8087625020</v>
      </c>
      <c r="H425" t="s">
        <v>103</v>
      </c>
      <c r="I425" t="s">
        <v>6704</v>
      </c>
      <c r="J425" t="s">
        <v>105</v>
      </c>
      <c r="K425" t="s">
        <v>526</v>
      </c>
      <c r="L425" t="s">
        <v>6705</v>
      </c>
      <c r="M425" t="s">
        <v>6706</v>
      </c>
      <c r="N425" t="s">
        <v>109</v>
      </c>
      <c r="AI425" t="s">
        <v>6707</v>
      </c>
      <c r="AJ425" t="s">
        <v>1542</v>
      </c>
      <c r="AK425" t="s">
        <v>979</v>
      </c>
      <c r="AL425">
        <v>83</v>
      </c>
      <c r="AN425">
        <v>2004</v>
      </c>
      <c r="AO425" t="s">
        <v>113</v>
      </c>
      <c r="AP425" t="s">
        <v>6708</v>
      </c>
      <c r="AQ425" t="s">
        <v>1542</v>
      </c>
      <c r="AR425" t="s">
        <v>2758</v>
      </c>
      <c r="AS425">
        <v>68</v>
      </c>
      <c r="AU425">
        <v>2006</v>
      </c>
      <c r="AV425" t="s">
        <v>109</v>
      </c>
      <c r="BC425" t="s">
        <v>113</v>
      </c>
      <c r="BD425" t="s">
        <v>2744</v>
      </c>
      <c r="BE425" t="s">
        <v>6709</v>
      </c>
      <c r="BF425" t="s">
        <v>6710</v>
      </c>
      <c r="BG425">
        <v>62</v>
      </c>
      <c r="BI425">
        <v>2011</v>
      </c>
      <c r="BJ425">
        <v>19</v>
      </c>
      <c r="BK425" t="s">
        <v>6711</v>
      </c>
      <c r="BL425">
        <v>53</v>
      </c>
      <c r="BM425" t="s">
        <v>6710</v>
      </c>
      <c r="BN425" t="s">
        <v>113</v>
      </c>
      <c r="BO425" t="s">
        <v>2744</v>
      </c>
      <c r="BP425" t="s">
        <v>6712</v>
      </c>
      <c r="BQ425" t="s">
        <v>6713</v>
      </c>
      <c r="BR425">
        <v>68</v>
      </c>
      <c r="BT425">
        <v>2013</v>
      </c>
      <c r="BU425">
        <v>31</v>
      </c>
      <c r="BV425" t="s">
        <v>6714</v>
      </c>
      <c r="BW425">
        <v>53</v>
      </c>
      <c r="BX425" t="s">
        <v>6710</v>
      </c>
      <c r="BY425" t="s">
        <v>109</v>
      </c>
      <c r="CF425" t="s">
        <v>113</v>
      </c>
      <c r="CG425" t="s">
        <v>6710</v>
      </c>
      <c r="CH425" t="s">
        <v>6715</v>
      </c>
      <c r="CI425" t="s">
        <v>132</v>
      </c>
      <c r="CJ425">
        <v>2019</v>
      </c>
      <c r="CL425" t="s">
        <v>109</v>
      </c>
      <c r="CN425" t="s">
        <v>113</v>
      </c>
      <c r="CO425" t="s">
        <v>6716</v>
      </c>
      <c r="CP425" t="s">
        <v>460</v>
      </c>
      <c r="CQ425" t="s">
        <v>6717</v>
      </c>
      <c r="CR425" t="str">
        <f>HYPERLINK("https://nconnect.nicmar.ac.in/public/storage/profile/699d41d75e797.png","Download")</f>
        <v>0</v>
      </c>
      <c r="CS425" t="str">
        <f>HYPERLINK("https://nconnect.nicmar.ac.in/pdf/609_resume_1771916330.pdf/Y2FyZWVy","View Resume")</f>
        <v>0</v>
      </c>
    </row>
    <row r="426" spans="1:97">
      <c r="A426" t="s">
        <v>164</v>
      </c>
      <c r="B426" t="s">
        <v>138</v>
      </c>
      <c r="C426" t="s">
        <v>165</v>
      </c>
      <c r="D426" t="s">
        <v>166</v>
      </c>
      <c r="E426" t="s">
        <v>6718</v>
      </c>
      <c r="F426" t="s">
        <v>6719</v>
      </c>
      <c r="G426">
        <v>9163812130</v>
      </c>
      <c r="H426" t="s">
        <v>103</v>
      </c>
      <c r="I426" t="s">
        <v>6720</v>
      </c>
      <c r="J426" t="s">
        <v>144</v>
      </c>
      <c r="K426" t="s">
        <v>228</v>
      </c>
      <c r="L426" t="s">
        <v>6721</v>
      </c>
      <c r="M426" t="s">
        <v>6722</v>
      </c>
      <c r="N426" t="s">
        <v>109</v>
      </c>
      <c r="AI426" t="s">
        <v>6723</v>
      </c>
      <c r="AJ426" t="s">
        <v>736</v>
      </c>
      <c r="AK426" t="s">
        <v>6724</v>
      </c>
      <c r="AL426">
        <v>68.17</v>
      </c>
      <c r="AN426">
        <v>2002</v>
      </c>
      <c r="AO426" t="s">
        <v>113</v>
      </c>
      <c r="AP426" t="s">
        <v>6725</v>
      </c>
      <c r="AQ426" t="s">
        <v>1231</v>
      </c>
      <c r="AR426" t="s">
        <v>4663</v>
      </c>
      <c r="AS426">
        <v>60.0</v>
      </c>
      <c r="AU426">
        <v>2004</v>
      </c>
      <c r="AV426" t="s">
        <v>109</v>
      </c>
      <c r="BC426" t="s">
        <v>113</v>
      </c>
      <c r="BD426" t="s">
        <v>256</v>
      </c>
      <c r="BE426" t="s">
        <v>6726</v>
      </c>
      <c r="BF426" t="s">
        <v>6727</v>
      </c>
      <c r="BG426">
        <v>76.7</v>
      </c>
      <c r="BH426">
        <v>7.67</v>
      </c>
      <c r="BI426">
        <v>2008</v>
      </c>
      <c r="BJ426">
        <v>19</v>
      </c>
      <c r="BK426" t="s">
        <v>561</v>
      </c>
      <c r="BL426">
        <v>18</v>
      </c>
      <c r="BN426" t="s">
        <v>113</v>
      </c>
      <c r="BO426" t="s">
        <v>6728</v>
      </c>
      <c r="BP426" t="s">
        <v>6729</v>
      </c>
      <c r="BQ426" t="s">
        <v>6730</v>
      </c>
      <c r="BR426">
        <v>74.59</v>
      </c>
      <c r="BT426">
        <v>2024</v>
      </c>
      <c r="BU426">
        <v>31</v>
      </c>
      <c r="BV426" t="s">
        <v>6731</v>
      </c>
      <c r="BW426">
        <v>53</v>
      </c>
      <c r="BX426" t="s">
        <v>6730</v>
      </c>
      <c r="BY426" t="s">
        <v>109</v>
      </c>
      <c r="CF426" t="s">
        <v>109</v>
      </c>
      <c r="CL426" t="s">
        <v>113</v>
      </c>
      <c r="CM426" t="s">
        <v>6732</v>
      </c>
      <c r="CN426" t="s">
        <v>113</v>
      </c>
      <c r="CO426" t="s">
        <v>6732</v>
      </c>
      <c r="CP426" t="s">
        <v>6733</v>
      </c>
      <c r="CQ426" t="s">
        <v>6734</v>
      </c>
      <c r="CR426" t="s">
        <v>136</v>
      </c>
      <c r="CS426" t="str">
        <f>HYPERLINK("https://nconnect.nicmar.ac.in/pdf/608_resume_1771917035.pdf/Y2FyZWVy","View Resume")</f>
        <v>0</v>
      </c>
    </row>
    <row r="427" spans="1:97">
      <c r="A427" t="s">
        <v>501</v>
      </c>
      <c r="B427" t="s">
        <v>138</v>
      </c>
      <c r="C427" t="s">
        <v>165</v>
      </c>
      <c r="D427" t="s">
        <v>319</v>
      </c>
      <c r="E427" t="s">
        <v>6718</v>
      </c>
      <c r="F427" t="s">
        <v>6719</v>
      </c>
      <c r="G427">
        <v>9163812130</v>
      </c>
      <c r="H427" t="s">
        <v>103</v>
      </c>
      <c r="I427" t="s">
        <v>6720</v>
      </c>
      <c r="J427" t="s">
        <v>144</v>
      </c>
      <c r="K427" t="s">
        <v>228</v>
      </c>
      <c r="L427" t="s">
        <v>6721</v>
      </c>
      <c r="M427" t="s">
        <v>6722</v>
      </c>
      <c r="N427" t="s">
        <v>109</v>
      </c>
      <c r="AI427" t="s">
        <v>6723</v>
      </c>
      <c r="AJ427" t="s">
        <v>736</v>
      </c>
      <c r="AK427" t="s">
        <v>6724</v>
      </c>
      <c r="AL427">
        <v>68.17</v>
      </c>
      <c r="AN427">
        <v>2002</v>
      </c>
      <c r="AO427" t="s">
        <v>113</v>
      </c>
      <c r="AP427" t="s">
        <v>6725</v>
      </c>
      <c r="AQ427" t="s">
        <v>1231</v>
      </c>
      <c r="AR427" t="s">
        <v>4663</v>
      </c>
      <c r="AS427">
        <v>60.0</v>
      </c>
      <c r="AU427">
        <v>2004</v>
      </c>
      <c r="AV427" t="s">
        <v>109</v>
      </c>
      <c r="BC427" t="s">
        <v>113</v>
      </c>
      <c r="BD427" t="s">
        <v>256</v>
      </c>
      <c r="BE427" t="s">
        <v>6726</v>
      </c>
      <c r="BF427" t="s">
        <v>6727</v>
      </c>
      <c r="BG427">
        <v>76.7</v>
      </c>
      <c r="BH427">
        <v>7.67</v>
      </c>
      <c r="BI427">
        <v>2008</v>
      </c>
      <c r="BJ427">
        <v>19</v>
      </c>
      <c r="BK427" t="s">
        <v>561</v>
      </c>
      <c r="BL427">
        <v>18</v>
      </c>
      <c r="BN427" t="s">
        <v>113</v>
      </c>
      <c r="BO427" t="s">
        <v>6728</v>
      </c>
      <c r="BP427" t="s">
        <v>6729</v>
      </c>
      <c r="BQ427" t="s">
        <v>6730</v>
      </c>
      <c r="BR427">
        <v>74.59</v>
      </c>
      <c r="BT427">
        <v>2024</v>
      </c>
      <c r="BU427">
        <v>31</v>
      </c>
      <c r="BV427" t="s">
        <v>6731</v>
      </c>
      <c r="BW427">
        <v>53</v>
      </c>
      <c r="BX427" t="s">
        <v>6730</v>
      </c>
      <c r="BY427" t="s">
        <v>109</v>
      </c>
      <c r="CF427" t="s">
        <v>109</v>
      </c>
      <c r="CL427" t="s">
        <v>113</v>
      </c>
      <c r="CM427" t="s">
        <v>6732</v>
      </c>
      <c r="CN427" t="s">
        <v>113</v>
      </c>
      <c r="CO427" t="s">
        <v>6732</v>
      </c>
      <c r="CP427" t="s">
        <v>6733</v>
      </c>
      <c r="CQ427" t="s">
        <v>6735</v>
      </c>
      <c r="CR427" t="s">
        <v>136</v>
      </c>
      <c r="CS427" t="str">
        <f>HYPERLINK("https://nconnect.nicmar.ac.in/pdf/608_resume_1771917035.pdf/Y2FyZWVy","View Resume")</f>
        <v>0</v>
      </c>
    </row>
    <row r="428" spans="1:97">
      <c r="A428" t="s">
        <v>372</v>
      </c>
      <c r="B428" t="s">
        <v>98</v>
      </c>
      <c r="C428" t="s">
        <v>165</v>
      </c>
      <c r="D428" t="s">
        <v>224</v>
      </c>
      <c r="E428" t="s">
        <v>6718</v>
      </c>
      <c r="F428" t="s">
        <v>6719</v>
      </c>
      <c r="G428">
        <v>9163812130</v>
      </c>
      <c r="H428" t="s">
        <v>103</v>
      </c>
      <c r="I428" t="s">
        <v>6720</v>
      </c>
      <c r="J428" t="s">
        <v>144</v>
      </c>
      <c r="K428" t="s">
        <v>228</v>
      </c>
      <c r="L428" t="s">
        <v>6721</v>
      </c>
      <c r="M428" t="s">
        <v>6722</v>
      </c>
      <c r="N428" t="s">
        <v>109</v>
      </c>
      <c r="AI428" t="s">
        <v>6723</v>
      </c>
      <c r="AJ428" t="s">
        <v>736</v>
      </c>
      <c r="AK428" t="s">
        <v>6724</v>
      </c>
      <c r="AL428">
        <v>68.17</v>
      </c>
      <c r="AN428">
        <v>2002</v>
      </c>
      <c r="AO428" t="s">
        <v>113</v>
      </c>
      <c r="AP428" t="s">
        <v>6725</v>
      </c>
      <c r="AQ428" t="s">
        <v>1231</v>
      </c>
      <c r="AR428" t="s">
        <v>4663</v>
      </c>
      <c r="AS428">
        <v>60.0</v>
      </c>
      <c r="AU428">
        <v>2004</v>
      </c>
      <c r="AV428" t="s">
        <v>109</v>
      </c>
      <c r="BC428" t="s">
        <v>113</v>
      </c>
      <c r="BD428" t="s">
        <v>256</v>
      </c>
      <c r="BE428" t="s">
        <v>6726</v>
      </c>
      <c r="BF428" t="s">
        <v>6727</v>
      </c>
      <c r="BG428">
        <v>76.7</v>
      </c>
      <c r="BH428">
        <v>7.67</v>
      </c>
      <c r="BI428">
        <v>2008</v>
      </c>
      <c r="BJ428">
        <v>19</v>
      </c>
      <c r="BK428" t="s">
        <v>561</v>
      </c>
      <c r="BL428">
        <v>18</v>
      </c>
      <c r="BN428" t="s">
        <v>113</v>
      </c>
      <c r="BO428" t="s">
        <v>6728</v>
      </c>
      <c r="BP428" t="s">
        <v>6729</v>
      </c>
      <c r="BQ428" t="s">
        <v>6730</v>
      </c>
      <c r="BR428">
        <v>74.59</v>
      </c>
      <c r="BT428">
        <v>2024</v>
      </c>
      <c r="BU428">
        <v>31</v>
      </c>
      <c r="BV428" t="s">
        <v>6731</v>
      </c>
      <c r="BW428">
        <v>53</v>
      </c>
      <c r="BX428" t="s">
        <v>6730</v>
      </c>
      <c r="BY428" t="s">
        <v>109</v>
      </c>
      <c r="CF428" t="s">
        <v>109</v>
      </c>
      <c r="CL428" t="s">
        <v>113</v>
      </c>
      <c r="CM428" t="s">
        <v>6732</v>
      </c>
      <c r="CN428" t="s">
        <v>113</v>
      </c>
      <c r="CO428" t="s">
        <v>6732</v>
      </c>
      <c r="CP428" t="s">
        <v>6733</v>
      </c>
      <c r="CQ428" t="s">
        <v>6736</v>
      </c>
      <c r="CR428" t="s">
        <v>136</v>
      </c>
      <c r="CS428" t="str">
        <f>HYPERLINK("https://nconnect.nicmar.ac.in/pdf/608_resume_1771917035.pdf/Y2FyZWVy","View Resume")</f>
        <v>0</v>
      </c>
    </row>
    <row r="429" spans="1:97">
      <c r="A429" t="s">
        <v>137</v>
      </c>
      <c r="B429" t="s">
        <v>138</v>
      </c>
      <c r="C429" t="s">
        <v>139</v>
      </c>
      <c r="D429" t="s">
        <v>140</v>
      </c>
      <c r="E429" t="s">
        <v>6737</v>
      </c>
      <c r="F429" t="s">
        <v>6738</v>
      </c>
      <c r="G429">
        <v>9816202165</v>
      </c>
      <c r="H429" t="s">
        <v>103</v>
      </c>
      <c r="I429" t="s">
        <v>4109</v>
      </c>
      <c r="J429" t="s">
        <v>105</v>
      </c>
      <c r="K429" t="s">
        <v>228</v>
      </c>
      <c r="L429" t="s">
        <v>6739</v>
      </c>
      <c r="M429" t="s">
        <v>6740</v>
      </c>
      <c r="N429" t="s">
        <v>109</v>
      </c>
      <c r="AI429" t="s">
        <v>6741</v>
      </c>
      <c r="AJ429" t="s">
        <v>6742</v>
      </c>
      <c r="AK429" t="s">
        <v>6743</v>
      </c>
      <c r="AL429">
        <v>87</v>
      </c>
      <c r="AN429">
        <v>2007</v>
      </c>
      <c r="AO429" t="s">
        <v>113</v>
      </c>
      <c r="AP429" t="s">
        <v>6744</v>
      </c>
      <c r="AQ429" t="s">
        <v>6742</v>
      </c>
      <c r="AR429" t="s">
        <v>4837</v>
      </c>
      <c r="AS429">
        <v>81.4</v>
      </c>
      <c r="AU429">
        <v>2009</v>
      </c>
      <c r="AV429" t="s">
        <v>109</v>
      </c>
      <c r="BC429" t="s">
        <v>113</v>
      </c>
      <c r="BD429" t="s">
        <v>6745</v>
      </c>
      <c r="BE429" t="s">
        <v>6746</v>
      </c>
      <c r="BF429" t="s">
        <v>6747</v>
      </c>
      <c r="BG429">
        <v>70.3</v>
      </c>
      <c r="BI429">
        <v>2013</v>
      </c>
      <c r="BJ429">
        <v>1</v>
      </c>
      <c r="BL429">
        <v>9</v>
      </c>
      <c r="BN429" t="s">
        <v>113</v>
      </c>
      <c r="BO429" t="s">
        <v>6748</v>
      </c>
      <c r="BP429" t="s">
        <v>6749</v>
      </c>
      <c r="BQ429" t="s">
        <v>6750</v>
      </c>
      <c r="BR429">
        <v>79.3</v>
      </c>
      <c r="BT429">
        <v>2016</v>
      </c>
      <c r="BU429">
        <v>31</v>
      </c>
      <c r="BW429">
        <v>9</v>
      </c>
      <c r="BY429" t="s">
        <v>109</v>
      </c>
      <c r="CF429" t="s">
        <v>113</v>
      </c>
      <c r="CG429" t="s">
        <v>6751</v>
      </c>
      <c r="CH429" t="s">
        <v>6752</v>
      </c>
      <c r="CI429" t="s">
        <v>132</v>
      </c>
      <c r="CJ429">
        <v>2022</v>
      </c>
      <c r="CL429" t="s">
        <v>109</v>
      </c>
      <c r="CN429" t="s">
        <v>113</v>
      </c>
      <c r="CO429" t="s">
        <v>6753</v>
      </c>
      <c r="CP429" t="s">
        <v>6754</v>
      </c>
      <c r="CQ429" t="s">
        <v>6755</v>
      </c>
      <c r="CR429" t="str">
        <f>HYPERLINK("https://nconnect.nicmar.ac.in/public/storage/profile/699d406a287d3.png","Download")</f>
        <v>0</v>
      </c>
      <c r="CS429" t="str">
        <f>HYPERLINK("https://nconnect.nicmar.ac.in/pdf/607_resume_1771917379.pdf/Y2FyZWVy","View Resume")</f>
        <v>0</v>
      </c>
    </row>
    <row r="430" spans="1:97">
      <c r="A430" t="s">
        <v>137</v>
      </c>
      <c r="B430" t="s">
        <v>138</v>
      </c>
      <c r="C430" t="s">
        <v>139</v>
      </c>
      <c r="D430" t="s">
        <v>140</v>
      </c>
      <c r="E430" t="s">
        <v>6756</v>
      </c>
      <c r="F430" t="s">
        <v>6757</v>
      </c>
      <c r="G430">
        <v>9724217748</v>
      </c>
      <c r="H430" t="s">
        <v>103</v>
      </c>
      <c r="I430" t="s">
        <v>6758</v>
      </c>
      <c r="J430" t="s">
        <v>105</v>
      </c>
      <c r="K430" t="s">
        <v>6759</v>
      </c>
      <c r="L430" t="s">
        <v>6760</v>
      </c>
      <c r="M430" t="s">
        <v>6761</v>
      </c>
      <c r="N430" t="s">
        <v>109</v>
      </c>
      <c r="AI430" t="s">
        <v>6762</v>
      </c>
      <c r="AJ430" t="s">
        <v>6763</v>
      </c>
      <c r="AK430" t="s">
        <v>6764</v>
      </c>
      <c r="AL430">
        <v>83.08</v>
      </c>
      <c r="AN430">
        <v>2007</v>
      </c>
      <c r="AO430" t="s">
        <v>113</v>
      </c>
      <c r="AP430" t="s">
        <v>6762</v>
      </c>
      <c r="AQ430" t="s">
        <v>6765</v>
      </c>
      <c r="AR430" t="s">
        <v>6766</v>
      </c>
      <c r="AS430">
        <v>67.67</v>
      </c>
      <c r="AU430">
        <v>2009</v>
      </c>
      <c r="AV430" t="s">
        <v>109</v>
      </c>
      <c r="BC430" t="s">
        <v>113</v>
      </c>
      <c r="BD430" t="s">
        <v>6767</v>
      </c>
      <c r="BE430" t="s">
        <v>6768</v>
      </c>
      <c r="BF430" t="s">
        <v>6769</v>
      </c>
      <c r="BG430">
        <v>70.4</v>
      </c>
      <c r="BH430">
        <v>7.54</v>
      </c>
      <c r="BI430">
        <v>2013</v>
      </c>
      <c r="BJ430">
        <v>2</v>
      </c>
      <c r="BL430">
        <v>47</v>
      </c>
      <c r="BN430" t="s">
        <v>113</v>
      </c>
      <c r="BO430" t="s">
        <v>6767</v>
      </c>
      <c r="BP430" t="s">
        <v>6770</v>
      </c>
      <c r="BQ430" t="s">
        <v>6769</v>
      </c>
      <c r="BR430">
        <v>80.7</v>
      </c>
      <c r="BS430">
        <v>8.57</v>
      </c>
      <c r="BT430">
        <v>2016</v>
      </c>
      <c r="BU430">
        <v>14</v>
      </c>
      <c r="BW430">
        <v>47</v>
      </c>
      <c r="BY430" t="s">
        <v>109</v>
      </c>
      <c r="CF430" t="s">
        <v>113</v>
      </c>
      <c r="CG430" t="s">
        <v>6771</v>
      </c>
      <c r="CH430" t="s">
        <v>6772</v>
      </c>
      <c r="CI430" t="s">
        <v>132</v>
      </c>
      <c r="CJ430">
        <v>2026</v>
      </c>
      <c r="CL430" t="s">
        <v>109</v>
      </c>
      <c r="CN430" t="s">
        <v>113</v>
      </c>
      <c r="CO430" t="s">
        <v>6773</v>
      </c>
      <c r="CP430" t="s">
        <v>6774</v>
      </c>
      <c r="CQ430" t="s">
        <v>6775</v>
      </c>
      <c r="CR430" t="s">
        <v>136</v>
      </c>
      <c r="CS430" t="str">
        <f>HYPERLINK("https://nconnect.nicmar.ac.in/pdf/539_resume_1771918260.pdf/Y2FyZWVy","View Resume")</f>
        <v>0</v>
      </c>
    </row>
    <row r="431" spans="1:97">
      <c r="A431" t="s">
        <v>223</v>
      </c>
      <c r="B431" t="s">
        <v>138</v>
      </c>
      <c r="C431" t="s">
        <v>165</v>
      </c>
      <c r="D431" t="s">
        <v>224</v>
      </c>
      <c r="E431" t="s">
        <v>6776</v>
      </c>
      <c r="F431" t="s">
        <v>6777</v>
      </c>
      <c r="G431">
        <v>9923009677</v>
      </c>
      <c r="H431" t="s">
        <v>169</v>
      </c>
      <c r="I431" t="s">
        <v>6778</v>
      </c>
      <c r="J431" t="s">
        <v>105</v>
      </c>
      <c r="K431" t="s">
        <v>2854</v>
      </c>
      <c r="L431" t="s">
        <v>6779</v>
      </c>
      <c r="M431" t="s">
        <v>6780</v>
      </c>
      <c r="N431" t="s">
        <v>109</v>
      </c>
      <c r="O431" t="s">
        <v>6781</v>
      </c>
      <c r="AI431" t="s">
        <v>6782</v>
      </c>
      <c r="AJ431" t="s">
        <v>352</v>
      </c>
      <c r="AK431" t="s">
        <v>6783</v>
      </c>
      <c r="AL431">
        <v>78.13</v>
      </c>
      <c r="AN431">
        <v>1998</v>
      </c>
      <c r="AO431" t="s">
        <v>113</v>
      </c>
      <c r="AP431" t="s">
        <v>6784</v>
      </c>
      <c r="AQ431" t="s">
        <v>352</v>
      </c>
      <c r="AR431" t="s">
        <v>739</v>
      </c>
      <c r="AS431">
        <v>69.5</v>
      </c>
      <c r="AU431">
        <v>2000</v>
      </c>
      <c r="AV431" t="s">
        <v>109</v>
      </c>
      <c r="BC431" t="s">
        <v>113</v>
      </c>
      <c r="BD431" t="s">
        <v>6785</v>
      </c>
      <c r="BE431" t="s">
        <v>6786</v>
      </c>
      <c r="BF431" t="s">
        <v>1866</v>
      </c>
      <c r="BG431">
        <v>66.25</v>
      </c>
      <c r="BI431">
        <v>2003</v>
      </c>
      <c r="BJ431">
        <v>19</v>
      </c>
      <c r="BK431" t="s">
        <v>647</v>
      </c>
      <c r="BL431">
        <v>54</v>
      </c>
      <c r="BN431" t="s">
        <v>113</v>
      </c>
      <c r="BO431" t="s">
        <v>279</v>
      </c>
      <c r="BP431" t="s">
        <v>6787</v>
      </c>
      <c r="BQ431" t="s">
        <v>263</v>
      </c>
      <c r="BR431">
        <v>73.07</v>
      </c>
      <c r="BT431">
        <v>2020</v>
      </c>
      <c r="BU431">
        <v>31</v>
      </c>
      <c r="BV431" t="s">
        <v>339</v>
      </c>
      <c r="BW431">
        <v>53</v>
      </c>
      <c r="BX431" t="s">
        <v>263</v>
      </c>
      <c r="BY431" t="s">
        <v>113</v>
      </c>
      <c r="BZ431" t="s">
        <v>124</v>
      </c>
      <c r="CA431" t="s">
        <v>6788</v>
      </c>
      <c r="CB431" t="s">
        <v>6789</v>
      </c>
      <c r="CC431">
        <v>64.43</v>
      </c>
      <c r="CE431">
        <v>2011</v>
      </c>
      <c r="CF431" t="s">
        <v>113</v>
      </c>
      <c r="CG431" t="s">
        <v>263</v>
      </c>
      <c r="CH431" t="s">
        <v>6790</v>
      </c>
      <c r="CI431" t="s">
        <v>240</v>
      </c>
      <c r="CK431" t="s">
        <v>109</v>
      </c>
      <c r="CL431" t="s">
        <v>113</v>
      </c>
      <c r="CM431" t="s">
        <v>6791</v>
      </c>
      <c r="CN431" t="s">
        <v>113</v>
      </c>
      <c r="CO431" t="s">
        <v>6792</v>
      </c>
      <c r="CP431" t="s">
        <v>6793</v>
      </c>
      <c r="CQ431" t="s">
        <v>6794</v>
      </c>
      <c r="CR431" t="str">
        <f>HYPERLINK("https://nconnect.nicmar.ac.in/public/storage/profile/699d4331002e1.png","Download")</f>
        <v>0</v>
      </c>
      <c r="CS431" t="str">
        <f>HYPERLINK("https://nconnect.nicmar.ac.in/pdf/299_resume_1771920102.pdf/Y2FyZWVy","View Resume")</f>
        <v>0</v>
      </c>
    </row>
    <row r="432" spans="1:97">
      <c r="A432" t="s">
        <v>223</v>
      </c>
      <c r="B432" t="s">
        <v>138</v>
      </c>
      <c r="C432" t="s">
        <v>165</v>
      </c>
      <c r="D432" t="s">
        <v>224</v>
      </c>
      <c r="E432" t="s">
        <v>6795</v>
      </c>
      <c r="F432" t="s">
        <v>6796</v>
      </c>
      <c r="G432">
        <v>9372960229</v>
      </c>
      <c r="H432" t="s">
        <v>169</v>
      </c>
      <c r="I432" t="s">
        <v>6797</v>
      </c>
      <c r="J432" t="s">
        <v>105</v>
      </c>
      <c r="K432" t="s">
        <v>634</v>
      </c>
      <c r="L432" t="s">
        <v>6798</v>
      </c>
      <c r="M432" t="s">
        <v>6799</v>
      </c>
      <c r="N432" t="s">
        <v>109</v>
      </c>
      <c r="AI432" t="s">
        <v>6800</v>
      </c>
      <c r="AJ432" t="s">
        <v>6801</v>
      </c>
      <c r="AK432" t="s">
        <v>6802</v>
      </c>
      <c r="AL432">
        <v>63.62</v>
      </c>
      <c r="AN432">
        <v>1997</v>
      </c>
      <c r="AO432" t="s">
        <v>113</v>
      </c>
      <c r="AP432" t="s">
        <v>6803</v>
      </c>
      <c r="AQ432" t="s">
        <v>6804</v>
      </c>
      <c r="AR432" t="s">
        <v>6805</v>
      </c>
      <c r="AS432">
        <v>72.5</v>
      </c>
      <c r="AU432">
        <v>1999</v>
      </c>
      <c r="AV432" t="s">
        <v>109</v>
      </c>
      <c r="BC432" t="s">
        <v>113</v>
      </c>
      <c r="BD432" t="s">
        <v>2215</v>
      </c>
      <c r="BE432" t="s">
        <v>6806</v>
      </c>
      <c r="BF432" t="s">
        <v>6807</v>
      </c>
      <c r="BG432">
        <v>51</v>
      </c>
      <c r="BI432">
        <v>2002</v>
      </c>
      <c r="BJ432">
        <v>19</v>
      </c>
      <c r="BK432" t="s">
        <v>428</v>
      </c>
      <c r="BL432">
        <v>27</v>
      </c>
      <c r="BN432" t="s">
        <v>113</v>
      </c>
      <c r="BO432" t="s">
        <v>6808</v>
      </c>
      <c r="BP432" t="s">
        <v>6809</v>
      </c>
      <c r="BQ432" t="s">
        <v>6810</v>
      </c>
      <c r="BR432">
        <v>86.28</v>
      </c>
      <c r="BS432">
        <v>9.06</v>
      </c>
      <c r="BT432">
        <v>2021</v>
      </c>
      <c r="BU432">
        <v>31</v>
      </c>
      <c r="BV432" t="s">
        <v>6811</v>
      </c>
      <c r="BW432">
        <v>24</v>
      </c>
      <c r="BY432" t="s">
        <v>113</v>
      </c>
      <c r="BZ432" t="s">
        <v>6812</v>
      </c>
      <c r="CA432" t="s">
        <v>6813</v>
      </c>
      <c r="CB432" t="s">
        <v>6814</v>
      </c>
      <c r="CC432">
        <v>82.15</v>
      </c>
      <c r="CE432">
        <v>2008</v>
      </c>
      <c r="CF432" t="s">
        <v>113</v>
      </c>
      <c r="CG432" t="s">
        <v>6815</v>
      </c>
      <c r="CH432" t="s">
        <v>6816</v>
      </c>
      <c r="CI432" t="s">
        <v>240</v>
      </c>
      <c r="CK432" t="s">
        <v>113</v>
      </c>
      <c r="CL432" t="s">
        <v>113</v>
      </c>
      <c r="CN432" t="s">
        <v>113</v>
      </c>
      <c r="CO432" t="s">
        <v>6817</v>
      </c>
      <c r="CP432" t="s">
        <v>1821</v>
      </c>
      <c r="CQ432" t="s">
        <v>6818</v>
      </c>
      <c r="CR432" t="str">
        <f>HYPERLINK("https://nconnect.nicmar.ac.in/public/storage/profile/699733f617461.png","Download")</f>
        <v>0</v>
      </c>
      <c r="CS432" t="str">
        <f>HYPERLINK("https://nconnect.nicmar.ac.in/pdf/374_resume_1771921966.pdf/Y2FyZWVy","View Resume")</f>
        <v>0</v>
      </c>
    </row>
    <row r="433" spans="1:97">
      <c r="A433" t="s">
        <v>1116</v>
      </c>
      <c r="B433" t="s">
        <v>98</v>
      </c>
      <c r="C433" t="s">
        <v>99</v>
      </c>
      <c r="D433" t="s">
        <v>1117</v>
      </c>
      <c r="E433" t="s">
        <v>6819</v>
      </c>
      <c r="F433" t="s">
        <v>6820</v>
      </c>
      <c r="G433">
        <v>7978209548</v>
      </c>
      <c r="H433" t="s">
        <v>169</v>
      </c>
      <c r="I433" t="s">
        <v>6821</v>
      </c>
      <c r="J433" t="s">
        <v>105</v>
      </c>
      <c r="K433" t="s">
        <v>6822</v>
      </c>
      <c r="L433" t="s">
        <v>6823</v>
      </c>
      <c r="M433" t="s">
        <v>6824</v>
      </c>
      <c r="N433" t="s">
        <v>109</v>
      </c>
      <c r="AI433" t="s">
        <v>6825</v>
      </c>
      <c r="AJ433" t="s">
        <v>6826</v>
      </c>
      <c r="AK433" t="s">
        <v>6827</v>
      </c>
      <c r="AL433">
        <v>93</v>
      </c>
      <c r="AN433">
        <v>2009</v>
      </c>
      <c r="AO433" t="s">
        <v>113</v>
      </c>
      <c r="AP433" t="s">
        <v>6828</v>
      </c>
      <c r="AQ433" t="s">
        <v>6826</v>
      </c>
      <c r="AR433" t="s">
        <v>6829</v>
      </c>
      <c r="AS433">
        <v>63</v>
      </c>
      <c r="AU433">
        <v>2011</v>
      </c>
      <c r="AV433" t="s">
        <v>109</v>
      </c>
      <c r="BC433" t="s">
        <v>113</v>
      </c>
      <c r="BD433" t="s">
        <v>6830</v>
      </c>
      <c r="BE433" t="s">
        <v>4400</v>
      </c>
      <c r="BF433" t="s">
        <v>6831</v>
      </c>
      <c r="BG433">
        <v>65.8</v>
      </c>
      <c r="BH433">
        <v>7.08</v>
      </c>
      <c r="BI433">
        <v>2009</v>
      </c>
      <c r="BJ433">
        <v>8</v>
      </c>
      <c r="BL433">
        <v>2</v>
      </c>
      <c r="BN433" t="s">
        <v>113</v>
      </c>
      <c r="BO433" t="s">
        <v>6832</v>
      </c>
      <c r="BP433" t="s">
        <v>6833</v>
      </c>
      <c r="BQ433" t="s">
        <v>6834</v>
      </c>
      <c r="BR433">
        <v>73.1</v>
      </c>
      <c r="BS433">
        <v>7.31</v>
      </c>
      <c r="BT433">
        <v>2011</v>
      </c>
      <c r="BU433">
        <v>26</v>
      </c>
      <c r="BW433">
        <v>48</v>
      </c>
      <c r="BY433" t="s">
        <v>109</v>
      </c>
      <c r="CF433" t="s">
        <v>109</v>
      </c>
      <c r="CJ433">
        <v>2017</v>
      </c>
      <c r="CL433" t="s">
        <v>113</v>
      </c>
      <c r="CM433" t="s">
        <v>6835</v>
      </c>
      <c r="CN433" t="s">
        <v>113</v>
      </c>
      <c r="CO433" t="s">
        <v>6836</v>
      </c>
      <c r="CP433" t="s">
        <v>6837</v>
      </c>
      <c r="CQ433" t="s">
        <v>6838</v>
      </c>
      <c r="CR433" t="str">
        <f>HYPERLINK("https://nconnect.nicmar.ac.in/public/storage/profile/699d31ccbaf29.png","Download")</f>
        <v>0</v>
      </c>
      <c r="CS433" t="str">
        <f>HYPERLINK("https://nconnect.nicmar.ac.in/pdf/600_resume_1771923748.pdf/Y2FyZWVy","View Resume")</f>
        <v>0</v>
      </c>
    </row>
    <row r="434" spans="1:97">
      <c r="A434" t="s">
        <v>190</v>
      </c>
      <c r="B434" t="s">
        <v>138</v>
      </c>
      <c r="C434" t="s">
        <v>139</v>
      </c>
      <c r="D434" t="s">
        <v>191</v>
      </c>
      <c r="E434" t="s">
        <v>6839</v>
      </c>
      <c r="F434" t="s">
        <v>6840</v>
      </c>
      <c r="G434">
        <v>9021513921</v>
      </c>
      <c r="H434" t="s">
        <v>169</v>
      </c>
      <c r="I434" t="s">
        <v>6841</v>
      </c>
      <c r="J434" t="s">
        <v>105</v>
      </c>
      <c r="K434" t="s">
        <v>6842</v>
      </c>
      <c r="L434" t="s">
        <v>6843</v>
      </c>
      <c r="M434" t="s">
        <v>6844</v>
      </c>
      <c r="N434" t="s">
        <v>109</v>
      </c>
      <c r="AI434" t="s">
        <v>6845</v>
      </c>
      <c r="AJ434" t="s">
        <v>6846</v>
      </c>
      <c r="AK434" t="s">
        <v>6847</v>
      </c>
      <c r="AL434">
        <v>94.2</v>
      </c>
      <c r="AN434">
        <v>2017</v>
      </c>
      <c r="AO434" t="s">
        <v>113</v>
      </c>
      <c r="AP434" t="s">
        <v>6848</v>
      </c>
      <c r="AQ434" t="s">
        <v>6846</v>
      </c>
      <c r="AR434" t="s">
        <v>6849</v>
      </c>
      <c r="AS434">
        <v>73.54</v>
      </c>
      <c r="AU434">
        <v>2019</v>
      </c>
      <c r="AV434" t="s">
        <v>109</v>
      </c>
      <c r="BC434" t="s">
        <v>113</v>
      </c>
      <c r="BD434" t="s">
        <v>3292</v>
      </c>
      <c r="BE434" t="s">
        <v>6850</v>
      </c>
      <c r="BF434" t="s">
        <v>2198</v>
      </c>
      <c r="BG434">
        <v>92.95</v>
      </c>
      <c r="BH434">
        <v>9.68</v>
      </c>
      <c r="BI434">
        <v>2022</v>
      </c>
      <c r="BJ434">
        <v>19</v>
      </c>
      <c r="BK434" t="s">
        <v>282</v>
      </c>
      <c r="BL434">
        <v>53</v>
      </c>
      <c r="BM434" t="s">
        <v>2198</v>
      </c>
      <c r="BN434" t="s">
        <v>113</v>
      </c>
      <c r="BO434" t="s">
        <v>3292</v>
      </c>
      <c r="BP434" t="s">
        <v>6850</v>
      </c>
      <c r="BQ434" t="s">
        <v>2198</v>
      </c>
      <c r="BR434">
        <v>78.55</v>
      </c>
      <c r="BS434">
        <v>8.8</v>
      </c>
      <c r="BT434">
        <v>2024</v>
      </c>
      <c r="BU434">
        <v>31</v>
      </c>
      <c r="BV434" t="s">
        <v>285</v>
      </c>
      <c r="BW434">
        <v>53</v>
      </c>
      <c r="BX434" t="s">
        <v>2198</v>
      </c>
      <c r="BY434" t="s">
        <v>109</v>
      </c>
      <c r="CF434" t="s">
        <v>109</v>
      </c>
      <c r="CG434" t="s">
        <v>342</v>
      </c>
      <c r="CH434" t="s">
        <v>342</v>
      </c>
      <c r="CL434" t="s">
        <v>113</v>
      </c>
      <c r="CM434" t="s">
        <v>6851</v>
      </c>
      <c r="CN434" t="s">
        <v>113</v>
      </c>
      <c r="CO434" t="s">
        <v>6852</v>
      </c>
      <c r="CP434" t="s">
        <v>6853</v>
      </c>
      <c r="CQ434" t="s">
        <v>6854</v>
      </c>
      <c r="CR434" t="s">
        <v>136</v>
      </c>
      <c r="CS434" t="str">
        <f>HYPERLINK("https://nconnect.nicmar.ac.in/pdf/618_resume_1771925450.pdf/Y2FyZWVy","View Resume")</f>
        <v>0</v>
      </c>
    </row>
    <row r="435" spans="1:97">
      <c r="A435" t="s">
        <v>846</v>
      </c>
      <c r="B435" t="s">
        <v>138</v>
      </c>
      <c r="C435" t="s">
        <v>165</v>
      </c>
      <c r="D435" t="s">
        <v>847</v>
      </c>
      <c r="E435" t="s">
        <v>6855</v>
      </c>
      <c r="F435" t="s">
        <v>6856</v>
      </c>
      <c r="G435">
        <v>9352185026</v>
      </c>
      <c r="H435" t="s">
        <v>169</v>
      </c>
      <c r="I435" t="s">
        <v>6857</v>
      </c>
      <c r="J435" t="s">
        <v>105</v>
      </c>
      <c r="K435" t="s">
        <v>6858</v>
      </c>
      <c r="L435" t="s">
        <v>6859</v>
      </c>
      <c r="M435" t="s">
        <v>6860</v>
      </c>
      <c r="N435" t="s">
        <v>109</v>
      </c>
      <c r="AI435" t="s">
        <v>6861</v>
      </c>
      <c r="AJ435" t="s">
        <v>6862</v>
      </c>
      <c r="AK435" t="s">
        <v>6863</v>
      </c>
      <c r="AL435">
        <v>84</v>
      </c>
      <c r="AM435">
        <v>8.8</v>
      </c>
      <c r="AN435">
        <v>2011</v>
      </c>
      <c r="AO435" t="s">
        <v>113</v>
      </c>
      <c r="AP435" t="s">
        <v>6861</v>
      </c>
      <c r="AQ435" t="s">
        <v>6862</v>
      </c>
      <c r="AR435" t="s">
        <v>6864</v>
      </c>
      <c r="AS435">
        <v>70</v>
      </c>
      <c r="AU435">
        <v>2013</v>
      </c>
      <c r="AV435" t="s">
        <v>109</v>
      </c>
      <c r="BC435" t="s">
        <v>113</v>
      </c>
      <c r="BD435" t="s">
        <v>6865</v>
      </c>
      <c r="BE435" t="s">
        <v>6866</v>
      </c>
      <c r="BF435" t="s">
        <v>6867</v>
      </c>
      <c r="BG435">
        <v>65</v>
      </c>
      <c r="BI435">
        <v>2016</v>
      </c>
      <c r="BJ435">
        <v>19</v>
      </c>
      <c r="BK435" t="s">
        <v>6868</v>
      </c>
      <c r="BL435">
        <v>53</v>
      </c>
      <c r="BM435" t="s">
        <v>6869</v>
      </c>
      <c r="BN435" t="s">
        <v>113</v>
      </c>
      <c r="BO435" t="s">
        <v>6865</v>
      </c>
      <c r="BP435" t="s">
        <v>6866</v>
      </c>
      <c r="BQ435" t="s">
        <v>3080</v>
      </c>
      <c r="BR435">
        <v>65</v>
      </c>
      <c r="BT435">
        <v>2018</v>
      </c>
      <c r="BU435">
        <v>31</v>
      </c>
      <c r="BV435" t="s">
        <v>6870</v>
      </c>
      <c r="BW435">
        <v>53</v>
      </c>
      <c r="BX435" t="s">
        <v>3080</v>
      </c>
      <c r="BY435" t="s">
        <v>109</v>
      </c>
      <c r="CF435" t="s">
        <v>113</v>
      </c>
      <c r="CG435" t="s">
        <v>6871</v>
      </c>
      <c r="CH435" t="s">
        <v>6872</v>
      </c>
      <c r="CI435" t="s">
        <v>132</v>
      </c>
      <c r="CJ435">
        <v>2023</v>
      </c>
      <c r="CL435" t="s">
        <v>109</v>
      </c>
      <c r="CN435" t="s">
        <v>113</v>
      </c>
      <c r="CO435" t="s">
        <v>6873</v>
      </c>
      <c r="CP435" t="s">
        <v>435</v>
      </c>
      <c r="CQ435" t="s">
        <v>6874</v>
      </c>
      <c r="CR435" t="s">
        <v>136</v>
      </c>
      <c r="CS435" t="str">
        <f>HYPERLINK("https://nconnect.nicmar.ac.in/pdf/585_resume_1771925348.pdf/Y2FyZWVy","View Resume")</f>
        <v>0</v>
      </c>
    </row>
    <row r="436" spans="1:97">
      <c r="A436" t="s">
        <v>656</v>
      </c>
      <c r="B436" t="s">
        <v>318</v>
      </c>
      <c r="C436" t="s">
        <v>139</v>
      </c>
      <c r="D436" t="s">
        <v>140</v>
      </c>
      <c r="E436" t="s">
        <v>6875</v>
      </c>
      <c r="F436" t="s">
        <v>6876</v>
      </c>
      <c r="G436">
        <v>9428479689</v>
      </c>
      <c r="H436" t="s">
        <v>103</v>
      </c>
      <c r="I436" t="s">
        <v>6877</v>
      </c>
      <c r="J436" t="s">
        <v>105</v>
      </c>
      <c r="K436" t="s">
        <v>6878</v>
      </c>
      <c r="L436" t="s">
        <v>6879</v>
      </c>
      <c r="M436" t="s">
        <v>6880</v>
      </c>
      <c r="N436" t="s">
        <v>109</v>
      </c>
      <c r="AI436" t="s">
        <v>6881</v>
      </c>
      <c r="AJ436" t="s">
        <v>6882</v>
      </c>
      <c r="AK436" t="s">
        <v>6883</v>
      </c>
      <c r="AL436">
        <v>69.29</v>
      </c>
      <c r="AN436">
        <v>2005</v>
      </c>
      <c r="AO436" t="s">
        <v>113</v>
      </c>
      <c r="AP436" t="s">
        <v>6884</v>
      </c>
      <c r="AQ436" t="s">
        <v>6882</v>
      </c>
      <c r="AR436" t="s">
        <v>6885</v>
      </c>
      <c r="AS436">
        <v>56.6</v>
      </c>
      <c r="AU436">
        <v>2007</v>
      </c>
      <c r="AV436" t="s">
        <v>109</v>
      </c>
      <c r="BC436" t="s">
        <v>113</v>
      </c>
      <c r="BD436" t="s">
        <v>6886</v>
      </c>
      <c r="BE436" t="s">
        <v>6887</v>
      </c>
      <c r="BF436" t="s">
        <v>6888</v>
      </c>
      <c r="BG436">
        <v>56.6</v>
      </c>
      <c r="BI436">
        <v>2012</v>
      </c>
      <c r="BJ436">
        <v>2</v>
      </c>
      <c r="BL436">
        <v>9</v>
      </c>
      <c r="BN436" t="s">
        <v>113</v>
      </c>
      <c r="BO436" t="s">
        <v>6767</v>
      </c>
      <c r="BP436" t="s">
        <v>6889</v>
      </c>
      <c r="BQ436" t="s">
        <v>6888</v>
      </c>
      <c r="BR436">
        <v>86</v>
      </c>
      <c r="BT436">
        <v>2014</v>
      </c>
      <c r="BU436">
        <v>14</v>
      </c>
      <c r="BW436">
        <v>47</v>
      </c>
      <c r="BY436" t="s">
        <v>109</v>
      </c>
      <c r="CF436" t="s">
        <v>113</v>
      </c>
      <c r="CG436" t="s">
        <v>6890</v>
      </c>
      <c r="CH436" t="s">
        <v>4055</v>
      </c>
      <c r="CI436" t="s">
        <v>132</v>
      </c>
      <c r="CJ436">
        <v>2021</v>
      </c>
      <c r="CL436" t="s">
        <v>109</v>
      </c>
      <c r="CN436" t="s">
        <v>109</v>
      </c>
      <c r="CP436" t="s">
        <v>6891</v>
      </c>
      <c r="CQ436" t="s">
        <v>6874</v>
      </c>
      <c r="CR436" t="s">
        <v>136</v>
      </c>
      <c r="CS436" t="str">
        <f>HYPERLINK("https://nconnect.nicmar.ac.in/pdf/617_resume_1771925733.pdf/Y2FyZWVy","View Resume")</f>
        <v>0</v>
      </c>
    </row>
    <row r="437" spans="1:97">
      <c r="A437" t="s">
        <v>137</v>
      </c>
      <c r="B437" t="s">
        <v>138</v>
      </c>
      <c r="C437" t="s">
        <v>139</v>
      </c>
      <c r="D437" t="s">
        <v>140</v>
      </c>
      <c r="E437" t="s">
        <v>6892</v>
      </c>
      <c r="F437" t="s">
        <v>6893</v>
      </c>
      <c r="G437">
        <v>9166252500</v>
      </c>
      <c r="H437" t="s">
        <v>103</v>
      </c>
      <c r="I437" t="s">
        <v>6894</v>
      </c>
      <c r="J437" t="s">
        <v>105</v>
      </c>
      <c r="K437" t="s">
        <v>505</v>
      </c>
      <c r="L437" t="s">
        <v>6895</v>
      </c>
      <c r="M437" t="s">
        <v>6896</v>
      </c>
      <c r="N437" t="s">
        <v>109</v>
      </c>
      <c r="AI437" t="s">
        <v>6897</v>
      </c>
      <c r="AJ437" t="s">
        <v>6898</v>
      </c>
      <c r="AK437" t="s">
        <v>6899</v>
      </c>
      <c r="AL437">
        <v>68.6</v>
      </c>
      <c r="AN437">
        <v>2008</v>
      </c>
      <c r="AO437" t="s">
        <v>113</v>
      </c>
      <c r="AP437" t="s">
        <v>6900</v>
      </c>
      <c r="AQ437" t="s">
        <v>6901</v>
      </c>
      <c r="AR437" t="s">
        <v>6902</v>
      </c>
      <c r="AS437">
        <v>63.2</v>
      </c>
      <c r="AU437">
        <v>2010</v>
      </c>
      <c r="AV437" t="s">
        <v>109</v>
      </c>
      <c r="BC437" t="s">
        <v>113</v>
      </c>
      <c r="BD437" t="s">
        <v>6903</v>
      </c>
      <c r="BE437" t="s">
        <v>6904</v>
      </c>
      <c r="BF437" t="s">
        <v>309</v>
      </c>
      <c r="BG437">
        <v>69.26</v>
      </c>
      <c r="BI437">
        <v>2014</v>
      </c>
      <c r="BJ437">
        <v>1</v>
      </c>
      <c r="BL437">
        <v>9</v>
      </c>
      <c r="BN437" t="s">
        <v>113</v>
      </c>
      <c r="BO437" t="s">
        <v>3957</v>
      </c>
      <c r="BP437" t="s">
        <v>6905</v>
      </c>
      <c r="BQ437" t="s">
        <v>140</v>
      </c>
      <c r="BR437">
        <v>84.6</v>
      </c>
      <c r="BS437">
        <v>8.46</v>
      </c>
      <c r="BT437">
        <v>2018</v>
      </c>
      <c r="BU437">
        <v>14</v>
      </c>
      <c r="BW437">
        <v>47</v>
      </c>
      <c r="BY437" t="s">
        <v>109</v>
      </c>
      <c r="CF437" t="s">
        <v>113</v>
      </c>
      <c r="CG437" t="s">
        <v>6906</v>
      </c>
      <c r="CH437" t="s">
        <v>6907</v>
      </c>
      <c r="CI437" t="s">
        <v>132</v>
      </c>
      <c r="CJ437">
        <v>2025</v>
      </c>
      <c r="CL437" t="s">
        <v>109</v>
      </c>
      <c r="CN437" t="s">
        <v>109</v>
      </c>
      <c r="CP437" t="s">
        <v>6908</v>
      </c>
      <c r="CQ437" t="s">
        <v>6909</v>
      </c>
      <c r="CR437" t="str">
        <f>HYPERLINK("https://nconnect.nicmar.ac.in/public/storage/profile/699d67298789d.png","Download")</f>
        <v>0</v>
      </c>
      <c r="CS437" t="str">
        <f>HYPERLINK("https://nconnect.nicmar.ac.in/pdf/621_resume_1771925842.pdf/Y2FyZWVy","View Resume")</f>
        <v>0</v>
      </c>
    </row>
    <row r="438" spans="1:97">
      <c r="A438" t="s">
        <v>223</v>
      </c>
      <c r="B438" t="s">
        <v>138</v>
      </c>
      <c r="C438" t="s">
        <v>165</v>
      </c>
      <c r="D438" t="s">
        <v>224</v>
      </c>
      <c r="E438" t="s">
        <v>6910</v>
      </c>
      <c r="F438" t="s">
        <v>6911</v>
      </c>
      <c r="G438">
        <v>9373716752</v>
      </c>
      <c r="H438" t="s">
        <v>169</v>
      </c>
      <c r="I438" t="s">
        <v>6912</v>
      </c>
      <c r="J438" t="s">
        <v>105</v>
      </c>
      <c r="K438" t="s">
        <v>272</v>
      </c>
      <c r="L438" t="s">
        <v>6913</v>
      </c>
      <c r="M438" t="s">
        <v>6914</v>
      </c>
      <c r="N438" t="s">
        <v>109</v>
      </c>
      <c r="AI438" t="s">
        <v>6915</v>
      </c>
      <c r="AJ438" t="s">
        <v>6916</v>
      </c>
      <c r="AK438" t="s">
        <v>6917</v>
      </c>
      <c r="AL438">
        <v>63</v>
      </c>
      <c r="AN438">
        <v>1995</v>
      </c>
      <c r="AO438" t="s">
        <v>113</v>
      </c>
      <c r="AP438" t="s">
        <v>6918</v>
      </c>
      <c r="AQ438" t="s">
        <v>6919</v>
      </c>
      <c r="AR438" t="s">
        <v>6920</v>
      </c>
      <c r="AS438">
        <v>38</v>
      </c>
      <c r="AU438">
        <v>1997</v>
      </c>
      <c r="AV438" t="s">
        <v>109</v>
      </c>
      <c r="BC438" t="s">
        <v>113</v>
      </c>
      <c r="BD438" t="s">
        <v>2583</v>
      </c>
      <c r="BE438" t="s">
        <v>6921</v>
      </c>
      <c r="BF438" t="s">
        <v>6922</v>
      </c>
      <c r="BG438">
        <v>50</v>
      </c>
      <c r="BI438">
        <v>2001</v>
      </c>
      <c r="BJ438">
        <v>19</v>
      </c>
      <c r="BK438" t="s">
        <v>624</v>
      </c>
      <c r="BL438">
        <v>53</v>
      </c>
      <c r="BM438" t="s">
        <v>2002</v>
      </c>
      <c r="BN438" t="s">
        <v>113</v>
      </c>
      <c r="BO438" t="s">
        <v>6923</v>
      </c>
      <c r="BP438" t="s">
        <v>6924</v>
      </c>
      <c r="BQ438" t="s">
        <v>1686</v>
      </c>
      <c r="BR438">
        <v>63</v>
      </c>
      <c r="BT438">
        <v>2005</v>
      </c>
      <c r="BU438">
        <v>31</v>
      </c>
      <c r="BV438" t="s">
        <v>339</v>
      </c>
      <c r="BW438">
        <v>53</v>
      </c>
      <c r="BX438" t="s">
        <v>1686</v>
      </c>
      <c r="BY438" t="s">
        <v>113</v>
      </c>
      <c r="BZ438" t="s">
        <v>6925</v>
      </c>
      <c r="CA438" t="s">
        <v>6926</v>
      </c>
      <c r="CB438" t="s">
        <v>6927</v>
      </c>
      <c r="CC438">
        <v>64</v>
      </c>
      <c r="CE438">
        <v>2006</v>
      </c>
      <c r="CF438" t="s">
        <v>113</v>
      </c>
      <c r="CG438" t="s">
        <v>1686</v>
      </c>
      <c r="CH438" t="s">
        <v>2583</v>
      </c>
      <c r="CI438" t="s">
        <v>132</v>
      </c>
      <c r="CJ438">
        <v>2013</v>
      </c>
      <c r="CL438" t="s">
        <v>113</v>
      </c>
      <c r="CM438" t="s">
        <v>6928</v>
      </c>
      <c r="CN438" t="s">
        <v>113</v>
      </c>
      <c r="CO438" t="s">
        <v>6929</v>
      </c>
      <c r="CP438" t="s">
        <v>6930</v>
      </c>
      <c r="CQ438" t="s">
        <v>6931</v>
      </c>
      <c r="CR438" t="str">
        <f>HYPERLINK("https://nconnect.nicmar.ac.in/public/storage/profile/699d4f91471f3.png","Download")</f>
        <v>0</v>
      </c>
      <c r="CS438" t="str">
        <f>HYPERLINK("https://nconnect.nicmar.ac.in/pdf/614_resume_1771926620.pdf/Y2FyZWVy","View Resume")</f>
        <v>0</v>
      </c>
    </row>
    <row r="439" spans="1:97">
      <c r="A439" t="s">
        <v>501</v>
      </c>
      <c r="B439" t="s">
        <v>138</v>
      </c>
      <c r="C439" t="s">
        <v>165</v>
      </c>
      <c r="D439" t="s">
        <v>319</v>
      </c>
      <c r="E439" t="s">
        <v>6932</v>
      </c>
      <c r="F439" t="s">
        <v>6933</v>
      </c>
      <c r="G439">
        <v>8111868102</v>
      </c>
      <c r="H439" t="s">
        <v>103</v>
      </c>
      <c r="I439" t="s">
        <v>6934</v>
      </c>
      <c r="J439" t="s">
        <v>105</v>
      </c>
      <c r="K439" t="s">
        <v>145</v>
      </c>
      <c r="L439" t="s">
        <v>6935</v>
      </c>
      <c r="M439" t="s">
        <v>6936</v>
      </c>
      <c r="N439" t="s">
        <v>109</v>
      </c>
      <c r="AI439" t="s">
        <v>6937</v>
      </c>
      <c r="AJ439" t="s">
        <v>6938</v>
      </c>
      <c r="AK439" t="s">
        <v>6939</v>
      </c>
      <c r="AL439">
        <v>62</v>
      </c>
      <c r="AN439">
        <v>2000</v>
      </c>
      <c r="AO439" t="s">
        <v>113</v>
      </c>
      <c r="AP439" t="s">
        <v>6940</v>
      </c>
      <c r="AQ439" t="s">
        <v>6938</v>
      </c>
      <c r="AR439" t="s">
        <v>6941</v>
      </c>
      <c r="AS439">
        <v>68</v>
      </c>
      <c r="AU439">
        <v>2002</v>
      </c>
      <c r="AV439" t="s">
        <v>109</v>
      </c>
      <c r="BC439" t="s">
        <v>113</v>
      </c>
      <c r="BD439" t="s">
        <v>6942</v>
      </c>
      <c r="BE439" t="s">
        <v>6943</v>
      </c>
      <c r="BF439" t="s">
        <v>6944</v>
      </c>
      <c r="BG439">
        <v>71</v>
      </c>
      <c r="BI439">
        <v>2005</v>
      </c>
      <c r="BJ439">
        <v>19</v>
      </c>
      <c r="BK439" t="s">
        <v>1237</v>
      </c>
      <c r="BL439">
        <v>23</v>
      </c>
      <c r="BN439" t="s">
        <v>113</v>
      </c>
      <c r="BO439" t="s">
        <v>6942</v>
      </c>
      <c r="BP439" t="s">
        <v>6945</v>
      </c>
      <c r="BQ439" t="s">
        <v>6946</v>
      </c>
      <c r="BR439">
        <v>67</v>
      </c>
      <c r="BT439">
        <v>2008</v>
      </c>
      <c r="BU439">
        <v>31</v>
      </c>
      <c r="BV439" t="s">
        <v>987</v>
      </c>
      <c r="BW439">
        <v>23</v>
      </c>
      <c r="BY439" t="s">
        <v>113</v>
      </c>
      <c r="BZ439" t="s">
        <v>6947</v>
      </c>
      <c r="CA439" t="s">
        <v>6947</v>
      </c>
      <c r="CB439" t="s">
        <v>6948</v>
      </c>
      <c r="CC439">
        <v>45</v>
      </c>
      <c r="CE439">
        <v>2006</v>
      </c>
      <c r="CF439" t="s">
        <v>113</v>
      </c>
      <c r="CG439" t="s">
        <v>6949</v>
      </c>
      <c r="CH439" t="s">
        <v>6950</v>
      </c>
      <c r="CI439" t="s">
        <v>132</v>
      </c>
      <c r="CJ439">
        <v>2024</v>
      </c>
      <c r="CL439" t="s">
        <v>113</v>
      </c>
      <c r="CM439" t="s">
        <v>6951</v>
      </c>
      <c r="CN439" t="s">
        <v>109</v>
      </c>
      <c r="CP439" t="s">
        <v>4226</v>
      </c>
      <c r="CQ439" t="s">
        <v>6952</v>
      </c>
      <c r="CR439" t="s">
        <v>136</v>
      </c>
      <c r="CS439" t="str">
        <f>HYPERLINK("https://nconnect.nicmar.ac.in/pdf/602_resume_1771926728.pdf/Y2FyZWVy","View Resume")</f>
        <v>0</v>
      </c>
    </row>
    <row r="440" spans="1:97">
      <c r="A440" t="s">
        <v>223</v>
      </c>
      <c r="B440" t="s">
        <v>138</v>
      </c>
      <c r="C440" t="s">
        <v>165</v>
      </c>
      <c r="D440" t="s">
        <v>224</v>
      </c>
      <c r="E440" t="s">
        <v>6953</v>
      </c>
      <c r="F440" t="s">
        <v>6954</v>
      </c>
      <c r="G440">
        <v>9922954775</v>
      </c>
      <c r="H440" t="s">
        <v>169</v>
      </c>
      <c r="I440" t="s">
        <v>6955</v>
      </c>
      <c r="J440" t="s">
        <v>105</v>
      </c>
      <c r="K440" t="s">
        <v>228</v>
      </c>
      <c r="L440" t="s">
        <v>6956</v>
      </c>
      <c r="M440" t="s">
        <v>6957</v>
      </c>
      <c r="N440" t="s">
        <v>109</v>
      </c>
      <c r="AI440" t="s">
        <v>6958</v>
      </c>
      <c r="AJ440" t="s">
        <v>6959</v>
      </c>
      <c r="AK440" t="s">
        <v>6960</v>
      </c>
      <c r="AL440">
        <v>69.73</v>
      </c>
      <c r="AN440">
        <v>2003</v>
      </c>
      <c r="AO440" t="s">
        <v>113</v>
      </c>
      <c r="AP440" t="s">
        <v>6961</v>
      </c>
      <c r="AQ440" t="s">
        <v>6959</v>
      </c>
      <c r="AR440" t="s">
        <v>6962</v>
      </c>
      <c r="AS440">
        <v>64.83</v>
      </c>
      <c r="AU440">
        <v>2005</v>
      </c>
      <c r="AV440" t="s">
        <v>113</v>
      </c>
      <c r="AW440" t="s">
        <v>6963</v>
      </c>
      <c r="AX440" t="s">
        <v>6964</v>
      </c>
      <c r="AY440" t="s">
        <v>1686</v>
      </c>
      <c r="AZ440">
        <v>69.12</v>
      </c>
      <c r="BB440">
        <v>2014</v>
      </c>
      <c r="BC440" t="s">
        <v>113</v>
      </c>
      <c r="BD440" t="s">
        <v>624</v>
      </c>
      <c r="BE440" t="s">
        <v>6961</v>
      </c>
      <c r="BF440" t="s">
        <v>3758</v>
      </c>
      <c r="BG440">
        <v>68.4</v>
      </c>
      <c r="BI440">
        <v>2008</v>
      </c>
      <c r="BJ440">
        <v>19</v>
      </c>
      <c r="BK440" t="s">
        <v>624</v>
      </c>
      <c r="BL440">
        <v>53</v>
      </c>
      <c r="BM440" t="s">
        <v>3758</v>
      </c>
      <c r="BN440" t="s">
        <v>113</v>
      </c>
      <c r="BO440" t="s">
        <v>1215</v>
      </c>
      <c r="BP440" t="s">
        <v>6964</v>
      </c>
      <c r="BQ440" t="s">
        <v>1686</v>
      </c>
      <c r="BR440">
        <v>65.7</v>
      </c>
      <c r="BT440">
        <v>2015</v>
      </c>
      <c r="BU440">
        <v>31</v>
      </c>
      <c r="BV440" t="s">
        <v>4692</v>
      </c>
      <c r="BW440">
        <v>53</v>
      </c>
      <c r="BX440" t="s">
        <v>1686</v>
      </c>
      <c r="BY440" t="s">
        <v>113</v>
      </c>
      <c r="BZ440" t="s">
        <v>6965</v>
      </c>
      <c r="CA440" t="s">
        <v>6965</v>
      </c>
      <c r="CB440" t="s">
        <v>6966</v>
      </c>
      <c r="CC440">
        <v>70.0</v>
      </c>
      <c r="CE440">
        <v>2011</v>
      </c>
      <c r="CF440" t="s">
        <v>113</v>
      </c>
      <c r="CG440" t="s">
        <v>1686</v>
      </c>
      <c r="CH440" t="s">
        <v>1215</v>
      </c>
      <c r="CI440" t="s">
        <v>132</v>
      </c>
      <c r="CJ440">
        <v>2024</v>
      </c>
      <c r="CL440" t="s">
        <v>113</v>
      </c>
      <c r="CM440" t="s">
        <v>6967</v>
      </c>
      <c r="CN440" t="s">
        <v>109</v>
      </c>
      <c r="CP440" t="s">
        <v>6968</v>
      </c>
      <c r="CQ440" t="s">
        <v>6969</v>
      </c>
      <c r="CR440" t="str">
        <f>HYPERLINK("https://nconnect.nicmar.ac.in/public/storage/profile/699d7cce0f9bf.png","Download")</f>
        <v>0</v>
      </c>
      <c r="CS440" t="str">
        <f>HYPERLINK("https://nconnect.nicmar.ac.in/pdf/560_resume_1771928642.pdf/Y2FyZWVy","View Resume")</f>
        <v>0</v>
      </c>
    </row>
    <row r="441" spans="1:97">
      <c r="A441" t="s">
        <v>137</v>
      </c>
      <c r="B441" t="s">
        <v>138</v>
      </c>
      <c r="C441" t="s">
        <v>139</v>
      </c>
      <c r="D441" t="s">
        <v>140</v>
      </c>
      <c r="E441" t="s">
        <v>6970</v>
      </c>
      <c r="F441" t="s">
        <v>6971</v>
      </c>
      <c r="G441">
        <v>9113543277</v>
      </c>
      <c r="H441" t="s">
        <v>103</v>
      </c>
      <c r="I441" t="s">
        <v>6972</v>
      </c>
      <c r="J441" t="s">
        <v>105</v>
      </c>
      <c r="K441" t="s">
        <v>423</v>
      </c>
      <c r="L441" t="s">
        <v>6973</v>
      </c>
      <c r="M441" t="s">
        <v>6974</v>
      </c>
      <c r="N441" t="s">
        <v>109</v>
      </c>
      <c r="AI441" t="s">
        <v>6975</v>
      </c>
      <c r="AJ441" t="s">
        <v>3130</v>
      </c>
      <c r="AK441" t="s">
        <v>6976</v>
      </c>
      <c r="AL441">
        <v>50</v>
      </c>
      <c r="AM441">
        <v>10</v>
      </c>
      <c r="AN441">
        <v>1998</v>
      </c>
      <c r="AO441" t="s">
        <v>113</v>
      </c>
      <c r="AP441" t="s">
        <v>6977</v>
      </c>
      <c r="AQ441" t="s">
        <v>3130</v>
      </c>
      <c r="AR441" t="s">
        <v>6978</v>
      </c>
      <c r="AS441">
        <v>55</v>
      </c>
      <c r="AT441">
        <v>10</v>
      </c>
      <c r="AU441">
        <v>2000</v>
      </c>
      <c r="AV441" t="s">
        <v>109</v>
      </c>
      <c r="BC441" t="s">
        <v>113</v>
      </c>
      <c r="BD441" t="s">
        <v>5017</v>
      </c>
      <c r="BE441" t="s">
        <v>6979</v>
      </c>
      <c r="BF441" t="s">
        <v>309</v>
      </c>
      <c r="BG441">
        <v>56</v>
      </c>
      <c r="BH441">
        <v>5.6</v>
      </c>
      <c r="BI441">
        <v>2010</v>
      </c>
      <c r="BJ441">
        <v>2</v>
      </c>
      <c r="BL441">
        <v>7</v>
      </c>
      <c r="BN441" t="s">
        <v>113</v>
      </c>
      <c r="BO441" t="s">
        <v>5017</v>
      </c>
      <c r="BP441" t="s">
        <v>6980</v>
      </c>
      <c r="BQ441" t="s">
        <v>6769</v>
      </c>
      <c r="BR441">
        <v>66</v>
      </c>
      <c r="BS441">
        <v>7</v>
      </c>
      <c r="BT441">
        <v>2016</v>
      </c>
      <c r="BU441">
        <v>14</v>
      </c>
      <c r="BW441">
        <v>7</v>
      </c>
      <c r="BY441" t="s">
        <v>109</v>
      </c>
      <c r="CF441" t="s">
        <v>109</v>
      </c>
      <c r="CL441" t="s">
        <v>109</v>
      </c>
      <c r="CN441" t="s">
        <v>109</v>
      </c>
      <c r="CP441" t="s">
        <v>970</v>
      </c>
      <c r="CQ441" t="s">
        <v>6981</v>
      </c>
      <c r="CR441" t="s">
        <v>136</v>
      </c>
      <c r="CS441" t="str">
        <f>HYPERLINK("https://nconnect.nicmar.ac.in/pdf/625_resume_1771928720.pdf/Y2FyZWVy","View Resume")</f>
        <v>0</v>
      </c>
    </row>
    <row r="442" spans="1:97">
      <c r="A442" t="s">
        <v>846</v>
      </c>
      <c r="B442" t="s">
        <v>138</v>
      </c>
      <c r="C442" t="s">
        <v>165</v>
      </c>
      <c r="D442" t="s">
        <v>847</v>
      </c>
      <c r="E442" t="s">
        <v>6982</v>
      </c>
      <c r="F442" t="s">
        <v>6983</v>
      </c>
      <c r="G442">
        <v>9077150664</v>
      </c>
      <c r="H442" t="s">
        <v>169</v>
      </c>
      <c r="I442" t="s">
        <v>6984</v>
      </c>
      <c r="J442" t="s">
        <v>144</v>
      </c>
      <c r="K442" t="s">
        <v>6985</v>
      </c>
      <c r="L442" t="s">
        <v>6986</v>
      </c>
      <c r="M442" t="s">
        <v>6987</v>
      </c>
      <c r="N442" t="s">
        <v>109</v>
      </c>
      <c r="AI442" t="s">
        <v>6988</v>
      </c>
      <c r="AJ442" t="s">
        <v>6989</v>
      </c>
      <c r="AK442" t="s">
        <v>6990</v>
      </c>
      <c r="AL442">
        <v>57</v>
      </c>
      <c r="AN442">
        <v>2005</v>
      </c>
      <c r="AO442" t="s">
        <v>113</v>
      </c>
      <c r="AP442" t="s">
        <v>6991</v>
      </c>
      <c r="AQ442" t="s">
        <v>6989</v>
      </c>
      <c r="AR442" t="s">
        <v>6992</v>
      </c>
      <c r="AS442">
        <v>51</v>
      </c>
      <c r="AU442">
        <v>2007</v>
      </c>
      <c r="AV442" t="s">
        <v>109</v>
      </c>
      <c r="BC442" t="s">
        <v>113</v>
      </c>
      <c r="BD442" t="s">
        <v>6993</v>
      </c>
      <c r="BE442" t="s">
        <v>6994</v>
      </c>
      <c r="BF442" t="s">
        <v>6995</v>
      </c>
      <c r="BG442">
        <v>50</v>
      </c>
      <c r="BI442">
        <v>2010</v>
      </c>
      <c r="BJ442">
        <v>19</v>
      </c>
      <c r="BL442">
        <v>53</v>
      </c>
      <c r="BN442" t="s">
        <v>113</v>
      </c>
      <c r="BO442" t="s">
        <v>279</v>
      </c>
      <c r="BP442" t="s">
        <v>6996</v>
      </c>
      <c r="BQ442" t="s">
        <v>777</v>
      </c>
      <c r="BR442">
        <v>59</v>
      </c>
      <c r="BT442">
        <v>2012</v>
      </c>
      <c r="BU442">
        <v>31</v>
      </c>
      <c r="BW442">
        <v>53</v>
      </c>
      <c r="BY442" t="s">
        <v>113</v>
      </c>
      <c r="BZ442" t="s">
        <v>5383</v>
      </c>
      <c r="CA442" t="s">
        <v>6997</v>
      </c>
      <c r="CB442" t="s">
        <v>6998</v>
      </c>
      <c r="CC442">
        <v>66</v>
      </c>
      <c r="CE442">
        <v>2014</v>
      </c>
      <c r="CF442" t="s">
        <v>113</v>
      </c>
      <c r="CG442" t="s">
        <v>5805</v>
      </c>
      <c r="CH442" t="s">
        <v>1945</v>
      </c>
      <c r="CI442" t="s">
        <v>132</v>
      </c>
      <c r="CJ442">
        <v>2025</v>
      </c>
      <c r="CL442" t="s">
        <v>113</v>
      </c>
      <c r="CM442" t="s">
        <v>6999</v>
      </c>
      <c r="CN442" t="s">
        <v>113</v>
      </c>
      <c r="CO442" t="s">
        <v>7000</v>
      </c>
      <c r="CP442" t="s">
        <v>7001</v>
      </c>
      <c r="CQ442" t="s">
        <v>7002</v>
      </c>
      <c r="CR442" t="str">
        <f>HYPERLINK("https://nconnect.nicmar.ac.in/public/storage/profile/699d8ab8375ea.png","Download")</f>
        <v>0</v>
      </c>
      <c r="CS442" t="str">
        <f>HYPERLINK("https://nconnect.nicmar.ac.in/pdf/626_resume_1771932589.pdf/Y2FyZWVy","View Resume")</f>
        <v>0</v>
      </c>
    </row>
    <row r="443" spans="1:97">
      <c r="A443" t="s">
        <v>164</v>
      </c>
      <c r="B443" t="s">
        <v>138</v>
      </c>
      <c r="C443" t="s">
        <v>165</v>
      </c>
      <c r="D443" t="s">
        <v>166</v>
      </c>
      <c r="E443" t="s">
        <v>7003</v>
      </c>
      <c r="F443" t="s">
        <v>7004</v>
      </c>
      <c r="G443">
        <v>9766694337</v>
      </c>
      <c r="H443" t="s">
        <v>103</v>
      </c>
      <c r="I443" t="s">
        <v>7005</v>
      </c>
      <c r="J443" t="s">
        <v>904</v>
      </c>
      <c r="K443" t="s">
        <v>2797</v>
      </c>
      <c r="L443" t="s">
        <v>7006</v>
      </c>
      <c r="M443" t="s">
        <v>7007</v>
      </c>
      <c r="N443" t="s">
        <v>109</v>
      </c>
      <c r="AI443" t="s">
        <v>7008</v>
      </c>
      <c r="AJ443" t="s">
        <v>619</v>
      </c>
      <c r="AK443" t="s">
        <v>7009</v>
      </c>
      <c r="AL443">
        <v>78.93</v>
      </c>
      <c r="AN443">
        <v>2005</v>
      </c>
      <c r="AO443" t="s">
        <v>113</v>
      </c>
      <c r="AP443" t="s">
        <v>7010</v>
      </c>
      <c r="AQ443" t="s">
        <v>619</v>
      </c>
      <c r="AR443" t="s">
        <v>1425</v>
      </c>
      <c r="AS443">
        <v>78.67</v>
      </c>
      <c r="AU443">
        <v>2007</v>
      </c>
      <c r="AV443" t="s">
        <v>109</v>
      </c>
      <c r="BC443" t="s">
        <v>113</v>
      </c>
      <c r="BD443" t="s">
        <v>1215</v>
      </c>
      <c r="BE443" t="s">
        <v>7011</v>
      </c>
      <c r="BF443" t="s">
        <v>5471</v>
      </c>
      <c r="BG443">
        <v>69.53</v>
      </c>
      <c r="BI443">
        <v>2011</v>
      </c>
      <c r="BJ443">
        <v>19</v>
      </c>
      <c r="BK443" t="s">
        <v>7012</v>
      </c>
      <c r="BL443">
        <v>53</v>
      </c>
      <c r="BM443" t="s">
        <v>5471</v>
      </c>
      <c r="BN443" t="s">
        <v>113</v>
      </c>
      <c r="BO443" t="s">
        <v>279</v>
      </c>
      <c r="BP443" t="s">
        <v>7013</v>
      </c>
      <c r="BQ443" t="s">
        <v>5929</v>
      </c>
      <c r="BR443">
        <v>62.2</v>
      </c>
      <c r="BS443">
        <v>7.3</v>
      </c>
      <c r="BT443">
        <v>2016</v>
      </c>
      <c r="BU443">
        <v>31</v>
      </c>
      <c r="BV443" t="s">
        <v>5160</v>
      </c>
      <c r="BW443">
        <v>53</v>
      </c>
      <c r="BX443" t="s">
        <v>5929</v>
      </c>
      <c r="BY443" t="s">
        <v>109</v>
      </c>
      <c r="CF443" t="s">
        <v>113</v>
      </c>
      <c r="CG443" t="s">
        <v>7014</v>
      </c>
      <c r="CH443" t="s">
        <v>7015</v>
      </c>
      <c r="CI443" t="s">
        <v>240</v>
      </c>
      <c r="CK443" t="s">
        <v>109</v>
      </c>
      <c r="CL443" t="s">
        <v>113</v>
      </c>
      <c r="CM443" t="s">
        <v>7016</v>
      </c>
      <c r="CN443" t="s">
        <v>113</v>
      </c>
      <c r="CO443" t="s">
        <v>7017</v>
      </c>
      <c r="CP443" t="s">
        <v>460</v>
      </c>
      <c r="CQ443" t="s">
        <v>7018</v>
      </c>
      <c r="CR443" t="s">
        <v>136</v>
      </c>
      <c r="CS443" t="str">
        <f>HYPERLINK("https://nconnect.nicmar.ac.in/pdf/631_resume_1771935598.pdf/Y2FyZWVy","View Resume")</f>
        <v>0</v>
      </c>
    </row>
    <row r="444" spans="1:97">
      <c r="A444" t="s">
        <v>192</v>
      </c>
      <c r="B444" t="s">
        <v>138</v>
      </c>
      <c r="C444" t="s">
        <v>165</v>
      </c>
      <c r="D444" t="s">
        <v>193</v>
      </c>
      <c r="E444" t="s">
        <v>7019</v>
      </c>
      <c r="F444" t="s">
        <v>7020</v>
      </c>
      <c r="G444">
        <v>9167977970</v>
      </c>
      <c r="H444" t="s">
        <v>169</v>
      </c>
      <c r="I444" t="s">
        <v>7021</v>
      </c>
      <c r="J444" t="s">
        <v>105</v>
      </c>
      <c r="K444" t="s">
        <v>7022</v>
      </c>
      <c r="L444" t="s">
        <v>7023</v>
      </c>
      <c r="M444" t="s">
        <v>7024</v>
      </c>
      <c r="N444" t="s">
        <v>109</v>
      </c>
      <c r="AI444" t="s">
        <v>7025</v>
      </c>
      <c r="AJ444" t="s">
        <v>7026</v>
      </c>
      <c r="AK444" t="s">
        <v>7027</v>
      </c>
      <c r="AL444">
        <v>62.5</v>
      </c>
      <c r="AN444">
        <v>1997</v>
      </c>
      <c r="AO444" t="s">
        <v>113</v>
      </c>
      <c r="AP444" t="s">
        <v>7028</v>
      </c>
      <c r="AQ444" t="s">
        <v>7029</v>
      </c>
      <c r="AR444" t="s">
        <v>7030</v>
      </c>
      <c r="AS444">
        <v>53.4</v>
      </c>
      <c r="AU444">
        <v>1999</v>
      </c>
      <c r="AV444" t="s">
        <v>113</v>
      </c>
      <c r="AW444" t="s">
        <v>7031</v>
      </c>
      <c r="AX444" t="s">
        <v>7032</v>
      </c>
      <c r="AY444" t="s">
        <v>7033</v>
      </c>
      <c r="AZ444">
        <v>50.0</v>
      </c>
      <c r="BB444">
        <v>2006</v>
      </c>
      <c r="BC444" t="s">
        <v>113</v>
      </c>
      <c r="BD444" t="s">
        <v>7034</v>
      </c>
      <c r="BE444" t="s">
        <v>7035</v>
      </c>
      <c r="BF444" t="s">
        <v>7036</v>
      </c>
      <c r="BG444">
        <v>65.5</v>
      </c>
      <c r="BI444">
        <v>2003</v>
      </c>
      <c r="BJ444">
        <v>19</v>
      </c>
      <c r="BK444" t="s">
        <v>7037</v>
      </c>
      <c r="BL444">
        <v>53</v>
      </c>
      <c r="BM444" t="s">
        <v>7038</v>
      </c>
      <c r="BN444" t="s">
        <v>113</v>
      </c>
      <c r="BO444" t="s">
        <v>7039</v>
      </c>
      <c r="BP444" t="s">
        <v>7040</v>
      </c>
      <c r="BQ444" t="s">
        <v>1013</v>
      </c>
      <c r="BR444">
        <v>56</v>
      </c>
      <c r="BT444">
        <v>2010</v>
      </c>
      <c r="BU444">
        <v>31</v>
      </c>
      <c r="BW444">
        <v>33</v>
      </c>
      <c r="BY444" t="s">
        <v>113</v>
      </c>
      <c r="BZ444" t="s">
        <v>4241</v>
      </c>
      <c r="CA444" t="s">
        <v>7041</v>
      </c>
      <c r="CB444" t="s">
        <v>7042</v>
      </c>
      <c r="CC444">
        <v>61</v>
      </c>
      <c r="CE444">
        <v>2005</v>
      </c>
      <c r="CF444" t="s">
        <v>113</v>
      </c>
      <c r="CG444" t="s">
        <v>7043</v>
      </c>
      <c r="CH444" t="s">
        <v>7044</v>
      </c>
      <c r="CI444" t="s">
        <v>132</v>
      </c>
      <c r="CJ444">
        <v>2025</v>
      </c>
      <c r="CL444" t="s">
        <v>109</v>
      </c>
      <c r="CN444" t="s">
        <v>109</v>
      </c>
      <c r="CP444" t="s">
        <v>7045</v>
      </c>
      <c r="CQ444" t="s">
        <v>7046</v>
      </c>
      <c r="CR444" t="str">
        <f>HYPERLINK("https://nconnect.nicmar.ac.in/public/storage/profile/699b309d08313.png","Download")</f>
        <v>0</v>
      </c>
      <c r="CS444" t="str">
        <f>HYPERLINK("https://nconnect.nicmar.ac.in/pdf/610_resume_1771937079.pdf/Y2FyZWVy","View Resume")</f>
        <v>0</v>
      </c>
    </row>
    <row r="445" spans="1:97">
      <c r="A445" t="s">
        <v>164</v>
      </c>
      <c r="B445" t="s">
        <v>138</v>
      </c>
      <c r="C445" t="s">
        <v>165</v>
      </c>
      <c r="D445" t="s">
        <v>166</v>
      </c>
      <c r="E445" t="s">
        <v>7047</v>
      </c>
      <c r="F445" t="s">
        <v>7048</v>
      </c>
      <c r="G445">
        <v>9923278802</v>
      </c>
      <c r="H445" t="s">
        <v>103</v>
      </c>
      <c r="I445" t="s">
        <v>7049</v>
      </c>
      <c r="J445" t="s">
        <v>105</v>
      </c>
      <c r="K445" t="s">
        <v>145</v>
      </c>
      <c r="L445" t="s">
        <v>7050</v>
      </c>
      <c r="M445" t="s">
        <v>7051</v>
      </c>
      <c r="N445" t="s">
        <v>109</v>
      </c>
      <c r="AI445" t="s">
        <v>7052</v>
      </c>
      <c r="AJ445" t="s">
        <v>7053</v>
      </c>
      <c r="AK445" t="s">
        <v>7054</v>
      </c>
      <c r="AL445">
        <v>89.06</v>
      </c>
      <c r="AN445">
        <v>2004</v>
      </c>
      <c r="AO445" t="s">
        <v>113</v>
      </c>
      <c r="AP445" t="s">
        <v>7055</v>
      </c>
      <c r="AQ445" t="s">
        <v>7053</v>
      </c>
      <c r="AR445" t="s">
        <v>277</v>
      </c>
      <c r="AS445">
        <v>67.5</v>
      </c>
      <c r="AU445">
        <v>2006</v>
      </c>
      <c r="AV445" t="s">
        <v>109</v>
      </c>
      <c r="BC445" t="s">
        <v>113</v>
      </c>
      <c r="BD445" t="s">
        <v>1215</v>
      </c>
      <c r="BE445" t="s">
        <v>7055</v>
      </c>
      <c r="BF445" t="s">
        <v>623</v>
      </c>
      <c r="BG445">
        <v>60.0</v>
      </c>
      <c r="BI445">
        <v>2009</v>
      </c>
      <c r="BJ445">
        <v>19</v>
      </c>
      <c r="BK445" t="s">
        <v>3880</v>
      </c>
      <c r="BL445">
        <v>11</v>
      </c>
      <c r="BN445" t="s">
        <v>113</v>
      </c>
      <c r="BO445" t="s">
        <v>1215</v>
      </c>
      <c r="BP445" t="s">
        <v>7056</v>
      </c>
      <c r="BQ445" t="s">
        <v>623</v>
      </c>
      <c r="BR445">
        <v>64.4</v>
      </c>
      <c r="BT445">
        <v>2011</v>
      </c>
      <c r="BU445">
        <v>31</v>
      </c>
      <c r="BV445" t="s">
        <v>285</v>
      </c>
      <c r="BW445">
        <v>11</v>
      </c>
      <c r="BY445" t="s">
        <v>113</v>
      </c>
      <c r="BZ445" t="s">
        <v>1215</v>
      </c>
      <c r="CA445" t="s">
        <v>7057</v>
      </c>
      <c r="CB445" t="s">
        <v>841</v>
      </c>
      <c r="CC445">
        <v>70.0</v>
      </c>
      <c r="CE445">
        <v>2015</v>
      </c>
      <c r="CF445" t="s">
        <v>113</v>
      </c>
      <c r="CG445" t="s">
        <v>7058</v>
      </c>
      <c r="CH445" t="s">
        <v>5143</v>
      </c>
      <c r="CI445" t="s">
        <v>132</v>
      </c>
      <c r="CJ445">
        <v>2024</v>
      </c>
      <c r="CL445" t="s">
        <v>113</v>
      </c>
      <c r="CN445" t="s">
        <v>113</v>
      </c>
      <c r="CO445" t="s">
        <v>7059</v>
      </c>
      <c r="CP445" t="s">
        <v>7060</v>
      </c>
      <c r="CQ445" t="s">
        <v>7061</v>
      </c>
      <c r="CR445" t="str">
        <f>HYPERLINK("https://nconnect.nicmar.ac.in/public/storage/profile/699da4c769711.png","Download")</f>
        <v>0</v>
      </c>
      <c r="CS445" t="str">
        <f>HYPERLINK("https://nconnect.nicmar.ac.in/pdf/633_resume_1771942193.pdf/Y2FyZWVy","View Resume")</f>
        <v>0</v>
      </c>
    </row>
    <row r="446" spans="1:97">
      <c r="A446" t="s">
        <v>223</v>
      </c>
      <c r="B446" t="s">
        <v>138</v>
      </c>
      <c r="C446" t="s">
        <v>165</v>
      </c>
      <c r="D446" t="s">
        <v>224</v>
      </c>
      <c r="E446" t="s">
        <v>7047</v>
      </c>
      <c r="F446" t="s">
        <v>7048</v>
      </c>
      <c r="G446">
        <v>9923278802</v>
      </c>
      <c r="H446" t="s">
        <v>103</v>
      </c>
      <c r="I446" t="s">
        <v>7049</v>
      </c>
      <c r="J446" t="s">
        <v>105</v>
      </c>
      <c r="K446" t="s">
        <v>145</v>
      </c>
      <c r="L446" t="s">
        <v>7050</v>
      </c>
      <c r="M446" t="s">
        <v>7051</v>
      </c>
      <c r="N446" t="s">
        <v>109</v>
      </c>
      <c r="AI446" t="s">
        <v>7052</v>
      </c>
      <c r="AJ446" t="s">
        <v>7053</v>
      </c>
      <c r="AK446" t="s">
        <v>7054</v>
      </c>
      <c r="AL446">
        <v>89.06</v>
      </c>
      <c r="AN446">
        <v>2004</v>
      </c>
      <c r="AO446" t="s">
        <v>113</v>
      </c>
      <c r="AP446" t="s">
        <v>7055</v>
      </c>
      <c r="AQ446" t="s">
        <v>7053</v>
      </c>
      <c r="AR446" t="s">
        <v>277</v>
      </c>
      <c r="AS446">
        <v>67.5</v>
      </c>
      <c r="AU446">
        <v>2006</v>
      </c>
      <c r="AV446" t="s">
        <v>109</v>
      </c>
      <c r="BC446" t="s">
        <v>113</v>
      </c>
      <c r="BD446" t="s">
        <v>1215</v>
      </c>
      <c r="BE446" t="s">
        <v>7055</v>
      </c>
      <c r="BF446" t="s">
        <v>623</v>
      </c>
      <c r="BG446">
        <v>60.0</v>
      </c>
      <c r="BI446">
        <v>2009</v>
      </c>
      <c r="BJ446">
        <v>19</v>
      </c>
      <c r="BK446" t="s">
        <v>3880</v>
      </c>
      <c r="BL446">
        <v>11</v>
      </c>
      <c r="BN446" t="s">
        <v>113</v>
      </c>
      <c r="BO446" t="s">
        <v>1215</v>
      </c>
      <c r="BP446" t="s">
        <v>7056</v>
      </c>
      <c r="BQ446" t="s">
        <v>623</v>
      </c>
      <c r="BR446">
        <v>64.4</v>
      </c>
      <c r="BT446">
        <v>2011</v>
      </c>
      <c r="BU446">
        <v>31</v>
      </c>
      <c r="BV446" t="s">
        <v>285</v>
      </c>
      <c r="BW446">
        <v>11</v>
      </c>
      <c r="BY446" t="s">
        <v>113</v>
      </c>
      <c r="BZ446" t="s">
        <v>1215</v>
      </c>
      <c r="CA446" t="s">
        <v>7057</v>
      </c>
      <c r="CB446" t="s">
        <v>841</v>
      </c>
      <c r="CC446">
        <v>70.0</v>
      </c>
      <c r="CE446">
        <v>2015</v>
      </c>
      <c r="CF446" t="s">
        <v>113</v>
      </c>
      <c r="CG446" t="s">
        <v>7058</v>
      </c>
      <c r="CH446" t="s">
        <v>5143</v>
      </c>
      <c r="CI446" t="s">
        <v>132</v>
      </c>
      <c r="CJ446">
        <v>2024</v>
      </c>
      <c r="CL446" t="s">
        <v>113</v>
      </c>
      <c r="CN446" t="s">
        <v>113</v>
      </c>
      <c r="CO446" t="s">
        <v>7059</v>
      </c>
      <c r="CP446" t="s">
        <v>7060</v>
      </c>
      <c r="CQ446" t="s">
        <v>7062</v>
      </c>
      <c r="CR446" t="str">
        <f>HYPERLINK("https://nconnect.nicmar.ac.in/public/storage/profile/699da4c769711.png","Download")</f>
        <v>0</v>
      </c>
      <c r="CS446" t="str">
        <f>HYPERLINK("https://nconnect.nicmar.ac.in/pdf/633_resume_1771942193.pdf/Y2FyZWVy","View Resume")</f>
        <v>0</v>
      </c>
    </row>
    <row r="447" spans="1:97">
      <c r="A447" t="s">
        <v>137</v>
      </c>
      <c r="B447" t="s">
        <v>138</v>
      </c>
      <c r="C447" t="s">
        <v>139</v>
      </c>
      <c r="D447" t="s">
        <v>140</v>
      </c>
      <c r="E447" t="s">
        <v>7063</v>
      </c>
      <c r="F447" t="s">
        <v>7064</v>
      </c>
      <c r="G447">
        <v>9623941708</v>
      </c>
      <c r="H447" t="s">
        <v>169</v>
      </c>
      <c r="I447" t="s">
        <v>7065</v>
      </c>
      <c r="J447" t="s">
        <v>105</v>
      </c>
      <c r="K447" t="s">
        <v>7066</v>
      </c>
      <c r="L447" t="s">
        <v>7067</v>
      </c>
      <c r="M447" t="s">
        <v>7068</v>
      </c>
      <c r="N447" t="s">
        <v>109</v>
      </c>
      <c r="AI447" t="s">
        <v>2938</v>
      </c>
      <c r="AJ447" t="s">
        <v>7069</v>
      </c>
      <c r="AK447" t="s">
        <v>4913</v>
      </c>
      <c r="AL447">
        <v>76.92</v>
      </c>
      <c r="AN447">
        <v>2007</v>
      </c>
      <c r="AO447" t="s">
        <v>113</v>
      </c>
      <c r="AP447" t="s">
        <v>3225</v>
      </c>
      <c r="AQ447" t="s">
        <v>7070</v>
      </c>
      <c r="AR447" t="s">
        <v>7071</v>
      </c>
      <c r="AS447">
        <v>79.33</v>
      </c>
      <c r="AU447">
        <v>2009</v>
      </c>
      <c r="AV447" t="s">
        <v>109</v>
      </c>
      <c r="BC447" t="s">
        <v>113</v>
      </c>
      <c r="BD447" t="s">
        <v>7072</v>
      </c>
      <c r="BE447" t="s">
        <v>7073</v>
      </c>
      <c r="BF447" t="s">
        <v>7074</v>
      </c>
      <c r="BG447">
        <v>79</v>
      </c>
      <c r="BI447">
        <v>2013</v>
      </c>
      <c r="BJ447">
        <v>2</v>
      </c>
      <c r="BL447">
        <v>9</v>
      </c>
      <c r="BN447" t="s">
        <v>113</v>
      </c>
      <c r="BO447" t="s">
        <v>7072</v>
      </c>
      <c r="BP447" t="s">
        <v>7073</v>
      </c>
      <c r="BQ447" t="s">
        <v>7075</v>
      </c>
      <c r="BR447">
        <v>90.75</v>
      </c>
      <c r="BS447">
        <v>8.47</v>
      </c>
      <c r="BT447">
        <v>2016</v>
      </c>
      <c r="BU447">
        <v>14</v>
      </c>
      <c r="BW447">
        <v>47</v>
      </c>
      <c r="BY447" t="s">
        <v>109</v>
      </c>
      <c r="CF447" t="s">
        <v>109</v>
      </c>
      <c r="CL447" t="s">
        <v>109</v>
      </c>
      <c r="CN447" t="s">
        <v>109</v>
      </c>
      <c r="CP447" t="s">
        <v>7076</v>
      </c>
      <c r="CQ447" t="s">
        <v>7077</v>
      </c>
      <c r="CR447" t="s">
        <v>136</v>
      </c>
      <c r="CS447" t="str">
        <f>HYPERLINK("https://nconnect.nicmar.ac.in/pdf/635_resume_1771943260.pdf/Y2FyZWVy","View Resume")</f>
        <v>0</v>
      </c>
    </row>
    <row r="448" spans="1:97">
      <c r="A448" t="s">
        <v>192</v>
      </c>
      <c r="B448" t="s">
        <v>138</v>
      </c>
      <c r="C448" t="s">
        <v>165</v>
      </c>
      <c r="D448" t="s">
        <v>193</v>
      </c>
      <c r="E448" t="s">
        <v>7078</v>
      </c>
      <c r="F448" t="s">
        <v>7079</v>
      </c>
      <c r="G448">
        <v>9665094245</v>
      </c>
      <c r="H448" t="s">
        <v>169</v>
      </c>
      <c r="I448" t="s">
        <v>7080</v>
      </c>
      <c r="J448" t="s">
        <v>105</v>
      </c>
      <c r="K448" t="s">
        <v>1536</v>
      </c>
      <c r="L448" t="s">
        <v>7081</v>
      </c>
      <c r="M448" t="s">
        <v>7082</v>
      </c>
      <c r="N448" t="s">
        <v>109</v>
      </c>
      <c r="AI448" t="s">
        <v>7083</v>
      </c>
      <c r="AJ448" t="s">
        <v>1542</v>
      </c>
      <c r="AK448" t="s">
        <v>1212</v>
      </c>
      <c r="AL448">
        <v>66.53</v>
      </c>
      <c r="AN448">
        <v>1996</v>
      </c>
      <c r="AO448" t="s">
        <v>113</v>
      </c>
      <c r="AP448" t="s">
        <v>7084</v>
      </c>
      <c r="AQ448" t="s">
        <v>1542</v>
      </c>
      <c r="AR448" t="s">
        <v>839</v>
      </c>
      <c r="AS448">
        <v>73.17</v>
      </c>
      <c r="AU448">
        <v>1998</v>
      </c>
      <c r="AV448" t="s">
        <v>109</v>
      </c>
      <c r="BC448" t="s">
        <v>113</v>
      </c>
      <c r="BD448" t="s">
        <v>7085</v>
      </c>
      <c r="BE448" t="s">
        <v>714</v>
      </c>
      <c r="BF448" t="s">
        <v>839</v>
      </c>
      <c r="BG448">
        <v>62.3</v>
      </c>
      <c r="BI448">
        <v>2001</v>
      </c>
      <c r="BJ448">
        <v>19</v>
      </c>
      <c r="BK448" t="s">
        <v>515</v>
      </c>
      <c r="BL448">
        <v>52</v>
      </c>
      <c r="BN448" t="s">
        <v>113</v>
      </c>
      <c r="BO448" t="s">
        <v>7085</v>
      </c>
      <c r="BP448" t="s">
        <v>7086</v>
      </c>
      <c r="BQ448" t="s">
        <v>793</v>
      </c>
      <c r="BR448">
        <v>73</v>
      </c>
      <c r="BT448">
        <v>2003</v>
      </c>
      <c r="BU448">
        <v>31</v>
      </c>
      <c r="BV448" t="s">
        <v>339</v>
      </c>
      <c r="BW448">
        <v>33</v>
      </c>
      <c r="BY448" t="s">
        <v>109</v>
      </c>
      <c r="CF448" t="s">
        <v>113</v>
      </c>
      <c r="CG448" t="s">
        <v>7087</v>
      </c>
      <c r="CH448" t="s">
        <v>3955</v>
      </c>
      <c r="CI448" t="s">
        <v>132</v>
      </c>
      <c r="CJ448">
        <v>2008</v>
      </c>
      <c r="CL448" t="s">
        <v>113</v>
      </c>
      <c r="CM448" t="s">
        <v>7088</v>
      </c>
      <c r="CN448" t="s">
        <v>113</v>
      </c>
      <c r="CO448" t="s">
        <v>7089</v>
      </c>
      <c r="CP448" t="s">
        <v>460</v>
      </c>
      <c r="CQ448" t="s">
        <v>7090</v>
      </c>
      <c r="CR448" t="str">
        <f>HYPERLINK("https://nconnect.nicmar.ac.in/public/storage/profile/699dbdcc83d2e.png","Download")</f>
        <v>0</v>
      </c>
      <c r="CS448" t="str">
        <f>HYPERLINK("https://nconnect.nicmar.ac.in/pdf/477_resume_1771945236.pdf/Y2FyZWVy","View Resume")</f>
        <v>0</v>
      </c>
    </row>
    <row r="449" spans="1:97">
      <c r="A449" t="s">
        <v>137</v>
      </c>
      <c r="B449" t="s">
        <v>138</v>
      </c>
      <c r="C449" t="s">
        <v>139</v>
      </c>
      <c r="D449" t="s">
        <v>140</v>
      </c>
      <c r="E449" t="s">
        <v>7091</v>
      </c>
      <c r="F449" t="s">
        <v>7092</v>
      </c>
      <c r="G449">
        <v>9665613741</v>
      </c>
      <c r="H449" t="s">
        <v>169</v>
      </c>
      <c r="I449" t="s">
        <v>7093</v>
      </c>
      <c r="J449" t="s">
        <v>105</v>
      </c>
      <c r="K449" t="s">
        <v>1536</v>
      </c>
      <c r="L449" t="s">
        <v>7094</v>
      </c>
      <c r="M449" t="s">
        <v>7095</v>
      </c>
      <c r="N449" t="s">
        <v>109</v>
      </c>
      <c r="AI449" t="s">
        <v>7096</v>
      </c>
      <c r="AJ449" t="s">
        <v>7097</v>
      </c>
      <c r="AK449" t="s">
        <v>7098</v>
      </c>
      <c r="AL449">
        <v>72.66</v>
      </c>
      <c r="AN449">
        <v>2000</v>
      </c>
      <c r="AO449" t="s">
        <v>113</v>
      </c>
      <c r="AP449" t="s">
        <v>7099</v>
      </c>
      <c r="AQ449" t="s">
        <v>7097</v>
      </c>
      <c r="AR449" t="s">
        <v>7100</v>
      </c>
      <c r="AS449">
        <v>73.5</v>
      </c>
      <c r="AU449">
        <v>2002</v>
      </c>
      <c r="AV449" t="s">
        <v>109</v>
      </c>
      <c r="BC449" t="s">
        <v>113</v>
      </c>
      <c r="BD449" t="s">
        <v>7101</v>
      </c>
      <c r="BE449" t="s">
        <v>2990</v>
      </c>
      <c r="BF449" t="s">
        <v>309</v>
      </c>
      <c r="BG449">
        <v>65015</v>
      </c>
      <c r="BI449">
        <v>2006</v>
      </c>
      <c r="BJ449">
        <v>2</v>
      </c>
      <c r="BL449">
        <v>9</v>
      </c>
      <c r="BN449" t="s">
        <v>113</v>
      </c>
      <c r="BO449" t="s">
        <v>7102</v>
      </c>
      <c r="BP449" t="s">
        <v>4038</v>
      </c>
      <c r="BQ449" t="s">
        <v>140</v>
      </c>
      <c r="BR449">
        <v>63.1</v>
      </c>
      <c r="BT449">
        <v>2016</v>
      </c>
      <c r="BU449">
        <v>14</v>
      </c>
      <c r="BW449">
        <v>47</v>
      </c>
      <c r="BY449" t="s">
        <v>109</v>
      </c>
      <c r="CF449" t="s">
        <v>113</v>
      </c>
      <c r="CG449" t="s">
        <v>2766</v>
      </c>
      <c r="CH449" t="s">
        <v>7103</v>
      </c>
      <c r="CI449" t="s">
        <v>240</v>
      </c>
      <c r="CK449" t="s">
        <v>109</v>
      </c>
      <c r="CL449" t="s">
        <v>109</v>
      </c>
      <c r="CN449" t="s">
        <v>109</v>
      </c>
      <c r="CP449" t="s">
        <v>970</v>
      </c>
      <c r="CQ449" t="s">
        <v>7104</v>
      </c>
      <c r="CR449" t="s">
        <v>136</v>
      </c>
      <c r="CS449" t="str">
        <f>HYPERLINK("https://nconnect.nicmar.ac.in/pdf/639_resume_1771948905.pdf/Y2FyZWVy","View Resume")</f>
        <v>0</v>
      </c>
    </row>
    <row r="450" spans="1:97">
      <c r="A450" t="s">
        <v>137</v>
      </c>
      <c r="B450" t="s">
        <v>138</v>
      </c>
      <c r="C450" t="s">
        <v>139</v>
      </c>
      <c r="D450" t="s">
        <v>140</v>
      </c>
      <c r="E450" t="s">
        <v>7105</v>
      </c>
      <c r="F450" t="s">
        <v>7106</v>
      </c>
      <c r="G450">
        <v>8055178951</v>
      </c>
      <c r="H450" t="s">
        <v>103</v>
      </c>
      <c r="I450" t="s">
        <v>7107</v>
      </c>
      <c r="J450" t="s">
        <v>105</v>
      </c>
      <c r="K450" t="s">
        <v>145</v>
      </c>
      <c r="L450" t="s">
        <v>7108</v>
      </c>
      <c r="M450" t="s">
        <v>7109</v>
      </c>
      <c r="N450" t="s">
        <v>109</v>
      </c>
      <c r="AI450" t="s">
        <v>7110</v>
      </c>
      <c r="AJ450" t="s">
        <v>7111</v>
      </c>
      <c r="AK450" t="s">
        <v>7112</v>
      </c>
      <c r="AL450">
        <v>56</v>
      </c>
      <c r="AN450">
        <v>1999</v>
      </c>
      <c r="AO450" t="s">
        <v>109</v>
      </c>
      <c r="AV450" t="s">
        <v>113</v>
      </c>
      <c r="AW450" t="s">
        <v>1147</v>
      </c>
      <c r="AX450" t="s">
        <v>7113</v>
      </c>
      <c r="AY450" t="s">
        <v>309</v>
      </c>
      <c r="AZ450">
        <v>58.7</v>
      </c>
      <c r="BB450">
        <v>2002</v>
      </c>
      <c r="BC450" t="s">
        <v>113</v>
      </c>
      <c r="BD450" t="s">
        <v>2465</v>
      </c>
      <c r="BE450" t="s">
        <v>7114</v>
      </c>
      <c r="BF450" t="s">
        <v>309</v>
      </c>
      <c r="BG450">
        <v>62.14</v>
      </c>
      <c r="BI450">
        <v>2008</v>
      </c>
      <c r="BJ450">
        <v>2</v>
      </c>
      <c r="BL450">
        <v>9</v>
      </c>
      <c r="BN450" t="s">
        <v>113</v>
      </c>
      <c r="BO450" t="s">
        <v>2465</v>
      </c>
      <c r="BP450" t="s">
        <v>7114</v>
      </c>
      <c r="BQ450" t="s">
        <v>140</v>
      </c>
      <c r="BR450">
        <v>67</v>
      </c>
      <c r="BS450">
        <v>7.45</v>
      </c>
      <c r="BT450">
        <v>2013</v>
      </c>
      <c r="BU450">
        <v>14</v>
      </c>
      <c r="BW450">
        <v>47</v>
      </c>
      <c r="BY450" t="s">
        <v>109</v>
      </c>
      <c r="CF450" t="s">
        <v>109</v>
      </c>
      <c r="CL450" t="s">
        <v>109</v>
      </c>
      <c r="CN450" t="s">
        <v>113</v>
      </c>
      <c r="CO450" t="s">
        <v>7115</v>
      </c>
      <c r="CP450" t="s">
        <v>7116</v>
      </c>
      <c r="CQ450" t="s">
        <v>7117</v>
      </c>
      <c r="CR450" t="s">
        <v>136</v>
      </c>
      <c r="CS450" t="str">
        <f>HYPERLINK("https://nconnect.nicmar.ac.in/pdf/640_resume_1771949211.pdf/Y2FyZWVy","View Resume")</f>
        <v>0</v>
      </c>
    </row>
    <row r="451" spans="1:97">
      <c r="A451" t="s">
        <v>223</v>
      </c>
      <c r="B451" t="s">
        <v>138</v>
      </c>
      <c r="C451" t="s">
        <v>165</v>
      </c>
      <c r="D451" t="s">
        <v>224</v>
      </c>
      <c r="E451" t="s">
        <v>7118</v>
      </c>
      <c r="F451" t="s">
        <v>7119</v>
      </c>
      <c r="G451">
        <v>9822682244</v>
      </c>
      <c r="H451" t="s">
        <v>169</v>
      </c>
      <c r="I451" t="s">
        <v>7120</v>
      </c>
      <c r="J451" t="s">
        <v>105</v>
      </c>
      <c r="K451" t="s">
        <v>2797</v>
      </c>
      <c r="L451" t="s">
        <v>7121</v>
      </c>
      <c r="M451" t="s">
        <v>7122</v>
      </c>
      <c r="N451" t="s">
        <v>113</v>
      </c>
      <c r="O451" t="s">
        <v>7123</v>
      </c>
      <c r="P451" t="s">
        <v>139</v>
      </c>
      <c r="AI451" t="s">
        <v>7124</v>
      </c>
      <c r="AJ451" t="s">
        <v>7125</v>
      </c>
      <c r="AK451" t="s">
        <v>7126</v>
      </c>
      <c r="AL451">
        <v>82.57</v>
      </c>
      <c r="AN451">
        <v>1995</v>
      </c>
      <c r="AO451" t="s">
        <v>113</v>
      </c>
      <c r="AP451" t="s">
        <v>7127</v>
      </c>
      <c r="AQ451" t="s">
        <v>7128</v>
      </c>
      <c r="AR451" t="s">
        <v>4913</v>
      </c>
      <c r="AS451">
        <v>78.67</v>
      </c>
      <c r="AU451">
        <v>1997</v>
      </c>
      <c r="AV451" t="s">
        <v>109</v>
      </c>
      <c r="BC451" t="s">
        <v>113</v>
      </c>
      <c r="BD451" t="s">
        <v>7129</v>
      </c>
      <c r="BE451" t="s">
        <v>7130</v>
      </c>
      <c r="BF451" t="s">
        <v>6057</v>
      </c>
      <c r="BG451">
        <v>80.0</v>
      </c>
      <c r="BI451">
        <v>2000</v>
      </c>
      <c r="BJ451">
        <v>19</v>
      </c>
      <c r="BL451">
        <v>52</v>
      </c>
      <c r="BN451" t="s">
        <v>113</v>
      </c>
      <c r="BO451" t="s">
        <v>7131</v>
      </c>
      <c r="BP451" t="s">
        <v>7132</v>
      </c>
      <c r="BQ451" t="s">
        <v>7133</v>
      </c>
      <c r="BR451">
        <v>70</v>
      </c>
      <c r="BT451">
        <v>2008</v>
      </c>
      <c r="BU451">
        <v>31</v>
      </c>
      <c r="BW451">
        <v>52</v>
      </c>
      <c r="BY451" t="s">
        <v>113</v>
      </c>
      <c r="BZ451" t="s">
        <v>7134</v>
      </c>
      <c r="CA451" t="s">
        <v>7135</v>
      </c>
      <c r="CB451" t="s">
        <v>7136</v>
      </c>
      <c r="CC451">
        <v>80</v>
      </c>
      <c r="CE451">
        <v>2021</v>
      </c>
      <c r="CF451" t="s">
        <v>113</v>
      </c>
      <c r="CG451" t="s">
        <v>238</v>
      </c>
      <c r="CH451" t="s">
        <v>7137</v>
      </c>
      <c r="CI451" t="s">
        <v>132</v>
      </c>
      <c r="CJ451">
        <v>2016</v>
      </c>
      <c r="CL451" t="s">
        <v>109</v>
      </c>
      <c r="CN451" t="s">
        <v>109</v>
      </c>
      <c r="CP451" t="s">
        <v>342</v>
      </c>
      <c r="CQ451" t="s">
        <v>7138</v>
      </c>
      <c r="CR451" t="str">
        <f>HYPERLINK("https://nconnect.nicmar.ac.in/public/storage/profile/699dcce7af806.png","Download")</f>
        <v>0</v>
      </c>
      <c r="CS451" t="str">
        <f>HYPERLINK("https://nconnect.nicmar.ac.in/pdf/632_resume_1771942553.pdf/Y2FyZWVy","View Resume")</f>
        <v>0</v>
      </c>
    </row>
    <row r="452" spans="1:97">
      <c r="A452" t="s">
        <v>702</v>
      </c>
      <c r="B452" t="s">
        <v>138</v>
      </c>
      <c r="C452" t="s">
        <v>703</v>
      </c>
      <c r="D452" t="s">
        <v>704</v>
      </c>
      <c r="E452" t="s">
        <v>7139</v>
      </c>
      <c r="F452" t="s">
        <v>7140</v>
      </c>
      <c r="G452">
        <v>7758016807</v>
      </c>
      <c r="H452" t="s">
        <v>103</v>
      </c>
      <c r="I452" t="s">
        <v>7141</v>
      </c>
      <c r="J452" t="s">
        <v>105</v>
      </c>
      <c r="K452" t="s">
        <v>660</v>
      </c>
      <c r="L452" t="s">
        <v>7142</v>
      </c>
      <c r="M452" t="s">
        <v>7143</v>
      </c>
      <c r="N452" t="s">
        <v>113</v>
      </c>
      <c r="O452" t="s">
        <v>7144</v>
      </c>
      <c r="P452" t="s">
        <v>7145</v>
      </c>
      <c r="AI452" t="s">
        <v>7146</v>
      </c>
      <c r="AJ452" t="s">
        <v>7147</v>
      </c>
      <c r="AK452" t="s">
        <v>7148</v>
      </c>
      <c r="AL452">
        <v>78.8</v>
      </c>
      <c r="AN452">
        <v>2006</v>
      </c>
      <c r="AO452" t="s">
        <v>113</v>
      </c>
      <c r="AP452" t="s">
        <v>7149</v>
      </c>
      <c r="AQ452" t="s">
        <v>7150</v>
      </c>
      <c r="AR452" t="s">
        <v>7151</v>
      </c>
      <c r="AS452">
        <v>62.5</v>
      </c>
      <c r="AU452">
        <v>2012</v>
      </c>
      <c r="AV452" t="s">
        <v>109</v>
      </c>
      <c r="BC452" t="s">
        <v>113</v>
      </c>
      <c r="BD452" t="s">
        <v>7152</v>
      </c>
      <c r="BE452" t="s">
        <v>7153</v>
      </c>
      <c r="BF452" t="s">
        <v>309</v>
      </c>
      <c r="BG452">
        <v>60.5</v>
      </c>
      <c r="BI452">
        <v>2012</v>
      </c>
      <c r="BJ452">
        <v>1</v>
      </c>
      <c r="BL452">
        <v>9</v>
      </c>
      <c r="BN452" t="s">
        <v>113</v>
      </c>
      <c r="BO452" t="s">
        <v>7154</v>
      </c>
      <c r="BP452" t="s">
        <v>7155</v>
      </c>
      <c r="BQ452" t="s">
        <v>3529</v>
      </c>
      <c r="BR452">
        <v>83</v>
      </c>
      <c r="BS452">
        <v>8.75</v>
      </c>
      <c r="BT452">
        <v>2015</v>
      </c>
      <c r="BU452">
        <v>24</v>
      </c>
      <c r="BW452">
        <v>35</v>
      </c>
      <c r="BY452" t="s">
        <v>109</v>
      </c>
      <c r="CF452" t="s">
        <v>113</v>
      </c>
      <c r="CG452" t="s">
        <v>945</v>
      </c>
      <c r="CH452" t="s">
        <v>7156</v>
      </c>
      <c r="CI452" t="s">
        <v>132</v>
      </c>
      <c r="CJ452">
        <v>2022</v>
      </c>
      <c r="CL452" t="s">
        <v>113</v>
      </c>
      <c r="CM452" t="s">
        <v>7157</v>
      </c>
      <c r="CN452" t="s">
        <v>113</v>
      </c>
      <c r="CO452" t="s">
        <v>7158</v>
      </c>
      <c r="CP452" t="s">
        <v>7159</v>
      </c>
      <c r="CQ452" t="s">
        <v>7160</v>
      </c>
      <c r="CR452" t="str">
        <f>HYPERLINK("https://nconnect.nicmar.ac.in/public/storage/profile/699ab669cf2cc.png","Download")</f>
        <v>0</v>
      </c>
      <c r="CS452" t="str">
        <f>HYPERLINK("https://nconnect.nicmar.ac.in/pdf/645_resume_1771952619.pdf/Y2FyZWVy","View Resume")</f>
        <v>0</v>
      </c>
    </row>
    <row r="453" spans="1:97">
      <c r="A453" t="s">
        <v>343</v>
      </c>
      <c r="B453" t="s">
        <v>98</v>
      </c>
      <c r="C453" t="s">
        <v>295</v>
      </c>
      <c r="D453" t="s">
        <v>344</v>
      </c>
      <c r="E453" t="s">
        <v>7161</v>
      </c>
      <c r="F453" t="s">
        <v>7162</v>
      </c>
      <c r="G453">
        <v>9247585959</v>
      </c>
      <c r="H453" t="s">
        <v>103</v>
      </c>
      <c r="I453" t="s">
        <v>7163</v>
      </c>
      <c r="J453" t="s">
        <v>105</v>
      </c>
      <c r="K453" t="s">
        <v>228</v>
      </c>
      <c r="L453" t="s">
        <v>7164</v>
      </c>
      <c r="M453" t="s">
        <v>7165</v>
      </c>
      <c r="N453" t="s">
        <v>109</v>
      </c>
      <c r="AI453" t="s">
        <v>7166</v>
      </c>
      <c r="AJ453" t="s">
        <v>7167</v>
      </c>
      <c r="AK453" t="s">
        <v>1212</v>
      </c>
      <c r="AL453">
        <v>68.2</v>
      </c>
      <c r="AN453">
        <v>1985</v>
      </c>
      <c r="AO453" t="s">
        <v>109</v>
      </c>
      <c r="AV453" t="s">
        <v>113</v>
      </c>
      <c r="AW453" t="s">
        <v>7168</v>
      </c>
      <c r="AX453" t="s">
        <v>7169</v>
      </c>
      <c r="AY453" t="s">
        <v>309</v>
      </c>
      <c r="AZ453">
        <v>78.5</v>
      </c>
      <c r="BB453">
        <v>1988</v>
      </c>
      <c r="BC453" t="s">
        <v>113</v>
      </c>
      <c r="BD453" t="s">
        <v>2923</v>
      </c>
      <c r="BE453" t="s">
        <v>7170</v>
      </c>
      <c r="BF453" t="s">
        <v>309</v>
      </c>
      <c r="BG453">
        <v>72</v>
      </c>
      <c r="BI453">
        <v>1994</v>
      </c>
      <c r="BJ453">
        <v>1</v>
      </c>
      <c r="BL453">
        <v>9</v>
      </c>
      <c r="BN453" t="s">
        <v>113</v>
      </c>
      <c r="BO453" t="s">
        <v>7171</v>
      </c>
      <c r="BP453" t="s">
        <v>4841</v>
      </c>
      <c r="BQ453" t="s">
        <v>2649</v>
      </c>
      <c r="BR453">
        <v>82</v>
      </c>
      <c r="BT453">
        <v>2010</v>
      </c>
      <c r="BU453">
        <v>12</v>
      </c>
      <c r="BW453">
        <v>13</v>
      </c>
      <c r="BY453" t="s">
        <v>109</v>
      </c>
      <c r="CF453" t="s">
        <v>109</v>
      </c>
      <c r="CL453" t="s">
        <v>109</v>
      </c>
      <c r="CN453" t="s">
        <v>109</v>
      </c>
      <c r="CP453" t="s">
        <v>7172</v>
      </c>
      <c r="CQ453" t="s">
        <v>7173</v>
      </c>
      <c r="CR453" t="s">
        <v>136</v>
      </c>
      <c r="CS453" t="str">
        <f>HYPERLINK("https://nconnect.nicmar.ac.in/pdf/648_resume_1771989147.pdf/Y2FyZWVy","View Resume")</f>
        <v>0</v>
      </c>
    </row>
    <row r="454" spans="1:97">
      <c r="A454" t="s">
        <v>1116</v>
      </c>
      <c r="B454" t="s">
        <v>98</v>
      </c>
      <c r="C454" t="s">
        <v>99</v>
      </c>
      <c r="D454" t="s">
        <v>1117</v>
      </c>
      <c r="E454" t="s">
        <v>7174</v>
      </c>
      <c r="F454" t="s">
        <v>7175</v>
      </c>
      <c r="G454">
        <v>9422507858</v>
      </c>
      <c r="H454" t="s">
        <v>169</v>
      </c>
      <c r="I454" t="s">
        <v>7176</v>
      </c>
      <c r="J454" t="s">
        <v>144</v>
      </c>
      <c r="K454" t="s">
        <v>7177</v>
      </c>
      <c r="L454" t="s">
        <v>7178</v>
      </c>
      <c r="M454" t="s">
        <v>7179</v>
      </c>
      <c r="N454" t="s">
        <v>109</v>
      </c>
      <c r="AI454" t="s">
        <v>7180</v>
      </c>
      <c r="AJ454" t="s">
        <v>7181</v>
      </c>
      <c r="AK454" t="s">
        <v>7182</v>
      </c>
      <c r="AL454">
        <v>70</v>
      </c>
      <c r="AN454">
        <v>2016</v>
      </c>
      <c r="AO454" t="s">
        <v>113</v>
      </c>
      <c r="AP454" t="s">
        <v>7183</v>
      </c>
      <c r="AQ454" t="s">
        <v>7184</v>
      </c>
      <c r="AR454" t="s">
        <v>277</v>
      </c>
      <c r="AS454">
        <v>60</v>
      </c>
      <c r="AU454">
        <v>2018</v>
      </c>
      <c r="AV454" t="s">
        <v>109</v>
      </c>
      <c r="BC454" t="s">
        <v>113</v>
      </c>
      <c r="BD454" t="s">
        <v>7185</v>
      </c>
      <c r="BE454" t="s">
        <v>7186</v>
      </c>
      <c r="BF454" t="s">
        <v>1117</v>
      </c>
      <c r="BG454">
        <v>83</v>
      </c>
      <c r="BH454">
        <v>8.25</v>
      </c>
      <c r="BI454">
        <v>2023</v>
      </c>
      <c r="BJ454">
        <v>8</v>
      </c>
      <c r="BL454">
        <v>2</v>
      </c>
      <c r="BN454" t="s">
        <v>113</v>
      </c>
      <c r="BO454" t="s">
        <v>7185</v>
      </c>
      <c r="BP454" t="s">
        <v>7186</v>
      </c>
      <c r="BQ454" t="s">
        <v>7187</v>
      </c>
      <c r="BR454">
        <v>74</v>
      </c>
      <c r="BS454">
        <v>7.48</v>
      </c>
      <c r="BT454">
        <v>2025</v>
      </c>
      <c r="BU454">
        <v>31</v>
      </c>
      <c r="BV454" t="s">
        <v>7188</v>
      </c>
      <c r="BW454">
        <v>53</v>
      </c>
      <c r="BX454" t="s">
        <v>7189</v>
      </c>
      <c r="BY454" t="s">
        <v>109</v>
      </c>
      <c r="CF454" t="s">
        <v>109</v>
      </c>
      <c r="CL454" t="s">
        <v>113</v>
      </c>
      <c r="CM454" t="s">
        <v>7190</v>
      </c>
      <c r="CN454" t="s">
        <v>113</v>
      </c>
      <c r="CO454" t="s">
        <v>7191</v>
      </c>
      <c r="CP454" t="s">
        <v>7192</v>
      </c>
      <c r="CQ454" t="s">
        <v>7193</v>
      </c>
      <c r="CR454" t="str">
        <f>HYPERLINK("https://nconnect.nicmar.ac.in/public/storage/profile/699e74033ef8d.png","Download")</f>
        <v>0</v>
      </c>
      <c r="CS454" t="str">
        <f>HYPERLINK("https://nconnect.nicmar.ac.in/pdf/649_resume_1771993166.pdf/Y2FyZWVy","View Resume")</f>
        <v>0</v>
      </c>
    </row>
    <row r="455" spans="1:97">
      <c r="A455" t="s">
        <v>164</v>
      </c>
      <c r="B455" t="s">
        <v>138</v>
      </c>
      <c r="C455" t="s">
        <v>165</v>
      </c>
      <c r="D455" t="s">
        <v>166</v>
      </c>
      <c r="E455" t="s">
        <v>7194</v>
      </c>
      <c r="F455" t="s">
        <v>7195</v>
      </c>
      <c r="G455">
        <v>9823225860</v>
      </c>
      <c r="H455" t="s">
        <v>103</v>
      </c>
      <c r="I455" t="s">
        <v>7196</v>
      </c>
      <c r="J455" t="s">
        <v>105</v>
      </c>
      <c r="K455" t="s">
        <v>1848</v>
      </c>
      <c r="L455" t="s">
        <v>7197</v>
      </c>
      <c r="M455" t="s">
        <v>7198</v>
      </c>
      <c r="N455" t="s">
        <v>109</v>
      </c>
      <c r="AI455" t="s">
        <v>7199</v>
      </c>
      <c r="AJ455" t="s">
        <v>7200</v>
      </c>
      <c r="AK455" t="s">
        <v>7201</v>
      </c>
      <c r="AL455">
        <v>82.28</v>
      </c>
      <c r="AN455">
        <v>1988</v>
      </c>
      <c r="AO455" t="s">
        <v>113</v>
      </c>
      <c r="AP455" t="s">
        <v>7202</v>
      </c>
      <c r="AQ455" t="s">
        <v>7200</v>
      </c>
      <c r="AR455" t="s">
        <v>7203</v>
      </c>
      <c r="AS455">
        <v>74.17</v>
      </c>
      <c r="AU455">
        <v>1990</v>
      </c>
      <c r="AV455" t="s">
        <v>109</v>
      </c>
      <c r="BC455" t="s">
        <v>113</v>
      </c>
      <c r="BD455" t="s">
        <v>7204</v>
      </c>
      <c r="BE455" t="s">
        <v>7205</v>
      </c>
      <c r="BF455" t="s">
        <v>7206</v>
      </c>
      <c r="BG455">
        <v>66.4</v>
      </c>
      <c r="BH455">
        <v>6.64</v>
      </c>
      <c r="BI455">
        <v>1997</v>
      </c>
      <c r="BJ455">
        <v>19</v>
      </c>
      <c r="BK455" t="s">
        <v>7207</v>
      </c>
      <c r="BL455">
        <v>53</v>
      </c>
      <c r="BM455" t="s">
        <v>7208</v>
      </c>
      <c r="BN455" t="s">
        <v>113</v>
      </c>
      <c r="BO455" t="s">
        <v>2744</v>
      </c>
      <c r="BP455" t="s">
        <v>7209</v>
      </c>
      <c r="BQ455" t="s">
        <v>193</v>
      </c>
      <c r="BR455">
        <v>58.75</v>
      </c>
      <c r="BT455">
        <v>2002</v>
      </c>
      <c r="BU455">
        <v>31</v>
      </c>
      <c r="BV455" t="s">
        <v>6083</v>
      </c>
      <c r="BW455">
        <v>33</v>
      </c>
      <c r="BY455" t="s">
        <v>113</v>
      </c>
      <c r="BZ455" t="s">
        <v>2744</v>
      </c>
      <c r="CA455" t="s">
        <v>7210</v>
      </c>
      <c r="CB455" t="s">
        <v>193</v>
      </c>
      <c r="CC455">
        <v>67.13</v>
      </c>
      <c r="CE455">
        <v>2010</v>
      </c>
      <c r="CF455" t="s">
        <v>113</v>
      </c>
      <c r="CG455" t="s">
        <v>7211</v>
      </c>
      <c r="CH455" t="s">
        <v>279</v>
      </c>
      <c r="CI455" t="s">
        <v>132</v>
      </c>
      <c r="CJ455">
        <v>2016</v>
      </c>
      <c r="CL455" t="s">
        <v>113</v>
      </c>
      <c r="CM455" t="s">
        <v>7212</v>
      </c>
      <c r="CN455" t="s">
        <v>113</v>
      </c>
      <c r="CO455" t="s">
        <v>7213</v>
      </c>
      <c r="CP455" t="s">
        <v>460</v>
      </c>
      <c r="CQ455" t="s">
        <v>7214</v>
      </c>
      <c r="CR455" t="s">
        <v>136</v>
      </c>
      <c r="CS455" t="str">
        <f>HYPERLINK("https://nconnect.nicmar.ac.in/pdf/322_resume_1771998706.pdf/Y2FyZWVy","View Resume")</f>
        <v>0</v>
      </c>
    </row>
    <row r="456" spans="1:97">
      <c r="A456" t="s">
        <v>3610</v>
      </c>
      <c r="B456" t="s">
        <v>3611</v>
      </c>
      <c r="C456" t="s">
        <v>295</v>
      </c>
      <c r="D456" t="s">
        <v>296</v>
      </c>
      <c r="E456" t="s">
        <v>7215</v>
      </c>
      <c r="F456" t="s">
        <v>7216</v>
      </c>
      <c r="G456">
        <v>7306562622</v>
      </c>
      <c r="H456" t="s">
        <v>169</v>
      </c>
      <c r="I456" t="s">
        <v>7217</v>
      </c>
      <c r="J456" t="s">
        <v>105</v>
      </c>
      <c r="K456" t="s">
        <v>423</v>
      </c>
      <c r="L456" t="s">
        <v>7218</v>
      </c>
      <c r="M456" t="s">
        <v>7219</v>
      </c>
      <c r="N456" t="s">
        <v>109</v>
      </c>
      <c r="AI456" t="s">
        <v>7220</v>
      </c>
      <c r="AJ456" t="s">
        <v>7221</v>
      </c>
      <c r="AK456" t="s">
        <v>7222</v>
      </c>
      <c r="AL456">
        <v>72</v>
      </c>
      <c r="AN456">
        <v>2006</v>
      </c>
      <c r="AO456" t="s">
        <v>113</v>
      </c>
      <c r="AP456" t="s">
        <v>7223</v>
      </c>
      <c r="AQ456" t="s">
        <v>7224</v>
      </c>
      <c r="AR456" t="s">
        <v>7225</v>
      </c>
      <c r="AS456">
        <v>78</v>
      </c>
      <c r="AU456">
        <v>2008</v>
      </c>
      <c r="AV456" t="s">
        <v>109</v>
      </c>
      <c r="BC456" t="s">
        <v>113</v>
      </c>
      <c r="BD456" t="s">
        <v>1366</v>
      </c>
      <c r="BE456" t="s">
        <v>7226</v>
      </c>
      <c r="BF456" t="s">
        <v>309</v>
      </c>
      <c r="BG456">
        <v>89.5</v>
      </c>
      <c r="BH456">
        <v>8.95</v>
      </c>
      <c r="BI456">
        <v>2012</v>
      </c>
      <c r="BJ456">
        <v>1</v>
      </c>
      <c r="BL456">
        <v>9</v>
      </c>
      <c r="BN456" t="s">
        <v>113</v>
      </c>
      <c r="BO456" t="s">
        <v>5035</v>
      </c>
      <c r="BP456" t="s">
        <v>7227</v>
      </c>
      <c r="BQ456" t="s">
        <v>5783</v>
      </c>
      <c r="BR456">
        <v>76.41</v>
      </c>
      <c r="BT456">
        <v>2020</v>
      </c>
      <c r="BU456">
        <v>31</v>
      </c>
      <c r="BV456" t="s">
        <v>5160</v>
      </c>
      <c r="BW456">
        <v>24</v>
      </c>
      <c r="BY456" t="s">
        <v>109</v>
      </c>
      <c r="CF456" t="s">
        <v>109</v>
      </c>
      <c r="CI456" t="s">
        <v>240</v>
      </c>
      <c r="CK456" t="s">
        <v>109</v>
      </c>
      <c r="CL456" t="s">
        <v>113</v>
      </c>
      <c r="CM456" t="s">
        <v>7228</v>
      </c>
      <c r="CN456" t="s">
        <v>113</v>
      </c>
      <c r="CO456" t="s">
        <v>7229</v>
      </c>
      <c r="CP456" t="s">
        <v>7230</v>
      </c>
      <c r="CQ456" t="s">
        <v>7231</v>
      </c>
      <c r="CR456" t="s">
        <v>136</v>
      </c>
      <c r="CS456" t="str">
        <f>HYPERLINK("https://nconnect.nicmar.ac.in/pdf/647_resume_1771999391.pdf/Y2FyZWVy","View Resume")</f>
        <v>0</v>
      </c>
    </row>
    <row r="457" spans="1:97">
      <c r="A457" t="s">
        <v>372</v>
      </c>
      <c r="B457" t="s">
        <v>98</v>
      </c>
      <c r="C457" t="s">
        <v>165</v>
      </c>
      <c r="D457" t="s">
        <v>224</v>
      </c>
      <c r="E457" t="s">
        <v>7232</v>
      </c>
      <c r="F457" t="s">
        <v>7233</v>
      </c>
      <c r="G457">
        <v>9004657035</v>
      </c>
      <c r="H457" t="s">
        <v>169</v>
      </c>
      <c r="I457" t="s">
        <v>7234</v>
      </c>
      <c r="J457" t="s">
        <v>105</v>
      </c>
      <c r="K457" t="s">
        <v>4656</v>
      </c>
      <c r="L457" t="s">
        <v>7235</v>
      </c>
      <c r="M457" t="s">
        <v>7236</v>
      </c>
      <c r="N457" t="s">
        <v>109</v>
      </c>
      <c r="AI457" t="s">
        <v>7237</v>
      </c>
      <c r="AJ457" t="s">
        <v>7238</v>
      </c>
      <c r="AK457" t="s">
        <v>7239</v>
      </c>
      <c r="AL457">
        <v>59</v>
      </c>
      <c r="AM457" t="s">
        <v>7240</v>
      </c>
      <c r="AN457">
        <v>1985</v>
      </c>
      <c r="AO457" t="s">
        <v>113</v>
      </c>
      <c r="AP457" t="s">
        <v>7241</v>
      </c>
      <c r="AQ457" t="s">
        <v>7238</v>
      </c>
      <c r="AR457" t="s">
        <v>6944</v>
      </c>
      <c r="AS457">
        <v>66</v>
      </c>
      <c r="AT457">
        <v>9</v>
      </c>
      <c r="AU457">
        <v>1987</v>
      </c>
      <c r="AV457" t="s">
        <v>109</v>
      </c>
      <c r="BC457" t="s">
        <v>113</v>
      </c>
      <c r="BD457" t="s">
        <v>7242</v>
      </c>
      <c r="BE457" t="s">
        <v>7243</v>
      </c>
      <c r="BF457" t="s">
        <v>6944</v>
      </c>
      <c r="BG457">
        <v>63</v>
      </c>
      <c r="BH457">
        <v>9</v>
      </c>
      <c r="BI457">
        <v>1990</v>
      </c>
      <c r="BJ457">
        <v>19</v>
      </c>
      <c r="BK457" t="s">
        <v>7244</v>
      </c>
      <c r="BL457">
        <v>53</v>
      </c>
      <c r="BM457" t="s">
        <v>839</v>
      </c>
      <c r="BN457" t="s">
        <v>113</v>
      </c>
      <c r="BO457" t="s">
        <v>358</v>
      </c>
      <c r="BP457" t="s">
        <v>7245</v>
      </c>
      <c r="BQ457" t="s">
        <v>6560</v>
      </c>
      <c r="BR457">
        <v>60</v>
      </c>
      <c r="BS457">
        <v>9</v>
      </c>
      <c r="BT457">
        <v>1993</v>
      </c>
      <c r="BU457">
        <v>17</v>
      </c>
      <c r="BW457">
        <v>54</v>
      </c>
      <c r="BY457" t="s">
        <v>113</v>
      </c>
      <c r="BZ457" t="s">
        <v>3863</v>
      </c>
      <c r="CA457" t="s">
        <v>7246</v>
      </c>
      <c r="CB457" t="s">
        <v>7247</v>
      </c>
      <c r="CC457">
        <v>61</v>
      </c>
      <c r="CD457">
        <v>9</v>
      </c>
      <c r="CE457">
        <v>2012</v>
      </c>
      <c r="CF457" t="s">
        <v>113</v>
      </c>
      <c r="CG457" t="s">
        <v>6560</v>
      </c>
      <c r="CH457" t="s">
        <v>7248</v>
      </c>
      <c r="CI457" t="s">
        <v>132</v>
      </c>
      <c r="CJ457">
        <v>2016</v>
      </c>
      <c r="CL457" t="s">
        <v>109</v>
      </c>
      <c r="CN457" t="s">
        <v>113</v>
      </c>
      <c r="CO457" t="s">
        <v>7249</v>
      </c>
      <c r="CP457" t="s">
        <v>435</v>
      </c>
      <c r="CQ457" t="s">
        <v>7250</v>
      </c>
      <c r="CR457" t="s">
        <v>136</v>
      </c>
      <c r="CS457" t="str">
        <f>HYPERLINK("https://nconnect.nicmar.ac.in/pdf/654_resume_1772001058.pdf/Y2FyZWVy","View Resume")</f>
        <v>0</v>
      </c>
    </row>
    <row r="458" spans="1:97">
      <c r="A458" t="s">
        <v>192</v>
      </c>
      <c r="B458" t="s">
        <v>138</v>
      </c>
      <c r="C458" t="s">
        <v>165</v>
      </c>
      <c r="D458" t="s">
        <v>193</v>
      </c>
      <c r="E458" t="s">
        <v>7251</v>
      </c>
      <c r="F458" t="s">
        <v>7252</v>
      </c>
      <c r="G458">
        <v>9881864696</v>
      </c>
      <c r="H458" t="s">
        <v>103</v>
      </c>
      <c r="I458" t="s">
        <v>7253</v>
      </c>
      <c r="J458" t="s">
        <v>144</v>
      </c>
      <c r="K458" t="s">
        <v>4361</v>
      </c>
      <c r="L458" t="s">
        <v>7254</v>
      </c>
      <c r="M458" t="s">
        <v>7255</v>
      </c>
      <c r="N458" t="s">
        <v>109</v>
      </c>
      <c r="AI458" t="s">
        <v>7256</v>
      </c>
      <c r="AJ458" t="s">
        <v>7257</v>
      </c>
      <c r="AK458" t="s">
        <v>7258</v>
      </c>
      <c r="AL458">
        <v>47.0</v>
      </c>
      <c r="AN458">
        <v>2000</v>
      </c>
      <c r="AO458" t="s">
        <v>113</v>
      </c>
      <c r="AP458" t="s">
        <v>7259</v>
      </c>
      <c r="AQ458" t="s">
        <v>7257</v>
      </c>
      <c r="AR458" t="s">
        <v>1425</v>
      </c>
      <c r="AS458">
        <v>48</v>
      </c>
      <c r="AU458">
        <v>2004</v>
      </c>
      <c r="AV458" t="s">
        <v>109</v>
      </c>
      <c r="BC458" t="s">
        <v>113</v>
      </c>
      <c r="BD458" t="s">
        <v>7260</v>
      </c>
      <c r="BE458" t="s">
        <v>7261</v>
      </c>
      <c r="BF458" t="s">
        <v>7262</v>
      </c>
      <c r="BG458">
        <v>65</v>
      </c>
      <c r="BI458">
        <v>2010</v>
      </c>
      <c r="BJ458">
        <v>19</v>
      </c>
      <c r="BK458" t="s">
        <v>985</v>
      </c>
      <c r="BL458">
        <v>53</v>
      </c>
      <c r="BM458" t="s">
        <v>3599</v>
      </c>
      <c r="BN458" t="s">
        <v>113</v>
      </c>
      <c r="BO458" t="s">
        <v>7263</v>
      </c>
      <c r="BP458" t="s">
        <v>7264</v>
      </c>
      <c r="BQ458" t="s">
        <v>746</v>
      </c>
      <c r="BR458">
        <v>64</v>
      </c>
      <c r="BT458">
        <v>2015</v>
      </c>
      <c r="BU458">
        <v>31</v>
      </c>
      <c r="BV458" t="s">
        <v>339</v>
      </c>
      <c r="BW458">
        <v>33</v>
      </c>
      <c r="BY458" t="s">
        <v>109</v>
      </c>
      <c r="CF458" t="s">
        <v>113</v>
      </c>
      <c r="CG458" t="s">
        <v>7265</v>
      </c>
      <c r="CH458" t="s">
        <v>7266</v>
      </c>
      <c r="CI458" t="s">
        <v>132</v>
      </c>
      <c r="CJ458">
        <v>2025</v>
      </c>
      <c r="CL458" t="s">
        <v>109</v>
      </c>
      <c r="CN458" t="s">
        <v>113</v>
      </c>
      <c r="CO458" t="s">
        <v>7267</v>
      </c>
      <c r="CP458" t="s">
        <v>7268</v>
      </c>
      <c r="CQ458" t="s">
        <v>7269</v>
      </c>
      <c r="CR458" t="s">
        <v>136</v>
      </c>
      <c r="CS458" t="str">
        <f>HYPERLINK("https://nconnect.nicmar.ac.in/pdf/656_resume_1772001683.pdf/Y2FyZWVy","View Resume")</f>
        <v>0</v>
      </c>
    </row>
    <row r="459" spans="1:97">
      <c r="A459" t="s">
        <v>370</v>
      </c>
      <c r="B459" t="s">
        <v>138</v>
      </c>
      <c r="C459" t="s">
        <v>295</v>
      </c>
      <c r="D459" t="s">
        <v>371</v>
      </c>
      <c r="E459" t="s">
        <v>7270</v>
      </c>
      <c r="F459" t="s">
        <v>7271</v>
      </c>
      <c r="G459">
        <v>9096281953</v>
      </c>
      <c r="H459" t="s">
        <v>169</v>
      </c>
      <c r="I459" t="s">
        <v>7272</v>
      </c>
      <c r="J459" t="s">
        <v>595</v>
      </c>
      <c r="K459" t="s">
        <v>484</v>
      </c>
      <c r="L459" t="s">
        <v>7273</v>
      </c>
      <c r="M459" t="s">
        <v>7274</v>
      </c>
      <c r="N459" t="s">
        <v>109</v>
      </c>
      <c r="O459" t="s">
        <v>7275</v>
      </c>
      <c r="P459" t="s">
        <v>7276</v>
      </c>
      <c r="AI459" t="s">
        <v>7277</v>
      </c>
      <c r="AJ459" t="s">
        <v>600</v>
      </c>
      <c r="AK459" t="s">
        <v>777</v>
      </c>
      <c r="AL459">
        <v>70</v>
      </c>
      <c r="AN459">
        <v>2000</v>
      </c>
      <c r="AO459" t="s">
        <v>113</v>
      </c>
      <c r="AP459" t="s">
        <v>7278</v>
      </c>
      <c r="AQ459" t="s">
        <v>600</v>
      </c>
      <c r="AR459" t="s">
        <v>277</v>
      </c>
      <c r="AS459">
        <v>72</v>
      </c>
      <c r="AU459">
        <v>2002</v>
      </c>
      <c r="AV459" t="s">
        <v>113</v>
      </c>
      <c r="AW459" t="s">
        <v>7279</v>
      </c>
      <c r="AX459" t="s">
        <v>7280</v>
      </c>
      <c r="AY459" t="s">
        <v>7281</v>
      </c>
      <c r="AZ459">
        <v>74.99</v>
      </c>
      <c r="BB459">
        <v>2005</v>
      </c>
      <c r="BC459" t="s">
        <v>113</v>
      </c>
      <c r="BD459" t="s">
        <v>7282</v>
      </c>
      <c r="BE459" t="s">
        <v>7283</v>
      </c>
      <c r="BF459" t="s">
        <v>7281</v>
      </c>
      <c r="BG459">
        <v>69</v>
      </c>
      <c r="BH459">
        <v>7</v>
      </c>
      <c r="BI459">
        <v>2017</v>
      </c>
      <c r="BJ459">
        <v>1</v>
      </c>
      <c r="BL459">
        <v>9</v>
      </c>
      <c r="BN459" t="s">
        <v>113</v>
      </c>
      <c r="BO459" t="s">
        <v>961</v>
      </c>
      <c r="BP459" t="s">
        <v>7284</v>
      </c>
      <c r="BQ459" t="s">
        <v>607</v>
      </c>
      <c r="BR459">
        <v>83</v>
      </c>
      <c r="BS459">
        <v>8.3</v>
      </c>
      <c r="BT459">
        <v>2021</v>
      </c>
      <c r="BU459">
        <v>31</v>
      </c>
      <c r="BV459" t="s">
        <v>7285</v>
      </c>
      <c r="BW459">
        <v>53</v>
      </c>
      <c r="BX459" t="s">
        <v>7286</v>
      </c>
      <c r="BY459" t="s">
        <v>109</v>
      </c>
      <c r="BZ459" t="s">
        <v>7287</v>
      </c>
      <c r="CA459" t="s">
        <v>7288</v>
      </c>
      <c r="CB459" t="s">
        <v>796</v>
      </c>
      <c r="CE459">
        <v>2026</v>
      </c>
      <c r="CF459" t="s">
        <v>113</v>
      </c>
      <c r="CG459" t="s">
        <v>7289</v>
      </c>
      <c r="CH459" t="s">
        <v>7290</v>
      </c>
      <c r="CI459" t="s">
        <v>240</v>
      </c>
      <c r="CK459" t="s">
        <v>109</v>
      </c>
      <c r="CL459" t="s">
        <v>109</v>
      </c>
      <c r="CN459" t="s">
        <v>113</v>
      </c>
      <c r="CO459" t="s">
        <v>7291</v>
      </c>
      <c r="CP459" t="s">
        <v>7292</v>
      </c>
      <c r="CQ459" t="s">
        <v>7293</v>
      </c>
      <c r="CR459" t="s">
        <v>136</v>
      </c>
      <c r="CS459" t="str">
        <f>HYPERLINK("https://nconnect.nicmar.ac.in/pdf/650_resume_1771996505.pdf/Y2FyZWVy","View Resume")</f>
        <v>0</v>
      </c>
    </row>
    <row r="460" spans="1:97">
      <c r="A460" t="s">
        <v>2591</v>
      </c>
      <c r="B460" t="s">
        <v>138</v>
      </c>
      <c r="C460" t="s">
        <v>295</v>
      </c>
      <c r="D460" t="s">
        <v>2592</v>
      </c>
      <c r="E460" t="s">
        <v>7270</v>
      </c>
      <c r="F460" t="s">
        <v>7271</v>
      </c>
      <c r="G460">
        <v>9096281953</v>
      </c>
      <c r="H460" t="s">
        <v>169</v>
      </c>
      <c r="I460" t="s">
        <v>7272</v>
      </c>
      <c r="J460" t="s">
        <v>595</v>
      </c>
      <c r="K460" t="s">
        <v>484</v>
      </c>
      <c r="L460" t="s">
        <v>7273</v>
      </c>
      <c r="M460" t="s">
        <v>7274</v>
      </c>
      <c r="N460" t="s">
        <v>109</v>
      </c>
      <c r="O460" t="s">
        <v>7275</v>
      </c>
      <c r="P460" t="s">
        <v>7276</v>
      </c>
      <c r="AI460" t="s">
        <v>7277</v>
      </c>
      <c r="AJ460" t="s">
        <v>600</v>
      </c>
      <c r="AK460" t="s">
        <v>777</v>
      </c>
      <c r="AL460">
        <v>70</v>
      </c>
      <c r="AN460">
        <v>2000</v>
      </c>
      <c r="AO460" t="s">
        <v>113</v>
      </c>
      <c r="AP460" t="s">
        <v>7278</v>
      </c>
      <c r="AQ460" t="s">
        <v>600</v>
      </c>
      <c r="AR460" t="s">
        <v>277</v>
      </c>
      <c r="AS460">
        <v>72</v>
      </c>
      <c r="AU460">
        <v>2002</v>
      </c>
      <c r="AV460" t="s">
        <v>113</v>
      </c>
      <c r="AW460" t="s">
        <v>7279</v>
      </c>
      <c r="AX460" t="s">
        <v>7280</v>
      </c>
      <c r="AY460" t="s">
        <v>7281</v>
      </c>
      <c r="AZ460">
        <v>74.99</v>
      </c>
      <c r="BB460">
        <v>2005</v>
      </c>
      <c r="BC460" t="s">
        <v>113</v>
      </c>
      <c r="BD460" t="s">
        <v>7282</v>
      </c>
      <c r="BE460" t="s">
        <v>7283</v>
      </c>
      <c r="BF460" t="s">
        <v>7281</v>
      </c>
      <c r="BG460">
        <v>69</v>
      </c>
      <c r="BH460">
        <v>7</v>
      </c>
      <c r="BI460">
        <v>2017</v>
      </c>
      <c r="BJ460">
        <v>1</v>
      </c>
      <c r="BL460">
        <v>9</v>
      </c>
      <c r="BN460" t="s">
        <v>113</v>
      </c>
      <c r="BO460" t="s">
        <v>961</v>
      </c>
      <c r="BP460" t="s">
        <v>7284</v>
      </c>
      <c r="BQ460" t="s">
        <v>607</v>
      </c>
      <c r="BR460">
        <v>83</v>
      </c>
      <c r="BS460">
        <v>8.3</v>
      </c>
      <c r="BT460">
        <v>2021</v>
      </c>
      <c r="BU460">
        <v>31</v>
      </c>
      <c r="BV460" t="s">
        <v>7285</v>
      </c>
      <c r="BW460">
        <v>53</v>
      </c>
      <c r="BX460" t="s">
        <v>7286</v>
      </c>
      <c r="BY460" t="s">
        <v>109</v>
      </c>
      <c r="BZ460" t="s">
        <v>7287</v>
      </c>
      <c r="CA460" t="s">
        <v>7288</v>
      </c>
      <c r="CB460" t="s">
        <v>796</v>
      </c>
      <c r="CE460">
        <v>2026</v>
      </c>
      <c r="CF460" t="s">
        <v>113</v>
      </c>
      <c r="CG460" t="s">
        <v>7289</v>
      </c>
      <c r="CH460" t="s">
        <v>7290</v>
      </c>
      <c r="CI460" t="s">
        <v>240</v>
      </c>
      <c r="CK460" t="s">
        <v>109</v>
      </c>
      <c r="CL460" t="s">
        <v>109</v>
      </c>
      <c r="CN460" t="s">
        <v>113</v>
      </c>
      <c r="CO460" t="s">
        <v>7291</v>
      </c>
      <c r="CP460" t="s">
        <v>7292</v>
      </c>
      <c r="CQ460" t="s">
        <v>7294</v>
      </c>
      <c r="CR460" t="s">
        <v>136</v>
      </c>
      <c r="CS460" t="str">
        <f>HYPERLINK("https://nconnect.nicmar.ac.in/pdf/650_resume_1771996505.pdf/Y2FyZWVy","View Resume")</f>
        <v>0</v>
      </c>
    </row>
    <row r="461" spans="1:97">
      <c r="A461" t="s">
        <v>367</v>
      </c>
      <c r="B461" t="s">
        <v>138</v>
      </c>
      <c r="C461" t="s">
        <v>295</v>
      </c>
      <c r="D461" t="s">
        <v>368</v>
      </c>
      <c r="E461" t="s">
        <v>7270</v>
      </c>
      <c r="F461" t="s">
        <v>7271</v>
      </c>
      <c r="G461">
        <v>9096281953</v>
      </c>
      <c r="H461" t="s">
        <v>169</v>
      </c>
      <c r="I461" t="s">
        <v>7272</v>
      </c>
      <c r="J461" t="s">
        <v>595</v>
      </c>
      <c r="K461" t="s">
        <v>484</v>
      </c>
      <c r="L461" t="s">
        <v>7273</v>
      </c>
      <c r="M461" t="s">
        <v>7274</v>
      </c>
      <c r="N461" t="s">
        <v>109</v>
      </c>
      <c r="O461" t="s">
        <v>7275</v>
      </c>
      <c r="P461" t="s">
        <v>7276</v>
      </c>
      <c r="AI461" t="s">
        <v>7277</v>
      </c>
      <c r="AJ461" t="s">
        <v>600</v>
      </c>
      <c r="AK461" t="s">
        <v>777</v>
      </c>
      <c r="AL461">
        <v>70</v>
      </c>
      <c r="AN461">
        <v>2000</v>
      </c>
      <c r="AO461" t="s">
        <v>113</v>
      </c>
      <c r="AP461" t="s">
        <v>7278</v>
      </c>
      <c r="AQ461" t="s">
        <v>600</v>
      </c>
      <c r="AR461" t="s">
        <v>277</v>
      </c>
      <c r="AS461">
        <v>72</v>
      </c>
      <c r="AU461">
        <v>2002</v>
      </c>
      <c r="AV461" t="s">
        <v>113</v>
      </c>
      <c r="AW461" t="s">
        <v>7279</v>
      </c>
      <c r="AX461" t="s">
        <v>7280</v>
      </c>
      <c r="AY461" t="s">
        <v>7281</v>
      </c>
      <c r="AZ461">
        <v>74.99</v>
      </c>
      <c r="BB461">
        <v>2005</v>
      </c>
      <c r="BC461" t="s">
        <v>113</v>
      </c>
      <c r="BD461" t="s">
        <v>7282</v>
      </c>
      <c r="BE461" t="s">
        <v>7283</v>
      </c>
      <c r="BF461" t="s">
        <v>7281</v>
      </c>
      <c r="BG461">
        <v>69</v>
      </c>
      <c r="BH461">
        <v>7</v>
      </c>
      <c r="BI461">
        <v>2017</v>
      </c>
      <c r="BJ461">
        <v>1</v>
      </c>
      <c r="BL461">
        <v>9</v>
      </c>
      <c r="BN461" t="s">
        <v>113</v>
      </c>
      <c r="BO461" t="s">
        <v>961</v>
      </c>
      <c r="BP461" t="s">
        <v>7284</v>
      </c>
      <c r="BQ461" t="s">
        <v>607</v>
      </c>
      <c r="BR461">
        <v>83</v>
      </c>
      <c r="BS461">
        <v>8.3</v>
      </c>
      <c r="BT461">
        <v>2021</v>
      </c>
      <c r="BU461">
        <v>31</v>
      </c>
      <c r="BV461" t="s">
        <v>7285</v>
      </c>
      <c r="BW461">
        <v>53</v>
      </c>
      <c r="BX461" t="s">
        <v>7286</v>
      </c>
      <c r="BY461" t="s">
        <v>109</v>
      </c>
      <c r="BZ461" t="s">
        <v>7287</v>
      </c>
      <c r="CA461" t="s">
        <v>7288</v>
      </c>
      <c r="CB461" t="s">
        <v>796</v>
      </c>
      <c r="CE461">
        <v>2026</v>
      </c>
      <c r="CF461" t="s">
        <v>113</v>
      </c>
      <c r="CG461" t="s">
        <v>7289</v>
      </c>
      <c r="CH461" t="s">
        <v>7290</v>
      </c>
      <c r="CI461" t="s">
        <v>240</v>
      </c>
      <c r="CK461" t="s">
        <v>109</v>
      </c>
      <c r="CL461" t="s">
        <v>109</v>
      </c>
      <c r="CN461" t="s">
        <v>113</v>
      </c>
      <c r="CO461" t="s">
        <v>7291</v>
      </c>
      <c r="CP461" t="s">
        <v>7292</v>
      </c>
      <c r="CQ461" t="s">
        <v>7294</v>
      </c>
      <c r="CR461" t="s">
        <v>136</v>
      </c>
      <c r="CS461" t="str">
        <f>HYPERLINK("https://nconnect.nicmar.ac.in/pdf/650_resume_1771996505.pdf/Y2FyZWVy","View Resume")</f>
        <v>0</v>
      </c>
    </row>
    <row r="462" spans="1:97">
      <c r="A462" t="s">
        <v>192</v>
      </c>
      <c r="B462" t="s">
        <v>138</v>
      </c>
      <c r="C462" t="s">
        <v>165</v>
      </c>
      <c r="D462" t="s">
        <v>193</v>
      </c>
      <c r="E462" t="s">
        <v>7295</v>
      </c>
      <c r="F462" t="s">
        <v>7296</v>
      </c>
      <c r="G462">
        <v>9847777371</v>
      </c>
      <c r="H462" t="s">
        <v>103</v>
      </c>
      <c r="I462" t="s">
        <v>7297</v>
      </c>
      <c r="J462" t="s">
        <v>105</v>
      </c>
      <c r="K462" t="s">
        <v>7298</v>
      </c>
      <c r="L462" t="s">
        <v>7299</v>
      </c>
      <c r="M462" t="s">
        <v>7300</v>
      </c>
      <c r="N462" t="s">
        <v>109</v>
      </c>
      <c r="AI462" t="s">
        <v>7301</v>
      </c>
      <c r="AJ462" t="s">
        <v>7302</v>
      </c>
      <c r="AK462" t="s">
        <v>6048</v>
      </c>
      <c r="AL462">
        <v>55</v>
      </c>
      <c r="AN462">
        <v>2001</v>
      </c>
      <c r="AO462" t="s">
        <v>113</v>
      </c>
      <c r="AP462" t="s">
        <v>7303</v>
      </c>
      <c r="AQ462" t="s">
        <v>7304</v>
      </c>
      <c r="AR462" t="s">
        <v>839</v>
      </c>
      <c r="AS462">
        <v>55</v>
      </c>
      <c r="AT462">
        <v>6</v>
      </c>
      <c r="AU462">
        <v>2003</v>
      </c>
      <c r="AV462" t="s">
        <v>109</v>
      </c>
      <c r="BC462" t="s">
        <v>113</v>
      </c>
      <c r="BD462" t="s">
        <v>7305</v>
      </c>
      <c r="BE462" t="s">
        <v>7306</v>
      </c>
      <c r="BF462" t="s">
        <v>839</v>
      </c>
      <c r="BG462">
        <v>55</v>
      </c>
      <c r="BH462">
        <v>6</v>
      </c>
      <c r="BI462">
        <v>2006</v>
      </c>
      <c r="BJ462">
        <v>19</v>
      </c>
      <c r="BK462" t="s">
        <v>2528</v>
      </c>
      <c r="BL462">
        <v>24</v>
      </c>
      <c r="BN462" t="s">
        <v>113</v>
      </c>
      <c r="BO462" t="s">
        <v>7305</v>
      </c>
      <c r="BP462" t="s">
        <v>7307</v>
      </c>
      <c r="BQ462" t="s">
        <v>7308</v>
      </c>
      <c r="BR462">
        <v>63.4</v>
      </c>
      <c r="BT462">
        <v>2009</v>
      </c>
      <c r="BU462">
        <v>31</v>
      </c>
      <c r="BV462" t="s">
        <v>5403</v>
      </c>
      <c r="BW462">
        <v>24</v>
      </c>
      <c r="BY462" t="s">
        <v>109</v>
      </c>
      <c r="CF462" t="s">
        <v>113</v>
      </c>
      <c r="CG462" t="s">
        <v>7309</v>
      </c>
      <c r="CH462" t="s">
        <v>7310</v>
      </c>
      <c r="CI462" t="s">
        <v>132</v>
      </c>
      <c r="CJ462">
        <v>2017</v>
      </c>
      <c r="CL462" t="s">
        <v>109</v>
      </c>
      <c r="CM462" t="s">
        <v>7311</v>
      </c>
      <c r="CN462" t="s">
        <v>113</v>
      </c>
      <c r="CO462" t="s">
        <v>7312</v>
      </c>
      <c r="CP462" t="s">
        <v>7313</v>
      </c>
      <c r="CQ462" t="s">
        <v>7314</v>
      </c>
      <c r="CR462" t="str">
        <f>HYPERLINK("https://nconnect.nicmar.ac.in/public/storage/profile/699e8ebb38ede.png","Download")</f>
        <v>0</v>
      </c>
      <c r="CS462" t="str">
        <f>HYPERLINK("https://nconnect.nicmar.ac.in/pdf/655_resume_1772003356.pdf/Y2FyZWVy","View Resume")</f>
        <v>0</v>
      </c>
    </row>
    <row r="463" spans="1:97">
      <c r="A463" t="s">
        <v>192</v>
      </c>
      <c r="B463" t="s">
        <v>138</v>
      </c>
      <c r="C463" t="s">
        <v>165</v>
      </c>
      <c r="D463" t="s">
        <v>193</v>
      </c>
      <c r="E463" t="s">
        <v>7315</v>
      </c>
      <c r="F463" t="s">
        <v>7316</v>
      </c>
      <c r="G463">
        <v>8329896244</v>
      </c>
      <c r="H463" t="s">
        <v>103</v>
      </c>
      <c r="I463" t="s">
        <v>7317</v>
      </c>
      <c r="J463" t="s">
        <v>105</v>
      </c>
      <c r="K463" t="s">
        <v>272</v>
      </c>
      <c r="L463" t="s">
        <v>7318</v>
      </c>
      <c r="M463" t="s">
        <v>7319</v>
      </c>
      <c r="N463" t="s">
        <v>109</v>
      </c>
      <c r="AI463" t="s">
        <v>7320</v>
      </c>
      <c r="AJ463" t="s">
        <v>7321</v>
      </c>
      <c r="AK463" t="s">
        <v>7322</v>
      </c>
      <c r="AL463">
        <v>69.71</v>
      </c>
      <c r="AN463">
        <v>1995</v>
      </c>
      <c r="AO463" t="s">
        <v>113</v>
      </c>
      <c r="AP463" t="s">
        <v>7323</v>
      </c>
      <c r="AQ463" t="s">
        <v>7321</v>
      </c>
      <c r="AR463" t="s">
        <v>7324</v>
      </c>
      <c r="AS463">
        <v>39.66</v>
      </c>
      <c r="AU463">
        <v>1997</v>
      </c>
      <c r="AV463" t="s">
        <v>113</v>
      </c>
      <c r="AW463" t="s">
        <v>7325</v>
      </c>
      <c r="AX463" t="s">
        <v>7326</v>
      </c>
      <c r="AY463" t="s">
        <v>7327</v>
      </c>
      <c r="AZ463">
        <v>65</v>
      </c>
      <c r="BB463">
        <v>2001</v>
      </c>
      <c r="BC463" t="s">
        <v>113</v>
      </c>
      <c r="BD463" t="s">
        <v>1215</v>
      </c>
      <c r="BE463" t="s">
        <v>7328</v>
      </c>
      <c r="BF463" t="s">
        <v>7329</v>
      </c>
      <c r="BG463">
        <v>63.62</v>
      </c>
      <c r="BI463">
        <v>2010</v>
      </c>
      <c r="BJ463">
        <v>19</v>
      </c>
      <c r="BK463" t="s">
        <v>7330</v>
      </c>
      <c r="BL463">
        <v>33</v>
      </c>
      <c r="BN463" t="s">
        <v>113</v>
      </c>
      <c r="BO463" t="s">
        <v>1215</v>
      </c>
      <c r="BP463" t="s">
        <v>7331</v>
      </c>
      <c r="BQ463" t="s">
        <v>7332</v>
      </c>
      <c r="BR463">
        <v>60.25</v>
      </c>
      <c r="BT463">
        <v>2012</v>
      </c>
      <c r="BU463">
        <v>31</v>
      </c>
      <c r="BV463" t="s">
        <v>7333</v>
      </c>
      <c r="BW463">
        <v>33</v>
      </c>
      <c r="BY463" t="s">
        <v>109</v>
      </c>
      <c r="CF463" t="s">
        <v>113</v>
      </c>
      <c r="CG463" t="s">
        <v>2491</v>
      </c>
      <c r="CH463" t="s">
        <v>7334</v>
      </c>
      <c r="CI463" t="s">
        <v>132</v>
      </c>
      <c r="CJ463">
        <v>2022</v>
      </c>
      <c r="CL463" t="s">
        <v>113</v>
      </c>
      <c r="CN463" t="s">
        <v>109</v>
      </c>
      <c r="CP463" t="s">
        <v>460</v>
      </c>
      <c r="CQ463" t="s">
        <v>7335</v>
      </c>
      <c r="CR463" t="s">
        <v>136</v>
      </c>
      <c r="CS463" t="str">
        <f>HYPERLINK("https://nconnect.nicmar.ac.in/pdf/616_resume_1772004064.pdf/Y2FyZWVy","View Resume")</f>
        <v>0</v>
      </c>
    </row>
    <row r="464" spans="1:97">
      <c r="A464" t="s">
        <v>702</v>
      </c>
      <c r="B464" t="s">
        <v>138</v>
      </c>
      <c r="C464" t="s">
        <v>703</v>
      </c>
      <c r="D464" t="s">
        <v>704</v>
      </c>
      <c r="E464" t="s">
        <v>7336</v>
      </c>
      <c r="F464" t="s">
        <v>7337</v>
      </c>
      <c r="G464">
        <v>9903875022</v>
      </c>
      <c r="H464" t="s">
        <v>103</v>
      </c>
      <c r="I464" t="s">
        <v>7338</v>
      </c>
      <c r="J464" t="s">
        <v>105</v>
      </c>
      <c r="K464" t="s">
        <v>423</v>
      </c>
      <c r="L464" t="s">
        <v>7339</v>
      </c>
      <c r="M464" t="s">
        <v>7340</v>
      </c>
      <c r="N464" t="s">
        <v>109</v>
      </c>
      <c r="AI464" t="s">
        <v>7341</v>
      </c>
      <c r="AJ464" t="s">
        <v>736</v>
      </c>
      <c r="AK464" t="s">
        <v>277</v>
      </c>
      <c r="AL464">
        <v>70</v>
      </c>
      <c r="AN464">
        <v>2007</v>
      </c>
      <c r="AO464" t="s">
        <v>113</v>
      </c>
      <c r="AP464" t="s">
        <v>7341</v>
      </c>
      <c r="AQ464" t="s">
        <v>738</v>
      </c>
      <c r="AR464" t="s">
        <v>277</v>
      </c>
      <c r="AS464">
        <v>69</v>
      </c>
      <c r="AU464">
        <v>2009</v>
      </c>
      <c r="AV464" t="s">
        <v>109</v>
      </c>
      <c r="BC464" t="s">
        <v>113</v>
      </c>
      <c r="BD464" t="s">
        <v>7342</v>
      </c>
      <c r="BE464" t="s">
        <v>7343</v>
      </c>
      <c r="BF464" t="s">
        <v>1117</v>
      </c>
      <c r="BG464">
        <v>67</v>
      </c>
      <c r="BI464">
        <v>2015</v>
      </c>
      <c r="BJ464">
        <v>8</v>
      </c>
      <c r="BL464">
        <v>2</v>
      </c>
      <c r="BN464" t="s">
        <v>113</v>
      </c>
      <c r="BO464" t="s">
        <v>1132</v>
      </c>
      <c r="BP464" t="s">
        <v>1132</v>
      </c>
      <c r="BQ464" t="s">
        <v>3529</v>
      </c>
      <c r="BR464">
        <v>81</v>
      </c>
      <c r="BT464">
        <v>2020</v>
      </c>
      <c r="BU464">
        <v>31</v>
      </c>
      <c r="BV464" t="s">
        <v>7344</v>
      </c>
      <c r="BW464">
        <v>53</v>
      </c>
      <c r="BX464" t="s">
        <v>3529</v>
      </c>
      <c r="BY464" t="s">
        <v>109</v>
      </c>
      <c r="CF464" t="s">
        <v>109</v>
      </c>
      <c r="CL464" t="s">
        <v>109</v>
      </c>
      <c r="CN464" t="s">
        <v>113</v>
      </c>
      <c r="CO464" t="s">
        <v>7345</v>
      </c>
      <c r="CP464" t="s">
        <v>7346</v>
      </c>
      <c r="CQ464" t="s">
        <v>7347</v>
      </c>
      <c r="CR464" t="str">
        <f>HYPERLINK("https://nconnect.nicmar.ac.in/public/storage/profile/699e7e88726dd.png","Download")</f>
        <v>0</v>
      </c>
      <c r="CS464" t="str">
        <f>HYPERLINK("https://nconnect.nicmar.ac.in/pdf/651_resume_1772004088.pdf/Y2FyZWVy","View Resume")</f>
        <v>0</v>
      </c>
    </row>
    <row r="465" spans="1:97">
      <c r="A465" t="s">
        <v>7348</v>
      </c>
      <c r="B465" t="s">
        <v>2596</v>
      </c>
      <c r="C465" t="s">
        <v>139</v>
      </c>
      <c r="D465" t="s">
        <v>927</v>
      </c>
      <c r="E465" t="s">
        <v>7349</v>
      </c>
      <c r="F465" t="s">
        <v>7350</v>
      </c>
      <c r="G465">
        <v>9922460820</v>
      </c>
      <c r="H465" t="s">
        <v>103</v>
      </c>
      <c r="I465" t="s">
        <v>7351</v>
      </c>
      <c r="J465" t="s">
        <v>105</v>
      </c>
      <c r="K465" t="s">
        <v>526</v>
      </c>
      <c r="L465" t="s">
        <v>7352</v>
      </c>
      <c r="M465" t="s">
        <v>7353</v>
      </c>
      <c r="N465" t="s">
        <v>109</v>
      </c>
      <c r="AI465" t="s">
        <v>7354</v>
      </c>
      <c r="AJ465" t="s">
        <v>7355</v>
      </c>
      <c r="AK465" t="s">
        <v>277</v>
      </c>
      <c r="AL465">
        <v>71.71</v>
      </c>
      <c r="AN465">
        <v>1987</v>
      </c>
      <c r="AO465" t="s">
        <v>113</v>
      </c>
      <c r="AP465" t="s">
        <v>7356</v>
      </c>
      <c r="AQ465" t="s">
        <v>7355</v>
      </c>
      <c r="AR465" t="s">
        <v>277</v>
      </c>
      <c r="AS465">
        <v>51.33</v>
      </c>
      <c r="AU465">
        <v>1989</v>
      </c>
      <c r="AV465" t="s">
        <v>109</v>
      </c>
      <c r="BC465" t="s">
        <v>113</v>
      </c>
      <c r="BD465" t="s">
        <v>5776</v>
      </c>
      <c r="BE465" t="s">
        <v>7357</v>
      </c>
      <c r="BF465" t="s">
        <v>309</v>
      </c>
      <c r="BG465">
        <v>67.33</v>
      </c>
      <c r="BI465">
        <v>1995</v>
      </c>
      <c r="BJ465">
        <v>2</v>
      </c>
      <c r="BL465">
        <v>9</v>
      </c>
      <c r="BN465" t="s">
        <v>113</v>
      </c>
      <c r="BO465" t="s">
        <v>7358</v>
      </c>
      <c r="BP465" t="s">
        <v>7359</v>
      </c>
      <c r="BQ465" t="s">
        <v>7360</v>
      </c>
      <c r="BR465">
        <v>73.25</v>
      </c>
      <c r="BT465">
        <v>1997</v>
      </c>
      <c r="BU465">
        <v>31</v>
      </c>
      <c r="BV465" t="s">
        <v>7361</v>
      </c>
      <c r="BW465">
        <v>9</v>
      </c>
      <c r="BY465" t="s">
        <v>109</v>
      </c>
      <c r="CF465" t="s">
        <v>113</v>
      </c>
      <c r="CG465" t="s">
        <v>7362</v>
      </c>
      <c r="CH465" t="s">
        <v>7363</v>
      </c>
      <c r="CI465" t="s">
        <v>132</v>
      </c>
      <c r="CJ465">
        <v>2015</v>
      </c>
      <c r="CL465" t="s">
        <v>113</v>
      </c>
      <c r="CM465" t="s">
        <v>7364</v>
      </c>
      <c r="CN465" t="s">
        <v>113</v>
      </c>
      <c r="CO465" t="s">
        <v>7365</v>
      </c>
      <c r="CP465" t="s">
        <v>7366</v>
      </c>
      <c r="CQ465" t="s">
        <v>7367</v>
      </c>
      <c r="CR465" t="str">
        <f>HYPERLINK("https://nconnect.nicmar.ac.in/public/storage/profile/699ea59915f44.png","Download")</f>
        <v>0</v>
      </c>
      <c r="CS465" t="str">
        <f>HYPERLINK("https://nconnect.nicmar.ac.in/pdf/615_resume_1772005010.pdf/Y2FyZWVy","View Resume")</f>
        <v>0</v>
      </c>
    </row>
    <row r="466" spans="1:97">
      <c r="A466" t="s">
        <v>190</v>
      </c>
      <c r="B466" t="s">
        <v>138</v>
      </c>
      <c r="C466" t="s">
        <v>139</v>
      </c>
      <c r="D466" t="s">
        <v>191</v>
      </c>
      <c r="E466" t="s">
        <v>7368</v>
      </c>
      <c r="F466" t="s">
        <v>7369</v>
      </c>
      <c r="G466">
        <v>9356203682</v>
      </c>
      <c r="H466" t="s">
        <v>169</v>
      </c>
      <c r="I466" t="s">
        <v>7370</v>
      </c>
      <c r="J466" t="s">
        <v>144</v>
      </c>
      <c r="K466" t="s">
        <v>145</v>
      </c>
      <c r="L466" t="s">
        <v>7371</v>
      </c>
      <c r="M466" t="s">
        <v>7372</v>
      </c>
      <c r="N466" t="s">
        <v>109</v>
      </c>
      <c r="AI466" t="s">
        <v>7373</v>
      </c>
      <c r="AJ466" t="s">
        <v>1542</v>
      </c>
      <c r="AK466" t="s">
        <v>7374</v>
      </c>
      <c r="AL466">
        <v>86.4</v>
      </c>
      <c r="AN466">
        <v>2016</v>
      </c>
      <c r="AO466" t="s">
        <v>113</v>
      </c>
      <c r="AP466" t="s">
        <v>7375</v>
      </c>
      <c r="AQ466" t="s">
        <v>1542</v>
      </c>
      <c r="AR466" t="s">
        <v>7376</v>
      </c>
      <c r="AS466">
        <v>65.8</v>
      </c>
      <c r="AU466">
        <v>2018</v>
      </c>
      <c r="AV466" t="s">
        <v>109</v>
      </c>
      <c r="BC466" t="s">
        <v>113</v>
      </c>
      <c r="BD466" t="s">
        <v>279</v>
      </c>
      <c r="BE466" t="s">
        <v>7375</v>
      </c>
      <c r="BF466" t="s">
        <v>7377</v>
      </c>
      <c r="BG466">
        <v>87.42</v>
      </c>
      <c r="BI466">
        <v>2021</v>
      </c>
      <c r="BJ466">
        <v>19</v>
      </c>
      <c r="BK466" t="s">
        <v>985</v>
      </c>
      <c r="BL466">
        <v>53</v>
      </c>
      <c r="BM466" t="s">
        <v>281</v>
      </c>
      <c r="BN466" t="s">
        <v>113</v>
      </c>
      <c r="BO466" t="s">
        <v>279</v>
      </c>
      <c r="BP466" t="s">
        <v>7378</v>
      </c>
      <c r="BQ466" t="s">
        <v>7379</v>
      </c>
      <c r="BR466">
        <v>83.83</v>
      </c>
      <c r="BS466">
        <v>9.67</v>
      </c>
      <c r="BT466">
        <v>2023</v>
      </c>
      <c r="BU466">
        <v>31</v>
      </c>
      <c r="BV466" t="s">
        <v>626</v>
      </c>
      <c r="BW466">
        <v>53</v>
      </c>
      <c r="BX466" t="s">
        <v>281</v>
      </c>
      <c r="BY466" t="s">
        <v>113</v>
      </c>
      <c r="BZ466" t="s">
        <v>7380</v>
      </c>
      <c r="CA466" t="s">
        <v>7381</v>
      </c>
      <c r="CB466" t="s">
        <v>281</v>
      </c>
      <c r="CC466">
        <v>67.6</v>
      </c>
      <c r="CE466">
        <v>2025</v>
      </c>
      <c r="CF466" t="s">
        <v>109</v>
      </c>
      <c r="CJ466">
        <v>2026</v>
      </c>
      <c r="CL466" t="s">
        <v>113</v>
      </c>
      <c r="CM466" t="s">
        <v>7382</v>
      </c>
      <c r="CN466" t="s">
        <v>113</v>
      </c>
      <c r="CO466" t="s">
        <v>7383</v>
      </c>
      <c r="CP466" t="s">
        <v>7384</v>
      </c>
      <c r="CQ466" t="s">
        <v>7385</v>
      </c>
      <c r="CR466" t="s">
        <v>136</v>
      </c>
      <c r="CS466" t="str">
        <f>HYPERLINK("https://nconnect.nicmar.ac.in/pdf/534_resume_1771831411.pdf/Y2FyZWVy","View Resume")</f>
        <v>0</v>
      </c>
    </row>
    <row r="467" spans="1:97">
      <c r="A467" t="s">
        <v>294</v>
      </c>
      <c r="B467" t="s">
        <v>138</v>
      </c>
      <c r="C467" t="s">
        <v>295</v>
      </c>
      <c r="D467" t="s">
        <v>296</v>
      </c>
      <c r="E467" t="s">
        <v>7386</v>
      </c>
      <c r="F467" t="s">
        <v>7387</v>
      </c>
      <c r="G467">
        <v>7588238909</v>
      </c>
      <c r="H467" t="s">
        <v>103</v>
      </c>
      <c r="I467" t="s">
        <v>7388</v>
      </c>
      <c r="J467" t="s">
        <v>105</v>
      </c>
      <c r="K467" t="s">
        <v>2797</v>
      </c>
      <c r="L467" t="s">
        <v>7389</v>
      </c>
      <c r="M467" t="s">
        <v>7390</v>
      </c>
      <c r="N467" t="s">
        <v>109</v>
      </c>
      <c r="AI467" t="s">
        <v>7391</v>
      </c>
      <c r="AJ467" t="s">
        <v>1542</v>
      </c>
      <c r="AK467" t="s">
        <v>277</v>
      </c>
      <c r="AL467">
        <v>83.8</v>
      </c>
      <c r="AN467">
        <v>2012</v>
      </c>
      <c r="AO467" t="s">
        <v>113</v>
      </c>
      <c r="AP467" t="s">
        <v>7392</v>
      </c>
      <c r="AQ467" t="s">
        <v>1542</v>
      </c>
      <c r="AR467" t="s">
        <v>277</v>
      </c>
      <c r="AS467">
        <v>67</v>
      </c>
      <c r="AU467">
        <v>2014</v>
      </c>
      <c r="AV467" t="s">
        <v>109</v>
      </c>
      <c r="BC467" t="s">
        <v>113</v>
      </c>
      <c r="BD467" t="s">
        <v>3308</v>
      </c>
      <c r="BE467" t="s">
        <v>7393</v>
      </c>
      <c r="BF467" t="s">
        <v>309</v>
      </c>
      <c r="BG467">
        <v>72.6</v>
      </c>
      <c r="BI467">
        <v>2018</v>
      </c>
      <c r="BJ467">
        <v>2</v>
      </c>
      <c r="BL467">
        <v>9</v>
      </c>
      <c r="BN467" t="s">
        <v>113</v>
      </c>
      <c r="BO467" t="s">
        <v>964</v>
      </c>
      <c r="BP467" t="s">
        <v>7394</v>
      </c>
      <c r="BQ467" t="s">
        <v>1350</v>
      </c>
      <c r="BR467">
        <v>86</v>
      </c>
      <c r="BS467">
        <v>8.6</v>
      </c>
      <c r="BT467">
        <v>2020</v>
      </c>
      <c r="BU467">
        <v>12</v>
      </c>
      <c r="BW467">
        <v>15</v>
      </c>
      <c r="BY467" t="s">
        <v>113</v>
      </c>
      <c r="BZ467" t="s">
        <v>7395</v>
      </c>
      <c r="CA467" t="s">
        <v>7396</v>
      </c>
      <c r="CB467" t="s">
        <v>7397</v>
      </c>
      <c r="CC467">
        <v>80</v>
      </c>
      <c r="CE467">
        <v>2022</v>
      </c>
      <c r="CF467" t="s">
        <v>113</v>
      </c>
      <c r="CG467" t="s">
        <v>2649</v>
      </c>
      <c r="CH467" t="s">
        <v>5806</v>
      </c>
      <c r="CI467" t="s">
        <v>132</v>
      </c>
      <c r="CJ467">
        <v>2024</v>
      </c>
      <c r="CL467" t="s">
        <v>109</v>
      </c>
      <c r="CN467" t="s">
        <v>113</v>
      </c>
      <c r="CO467" t="s">
        <v>7398</v>
      </c>
      <c r="CP467" t="s">
        <v>7399</v>
      </c>
      <c r="CQ467" t="s">
        <v>7400</v>
      </c>
      <c r="CR467" t="str">
        <f>HYPERLINK("https://nconnect.nicmar.ac.in/public/storage/profile/699d541a017e7.png","Download")</f>
        <v>0</v>
      </c>
      <c r="CS467" t="str">
        <f>HYPERLINK("https://nconnect.nicmar.ac.in/pdf/613_resume_1772005478.pdf/Y2FyZWVy","View Resume")</f>
        <v>0</v>
      </c>
    </row>
    <row r="468" spans="1:97">
      <c r="A468" t="s">
        <v>137</v>
      </c>
      <c r="B468" t="s">
        <v>138</v>
      </c>
      <c r="C468" t="s">
        <v>139</v>
      </c>
      <c r="D468" t="s">
        <v>140</v>
      </c>
      <c r="E468" t="s">
        <v>7401</v>
      </c>
      <c r="F468" t="s">
        <v>7402</v>
      </c>
      <c r="G468">
        <v>9423284282</v>
      </c>
      <c r="H468" t="s">
        <v>103</v>
      </c>
      <c r="I468" t="s">
        <v>7403</v>
      </c>
      <c r="J468" t="s">
        <v>105</v>
      </c>
      <c r="K468" t="s">
        <v>2797</v>
      </c>
      <c r="L468" t="s">
        <v>7404</v>
      </c>
      <c r="M468" t="s">
        <v>7405</v>
      </c>
      <c r="N468" t="s">
        <v>109</v>
      </c>
      <c r="AI468" t="s">
        <v>7406</v>
      </c>
      <c r="AJ468" t="s">
        <v>7407</v>
      </c>
      <c r="AK468" t="s">
        <v>2579</v>
      </c>
      <c r="AL468">
        <v>94.91</v>
      </c>
      <c r="AN468">
        <v>2010</v>
      </c>
      <c r="AO468" t="s">
        <v>109</v>
      </c>
      <c r="AV468" t="s">
        <v>113</v>
      </c>
      <c r="AW468" t="s">
        <v>309</v>
      </c>
      <c r="AX468" t="s">
        <v>7408</v>
      </c>
      <c r="AY468" t="s">
        <v>309</v>
      </c>
      <c r="AZ468">
        <v>90.56</v>
      </c>
      <c r="BB468">
        <v>2013</v>
      </c>
      <c r="BC468" t="s">
        <v>113</v>
      </c>
      <c r="BD468" t="s">
        <v>279</v>
      </c>
      <c r="BE468" t="s">
        <v>7409</v>
      </c>
      <c r="BF468" t="s">
        <v>309</v>
      </c>
      <c r="BG468">
        <v>77</v>
      </c>
      <c r="BH468">
        <v>7.7</v>
      </c>
      <c r="BI468">
        <v>2016</v>
      </c>
      <c r="BJ468">
        <v>2</v>
      </c>
      <c r="BL468">
        <v>9</v>
      </c>
      <c r="BN468" t="s">
        <v>113</v>
      </c>
      <c r="BO468" t="s">
        <v>279</v>
      </c>
      <c r="BP468" t="s">
        <v>7409</v>
      </c>
      <c r="BQ468" t="s">
        <v>140</v>
      </c>
      <c r="BR468">
        <v>83.6</v>
      </c>
      <c r="BS468">
        <v>8.36</v>
      </c>
      <c r="BT468">
        <v>2021</v>
      </c>
      <c r="BU468">
        <v>14</v>
      </c>
      <c r="BW468">
        <v>47</v>
      </c>
      <c r="BY468" t="s">
        <v>113</v>
      </c>
      <c r="BZ468" t="s">
        <v>2583</v>
      </c>
      <c r="CA468" t="s">
        <v>7410</v>
      </c>
      <c r="CB468" t="s">
        <v>7411</v>
      </c>
      <c r="CC468">
        <v>66.17</v>
      </c>
      <c r="CE468">
        <v>2021</v>
      </c>
      <c r="CF468" t="s">
        <v>113</v>
      </c>
      <c r="CG468" t="s">
        <v>140</v>
      </c>
      <c r="CH468" t="s">
        <v>7409</v>
      </c>
      <c r="CI468" t="s">
        <v>240</v>
      </c>
      <c r="CK468" t="s">
        <v>109</v>
      </c>
      <c r="CL468" t="s">
        <v>113</v>
      </c>
      <c r="CM468" t="s">
        <v>7412</v>
      </c>
      <c r="CN468" t="s">
        <v>113</v>
      </c>
      <c r="CO468" t="s">
        <v>7413</v>
      </c>
      <c r="CP468" t="s">
        <v>7414</v>
      </c>
      <c r="CQ468" t="s">
        <v>7415</v>
      </c>
      <c r="CR468" t="str">
        <f>HYPERLINK("https://nconnect.nicmar.ac.in/public/storage/profile/699e998b6112a.png","Download")</f>
        <v>0</v>
      </c>
      <c r="CS468" t="str">
        <f>HYPERLINK("https://nconnect.nicmar.ac.in/pdf/660_resume_1772006217.pdf/Y2FyZWVy","View Resume")</f>
        <v>0</v>
      </c>
    </row>
    <row r="469" spans="1:97">
      <c r="A469" t="s">
        <v>3528</v>
      </c>
      <c r="B469" t="s">
        <v>318</v>
      </c>
      <c r="C469" t="s">
        <v>99</v>
      </c>
      <c r="D469" t="s">
        <v>3529</v>
      </c>
      <c r="E469" t="s">
        <v>7416</v>
      </c>
      <c r="F469" t="s">
        <v>7417</v>
      </c>
      <c r="G469">
        <v>8788009364</v>
      </c>
      <c r="H469" t="s">
        <v>169</v>
      </c>
      <c r="I469" t="s">
        <v>7418</v>
      </c>
      <c r="J469" t="s">
        <v>105</v>
      </c>
      <c r="K469" t="s">
        <v>1848</v>
      </c>
      <c r="L469" t="s">
        <v>7419</v>
      </c>
      <c r="M469" t="s">
        <v>7420</v>
      </c>
      <c r="N469" t="s">
        <v>109</v>
      </c>
      <c r="AI469" t="s">
        <v>7421</v>
      </c>
      <c r="AJ469" t="s">
        <v>3238</v>
      </c>
      <c r="AK469" t="s">
        <v>277</v>
      </c>
      <c r="AL469">
        <v>73.6</v>
      </c>
      <c r="AN469">
        <v>1997</v>
      </c>
      <c r="AO469" t="s">
        <v>113</v>
      </c>
      <c r="AP469" t="s">
        <v>7422</v>
      </c>
      <c r="AQ469" t="s">
        <v>3238</v>
      </c>
      <c r="AR469" t="s">
        <v>785</v>
      </c>
      <c r="AS469">
        <v>73.0</v>
      </c>
      <c r="AU469">
        <v>1999</v>
      </c>
      <c r="AV469" t="s">
        <v>109</v>
      </c>
      <c r="BC469" t="s">
        <v>113</v>
      </c>
      <c r="BD469" t="s">
        <v>7423</v>
      </c>
      <c r="BE469" t="s">
        <v>7424</v>
      </c>
      <c r="BF469" t="s">
        <v>7425</v>
      </c>
      <c r="BG469">
        <v>69.95</v>
      </c>
      <c r="BI469">
        <v>2004</v>
      </c>
      <c r="BJ469">
        <v>8</v>
      </c>
      <c r="BL469">
        <v>2</v>
      </c>
      <c r="BN469" t="s">
        <v>113</v>
      </c>
      <c r="BO469" t="s">
        <v>7423</v>
      </c>
      <c r="BP469" t="s">
        <v>7424</v>
      </c>
      <c r="BQ469" t="s">
        <v>945</v>
      </c>
      <c r="BR469">
        <v>95</v>
      </c>
      <c r="BT469">
        <v>2010</v>
      </c>
      <c r="BU469">
        <v>24</v>
      </c>
      <c r="BW469">
        <v>35</v>
      </c>
      <c r="BY469" t="s">
        <v>109</v>
      </c>
      <c r="BZ469" t="s">
        <v>7423</v>
      </c>
      <c r="CA469" t="s">
        <v>7424</v>
      </c>
      <c r="CF469" t="s">
        <v>113</v>
      </c>
      <c r="CG469" t="s">
        <v>7426</v>
      </c>
      <c r="CH469" t="s">
        <v>7423</v>
      </c>
      <c r="CI469" t="s">
        <v>132</v>
      </c>
      <c r="CJ469">
        <v>2022</v>
      </c>
      <c r="CL469" t="s">
        <v>109</v>
      </c>
      <c r="CN469" t="s">
        <v>113</v>
      </c>
      <c r="CO469" t="s">
        <v>7427</v>
      </c>
      <c r="CP469" t="s">
        <v>7428</v>
      </c>
      <c r="CQ469" t="s">
        <v>7429</v>
      </c>
      <c r="CR469" t="str">
        <f>HYPERLINK("https://nconnect.nicmar.ac.in/public/storage/profile/699e7d1f4b788.png","Download")</f>
        <v>0</v>
      </c>
      <c r="CS469" t="str">
        <f>HYPERLINK("https://nconnect.nicmar.ac.in/pdf/622_resume_1772008248.pdf/Y2FyZWVy","View Resume")</f>
        <v>0</v>
      </c>
    </row>
    <row r="470" spans="1:97">
      <c r="A470" t="s">
        <v>137</v>
      </c>
      <c r="B470" t="s">
        <v>138</v>
      </c>
      <c r="C470" t="s">
        <v>139</v>
      </c>
      <c r="D470" t="s">
        <v>140</v>
      </c>
      <c r="E470" t="s">
        <v>7430</v>
      </c>
      <c r="F470" t="s">
        <v>7431</v>
      </c>
      <c r="G470">
        <v>8910464268</v>
      </c>
      <c r="H470" t="s">
        <v>103</v>
      </c>
      <c r="I470" t="s">
        <v>7432</v>
      </c>
      <c r="J470" t="s">
        <v>105</v>
      </c>
      <c r="K470" t="s">
        <v>247</v>
      </c>
      <c r="L470" t="s">
        <v>7433</v>
      </c>
      <c r="M470" t="s">
        <v>7434</v>
      </c>
      <c r="N470" t="s">
        <v>109</v>
      </c>
      <c r="AI470" t="s">
        <v>7435</v>
      </c>
      <c r="AJ470" t="s">
        <v>7436</v>
      </c>
      <c r="AK470" t="s">
        <v>7437</v>
      </c>
      <c r="AL470">
        <v>88.5</v>
      </c>
      <c r="AN470">
        <v>2006</v>
      </c>
      <c r="AO470" t="s">
        <v>113</v>
      </c>
      <c r="AP470" t="s">
        <v>7435</v>
      </c>
      <c r="AQ470" t="s">
        <v>7438</v>
      </c>
      <c r="AR470" t="s">
        <v>7439</v>
      </c>
      <c r="AS470">
        <v>77.4</v>
      </c>
      <c r="AU470">
        <v>2008</v>
      </c>
      <c r="AV470" t="s">
        <v>109</v>
      </c>
      <c r="BC470" t="s">
        <v>113</v>
      </c>
      <c r="BD470" t="s">
        <v>7440</v>
      </c>
      <c r="BE470" t="s">
        <v>7441</v>
      </c>
      <c r="BF470" t="s">
        <v>7442</v>
      </c>
      <c r="BG470">
        <v>68.8</v>
      </c>
      <c r="BH470">
        <v>7.63</v>
      </c>
      <c r="BI470">
        <v>2012</v>
      </c>
      <c r="BJ470">
        <v>1</v>
      </c>
      <c r="BL470">
        <v>9</v>
      </c>
      <c r="BN470" t="s">
        <v>113</v>
      </c>
      <c r="BO470" t="s">
        <v>7443</v>
      </c>
      <c r="BP470" t="s">
        <v>7444</v>
      </c>
      <c r="BQ470" t="s">
        <v>7445</v>
      </c>
      <c r="BR470">
        <v>89</v>
      </c>
      <c r="BS470">
        <v>8.99</v>
      </c>
      <c r="BT470">
        <v>2019</v>
      </c>
      <c r="BU470">
        <v>14</v>
      </c>
      <c r="BW470">
        <v>47</v>
      </c>
      <c r="BY470" t="s">
        <v>109</v>
      </c>
      <c r="CF470" t="s">
        <v>113</v>
      </c>
      <c r="CG470" t="s">
        <v>7446</v>
      </c>
      <c r="CH470" t="s">
        <v>5351</v>
      </c>
      <c r="CI470" t="s">
        <v>132</v>
      </c>
      <c r="CJ470">
        <v>2025</v>
      </c>
      <c r="CL470" t="s">
        <v>109</v>
      </c>
      <c r="CN470" t="s">
        <v>113</v>
      </c>
      <c r="CO470" t="s">
        <v>7447</v>
      </c>
      <c r="CP470" t="s">
        <v>7448</v>
      </c>
      <c r="CQ470" t="s">
        <v>7449</v>
      </c>
      <c r="CR470" t="s">
        <v>136</v>
      </c>
      <c r="CS470" t="str">
        <f>HYPERLINK("https://nconnect.nicmar.ac.in/pdf/487_resume_1772009160.pdf/Y2FyZWVy","View Resume")</f>
        <v>0</v>
      </c>
    </row>
    <row r="471" spans="1:97">
      <c r="A471" t="s">
        <v>192</v>
      </c>
      <c r="B471" t="s">
        <v>138</v>
      </c>
      <c r="C471" t="s">
        <v>165</v>
      </c>
      <c r="D471" t="s">
        <v>193</v>
      </c>
      <c r="E471" t="s">
        <v>7450</v>
      </c>
      <c r="F471" t="s">
        <v>7451</v>
      </c>
      <c r="G471">
        <v>7387360861</v>
      </c>
      <c r="H471" t="s">
        <v>169</v>
      </c>
      <c r="I471" t="s">
        <v>7452</v>
      </c>
      <c r="J471" t="s">
        <v>105</v>
      </c>
      <c r="K471" t="s">
        <v>526</v>
      </c>
      <c r="L471" t="s">
        <v>7453</v>
      </c>
      <c r="M471" t="s">
        <v>7454</v>
      </c>
      <c r="N471" t="s">
        <v>109</v>
      </c>
      <c r="AI471" t="s">
        <v>7455</v>
      </c>
      <c r="AJ471" t="s">
        <v>3344</v>
      </c>
      <c r="AK471" t="s">
        <v>7456</v>
      </c>
      <c r="AL471">
        <v>67.6</v>
      </c>
      <c r="AN471">
        <v>2000</v>
      </c>
      <c r="AO471" t="s">
        <v>113</v>
      </c>
      <c r="AP471" t="s">
        <v>7457</v>
      </c>
      <c r="AQ471" t="s">
        <v>3344</v>
      </c>
      <c r="AR471" t="s">
        <v>1425</v>
      </c>
      <c r="AS471">
        <v>60</v>
      </c>
      <c r="AU471">
        <v>2002</v>
      </c>
      <c r="AV471" t="s">
        <v>109</v>
      </c>
      <c r="BC471" t="s">
        <v>113</v>
      </c>
      <c r="BD471" t="s">
        <v>3308</v>
      </c>
      <c r="BE471" t="s">
        <v>7458</v>
      </c>
      <c r="BF471" t="s">
        <v>7459</v>
      </c>
      <c r="BG471">
        <v>68.1</v>
      </c>
      <c r="BI471">
        <v>2005</v>
      </c>
      <c r="BJ471">
        <v>19</v>
      </c>
      <c r="BL471">
        <v>53</v>
      </c>
      <c r="BM471" t="s">
        <v>7459</v>
      </c>
      <c r="BN471" t="s">
        <v>113</v>
      </c>
      <c r="BO471" t="s">
        <v>7460</v>
      </c>
      <c r="BP471" t="s">
        <v>7461</v>
      </c>
      <c r="BQ471" t="s">
        <v>237</v>
      </c>
      <c r="BR471">
        <v>63.8</v>
      </c>
      <c r="BT471">
        <v>2007</v>
      </c>
      <c r="BU471">
        <v>31</v>
      </c>
      <c r="BW471">
        <v>53</v>
      </c>
      <c r="BX471" t="s">
        <v>237</v>
      </c>
      <c r="BY471" t="s">
        <v>113</v>
      </c>
      <c r="BZ471" t="s">
        <v>1215</v>
      </c>
      <c r="CA471" t="s">
        <v>7462</v>
      </c>
      <c r="CB471" t="s">
        <v>193</v>
      </c>
      <c r="CC471">
        <v>75</v>
      </c>
      <c r="CE471">
        <v>2012</v>
      </c>
      <c r="CF471" t="s">
        <v>113</v>
      </c>
      <c r="CG471" t="s">
        <v>7463</v>
      </c>
      <c r="CH471" t="s">
        <v>7464</v>
      </c>
      <c r="CI471" t="s">
        <v>132</v>
      </c>
      <c r="CJ471">
        <v>2023</v>
      </c>
      <c r="CL471" t="s">
        <v>113</v>
      </c>
      <c r="CM471" t="s">
        <v>7465</v>
      </c>
      <c r="CN471" t="s">
        <v>113</v>
      </c>
      <c r="CO471" t="s">
        <v>7466</v>
      </c>
      <c r="CP471" t="s">
        <v>3294</v>
      </c>
      <c r="CQ471" t="s">
        <v>7467</v>
      </c>
      <c r="CR471" t="s">
        <v>136</v>
      </c>
      <c r="CS471" t="str">
        <f>HYPERLINK("https://nconnect.nicmar.ac.in/pdf/653_resume_1772009292.pdf/Y2FyZWVy","View Resume")</f>
        <v>0</v>
      </c>
    </row>
    <row r="472" spans="1:97">
      <c r="A472" t="s">
        <v>2595</v>
      </c>
      <c r="B472" t="s">
        <v>2596</v>
      </c>
      <c r="C472" t="s">
        <v>703</v>
      </c>
      <c r="D472" t="s">
        <v>2597</v>
      </c>
      <c r="E472" t="s">
        <v>7468</v>
      </c>
      <c r="F472" t="s">
        <v>7469</v>
      </c>
      <c r="G472">
        <v>9967011229</v>
      </c>
      <c r="H472" t="s">
        <v>169</v>
      </c>
      <c r="I472" t="s">
        <v>7470</v>
      </c>
      <c r="J472" t="s">
        <v>105</v>
      </c>
      <c r="K472" t="s">
        <v>4913</v>
      </c>
      <c r="L472" t="s">
        <v>7471</v>
      </c>
      <c r="M472" t="s">
        <v>7472</v>
      </c>
      <c r="N472" t="s">
        <v>109</v>
      </c>
      <c r="AI472" t="s">
        <v>7473</v>
      </c>
      <c r="AJ472" t="s">
        <v>1542</v>
      </c>
      <c r="AK472" t="s">
        <v>277</v>
      </c>
      <c r="AL472">
        <v>88.14</v>
      </c>
      <c r="AN472">
        <v>1994</v>
      </c>
      <c r="AO472" t="s">
        <v>113</v>
      </c>
      <c r="AP472" t="s">
        <v>7474</v>
      </c>
      <c r="AQ472" t="s">
        <v>1542</v>
      </c>
      <c r="AR472" t="s">
        <v>277</v>
      </c>
      <c r="AS472">
        <v>78</v>
      </c>
      <c r="AU472">
        <v>1996</v>
      </c>
      <c r="AV472" t="s">
        <v>109</v>
      </c>
      <c r="BC472" t="s">
        <v>109</v>
      </c>
      <c r="BD472" t="s">
        <v>7475</v>
      </c>
      <c r="BE472" t="s">
        <v>7476</v>
      </c>
      <c r="BF472" t="s">
        <v>1117</v>
      </c>
      <c r="BG472">
        <v>63.23</v>
      </c>
      <c r="BI472">
        <v>2001</v>
      </c>
      <c r="BJ472">
        <v>8</v>
      </c>
      <c r="BL472">
        <v>2</v>
      </c>
      <c r="BN472" t="s">
        <v>113</v>
      </c>
      <c r="BO472" t="s">
        <v>7477</v>
      </c>
      <c r="BP472" t="s">
        <v>7477</v>
      </c>
      <c r="BQ472" t="s">
        <v>451</v>
      </c>
      <c r="BR472">
        <v>70.4</v>
      </c>
      <c r="BT472">
        <v>2003</v>
      </c>
      <c r="BU472">
        <v>31</v>
      </c>
      <c r="BV472" t="s">
        <v>740</v>
      </c>
      <c r="BW472">
        <v>53</v>
      </c>
      <c r="BY472" t="s">
        <v>109</v>
      </c>
      <c r="CE472">
        <v>2003</v>
      </c>
      <c r="CF472" t="s">
        <v>109</v>
      </c>
      <c r="CL472" t="s">
        <v>109</v>
      </c>
      <c r="CN472" t="s">
        <v>113</v>
      </c>
      <c r="CO472" t="s">
        <v>7478</v>
      </c>
      <c r="CP472" t="s">
        <v>7479</v>
      </c>
      <c r="CQ472" t="s">
        <v>7480</v>
      </c>
      <c r="CR472" t="s">
        <v>136</v>
      </c>
      <c r="CS472" t="str">
        <f>HYPERLINK("https://nconnect.nicmar.ac.in/pdf/638_resume_1772009423.pdf/Y2FyZWVy","View Resume")</f>
        <v>0</v>
      </c>
    </row>
    <row r="473" spans="1:97">
      <c r="A473" t="s">
        <v>1116</v>
      </c>
      <c r="B473" t="s">
        <v>98</v>
      </c>
      <c r="C473" t="s">
        <v>99</v>
      </c>
      <c r="D473" t="s">
        <v>1117</v>
      </c>
      <c r="E473" t="s">
        <v>7468</v>
      </c>
      <c r="F473" t="s">
        <v>7469</v>
      </c>
      <c r="G473">
        <v>9967011229</v>
      </c>
      <c r="H473" t="s">
        <v>169</v>
      </c>
      <c r="I473" t="s">
        <v>7470</v>
      </c>
      <c r="J473" t="s">
        <v>105</v>
      </c>
      <c r="K473" t="s">
        <v>4913</v>
      </c>
      <c r="L473" t="s">
        <v>7471</v>
      </c>
      <c r="M473" t="s">
        <v>7472</v>
      </c>
      <c r="N473" t="s">
        <v>109</v>
      </c>
      <c r="AI473" t="s">
        <v>7473</v>
      </c>
      <c r="AJ473" t="s">
        <v>1542</v>
      </c>
      <c r="AK473" t="s">
        <v>277</v>
      </c>
      <c r="AL473">
        <v>88.14</v>
      </c>
      <c r="AN473">
        <v>1994</v>
      </c>
      <c r="AO473" t="s">
        <v>113</v>
      </c>
      <c r="AP473" t="s">
        <v>7474</v>
      </c>
      <c r="AQ473" t="s">
        <v>1542</v>
      </c>
      <c r="AR473" t="s">
        <v>277</v>
      </c>
      <c r="AS473">
        <v>78</v>
      </c>
      <c r="AU473">
        <v>1996</v>
      </c>
      <c r="AV473" t="s">
        <v>109</v>
      </c>
      <c r="BC473" t="s">
        <v>109</v>
      </c>
      <c r="BD473" t="s">
        <v>7475</v>
      </c>
      <c r="BE473" t="s">
        <v>7476</v>
      </c>
      <c r="BF473" t="s">
        <v>1117</v>
      </c>
      <c r="BG473">
        <v>63.23</v>
      </c>
      <c r="BI473">
        <v>2001</v>
      </c>
      <c r="BJ473">
        <v>8</v>
      </c>
      <c r="BL473">
        <v>2</v>
      </c>
      <c r="BN473" t="s">
        <v>113</v>
      </c>
      <c r="BO473" t="s">
        <v>7477</v>
      </c>
      <c r="BP473" t="s">
        <v>7477</v>
      </c>
      <c r="BQ473" t="s">
        <v>451</v>
      </c>
      <c r="BR473">
        <v>70.4</v>
      </c>
      <c r="BT473">
        <v>2003</v>
      </c>
      <c r="BU473">
        <v>31</v>
      </c>
      <c r="BV473" t="s">
        <v>740</v>
      </c>
      <c r="BW473">
        <v>53</v>
      </c>
      <c r="BY473" t="s">
        <v>109</v>
      </c>
      <c r="CE473">
        <v>2003</v>
      </c>
      <c r="CF473" t="s">
        <v>109</v>
      </c>
      <c r="CL473" t="s">
        <v>109</v>
      </c>
      <c r="CN473" t="s">
        <v>113</v>
      </c>
      <c r="CO473" t="s">
        <v>7478</v>
      </c>
      <c r="CP473" t="s">
        <v>7479</v>
      </c>
      <c r="CQ473" t="s">
        <v>7481</v>
      </c>
      <c r="CR473" t="s">
        <v>136</v>
      </c>
      <c r="CS473" t="str">
        <f>HYPERLINK("https://nconnect.nicmar.ac.in/pdf/638_resume_1772009423.pdf/Y2FyZWVy","View Resume")</f>
        <v>0</v>
      </c>
    </row>
    <row r="474" spans="1:97">
      <c r="A474" t="s">
        <v>97</v>
      </c>
      <c r="B474" t="s">
        <v>98</v>
      </c>
      <c r="C474" t="s">
        <v>99</v>
      </c>
      <c r="D474" t="s">
        <v>100</v>
      </c>
      <c r="E474" t="s">
        <v>7468</v>
      </c>
      <c r="F474" t="s">
        <v>7469</v>
      </c>
      <c r="G474">
        <v>9967011229</v>
      </c>
      <c r="H474" t="s">
        <v>169</v>
      </c>
      <c r="I474" t="s">
        <v>7470</v>
      </c>
      <c r="J474" t="s">
        <v>105</v>
      </c>
      <c r="K474" t="s">
        <v>4913</v>
      </c>
      <c r="L474" t="s">
        <v>7471</v>
      </c>
      <c r="M474" t="s">
        <v>7472</v>
      </c>
      <c r="N474" t="s">
        <v>109</v>
      </c>
      <c r="AI474" t="s">
        <v>7473</v>
      </c>
      <c r="AJ474" t="s">
        <v>1542</v>
      </c>
      <c r="AK474" t="s">
        <v>277</v>
      </c>
      <c r="AL474">
        <v>88.14</v>
      </c>
      <c r="AN474">
        <v>1994</v>
      </c>
      <c r="AO474" t="s">
        <v>113</v>
      </c>
      <c r="AP474" t="s">
        <v>7474</v>
      </c>
      <c r="AQ474" t="s">
        <v>1542</v>
      </c>
      <c r="AR474" t="s">
        <v>277</v>
      </c>
      <c r="AS474">
        <v>78</v>
      </c>
      <c r="AU474">
        <v>1996</v>
      </c>
      <c r="AV474" t="s">
        <v>109</v>
      </c>
      <c r="BC474" t="s">
        <v>109</v>
      </c>
      <c r="BD474" t="s">
        <v>7475</v>
      </c>
      <c r="BE474" t="s">
        <v>7476</v>
      </c>
      <c r="BF474" t="s">
        <v>1117</v>
      </c>
      <c r="BG474">
        <v>63.23</v>
      </c>
      <c r="BI474">
        <v>2001</v>
      </c>
      <c r="BJ474">
        <v>8</v>
      </c>
      <c r="BL474">
        <v>2</v>
      </c>
      <c r="BN474" t="s">
        <v>113</v>
      </c>
      <c r="BO474" t="s">
        <v>7477</v>
      </c>
      <c r="BP474" t="s">
        <v>7477</v>
      </c>
      <c r="BQ474" t="s">
        <v>451</v>
      </c>
      <c r="BR474">
        <v>70.4</v>
      </c>
      <c r="BT474">
        <v>2003</v>
      </c>
      <c r="BU474">
        <v>31</v>
      </c>
      <c r="BV474" t="s">
        <v>740</v>
      </c>
      <c r="BW474">
        <v>53</v>
      </c>
      <c r="BY474" t="s">
        <v>109</v>
      </c>
      <c r="CE474">
        <v>2003</v>
      </c>
      <c r="CF474" t="s">
        <v>109</v>
      </c>
      <c r="CL474" t="s">
        <v>109</v>
      </c>
      <c r="CN474" t="s">
        <v>113</v>
      </c>
      <c r="CO474" t="s">
        <v>7478</v>
      </c>
      <c r="CP474" t="s">
        <v>7479</v>
      </c>
      <c r="CQ474" t="s">
        <v>7481</v>
      </c>
      <c r="CR474" t="s">
        <v>136</v>
      </c>
      <c r="CS474" t="str">
        <f>HYPERLINK("https://nconnect.nicmar.ac.in/pdf/638_resume_1772009423.pdf/Y2FyZWVy","View Resume")</f>
        <v>0</v>
      </c>
    </row>
    <row r="475" spans="1:97">
      <c r="A475" t="s">
        <v>367</v>
      </c>
      <c r="B475" t="s">
        <v>138</v>
      </c>
      <c r="C475" t="s">
        <v>295</v>
      </c>
      <c r="D475" t="s">
        <v>368</v>
      </c>
      <c r="E475" t="s">
        <v>7482</v>
      </c>
      <c r="F475" t="s">
        <v>7483</v>
      </c>
      <c r="G475">
        <v>8248272400</v>
      </c>
      <c r="H475" t="s">
        <v>103</v>
      </c>
      <c r="I475" t="s">
        <v>7484</v>
      </c>
      <c r="J475" t="s">
        <v>105</v>
      </c>
      <c r="K475" t="s">
        <v>1270</v>
      </c>
      <c r="L475" t="s">
        <v>7485</v>
      </c>
      <c r="M475" t="s">
        <v>7486</v>
      </c>
      <c r="N475" t="s">
        <v>109</v>
      </c>
      <c r="AI475" t="s">
        <v>7487</v>
      </c>
      <c r="AJ475" t="s">
        <v>7488</v>
      </c>
      <c r="AK475" t="s">
        <v>7489</v>
      </c>
      <c r="AL475">
        <v>79.8</v>
      </c>
      <c r="AM475">
        <v>8.4</v>
      </c>
      <c r="AN475">
        <v>2011</v>
      </c>
      <c r="AO475" t="s">
        <v>113</v>
      </c>
      <c r="AP475" t="s">
        <v>7490</v>
      </c>
      <c r="AQ475" t="s">
        <v>7491</v>
      </c>
      <c r="AR475" t="s">
        <v>7492</v>
      </c>
      <c r="AS475">
        <v>78</v>
      </c>
      <c r="AU475">
        <v>2013</v>
      </c>
      <c r="AV475" t="s">
        <v>109</v>
      </c>
      <c r="BC475" t="s">
        <v>113</v>
      </c>
      <c r="BD475" t="s">
        <v>7493</v>
      </c>
      <c r="BE475" t="s">
        <v>7494</v>
      </c>
      <c r="BF475" t="s">
        <v>7495</v>
      </c>
      <c r="BG475">
        <v>89.7</v>
      </c>
      <c r="BH475">
        <v>8.97</v>
      </c>
      <c r="BI475">
        <v>2018</v>
      </c>
      <c r="BJ475">
        <v>1</v>
      </c>
      <c r="BL475">
        <v>9</v>
      </c>
      <c r="BN475" t="s">
        <v>113</v>
      </c>
      <c r="BO475" t="s">
        <v>7496</v>
      </c>
      <c r="BP475" t="s">
        <v>7497</v>
      </c>
      <c r="BQ475" t="s">
        <v>7498</v>
      </c>
      <c r="BR475">
        <v>92.7</v>
      </c>
      <c r="BS475">
        <v>9.27</v>
      </c>
      <c r="BT475">
        <v>2026</v>
      </c>
      <c r="BU475">
        <v>31</v>
      </c>
      <c r="BV475" t="s">
        <v>7499</v>
      </c>
      <c r="BW475">
        <v>53</v>
      </c>
      <c r="BX475" t="s">
        <v>7499</v>
      </c>
      <c r="BY475" t="s">
        <v>109</v>
      </c>
      <c r="CF475" t="s">
        <v>113</v>
      </c>
      <c r="CG475" t="s">
        <v>7500</v>
      </c>
      <c r="CH475" t="s">
        <v>7501</v>
      </c>
      <c r="CI475" t="s">
        <v>132</v>
      </c>
      <c r="CJ475">
        <v>2026</v>
      </c>
      <c r="CL475" t="s">
        <v>109</v>
      </c>
      <c r="CN475" t="s">
        <v>113</v>
      </c>
      <c r="CO475" t="s">
        <v>7502</v>
      </c>
      <c r="CP475" t="s">
        <v>7503</v>
      </c>
      <c r="CQ475" t="s">
        <v>7504</v>
      </c>
      <c r="CR475" t="s">
        <v>136</v>
      </c>
      <c r="CS475" t="str">
        <f>HYPERLINK("https://nconnect.nicmar.ac.in/pdf/629_resume_1772010403.pdf/Y2FyZWVy","View Resume")</f>
        <v>0</v>
      </c>
    </row>
    <row r="476" spans="1:97">
      <c r="A476" t="s">
        <v>223</v>
      </c>
      <c r="B476" t="s">
        <v>138</v>
      </c>
      <c r="C476" t="s">
        <v>165</v>
      </c>
      <c r="D476" t="s">
        <v>224</v>
      </c>
      <c r="E476" t="s">
        <v>7505</v>
      </c>
      <c r="F476" t="s">
        <v>7506</v>
      </c>
      <c r="G476">
        <v>9096848827</v>
      </c>
      <c r="H476" t="s">
        <v>169</v>
      </c>
      <c r="I476" t="s">
        <v>7507</v>
      </c>
      <c r="J476" t="s">
        <v>105</v>
      </c>
      <c r="K476" t="s">
        <v>7508</v>
      </c>
      <c r="L476" t="s">
        <v>7509</v>
      </c>
      <c r="M476" t="s">
        <v>7510</v>
      </c>
      <c r="N476" t="s">
        <v>109</v>
      </c>
      <c r="AI476" t="s">
        <v>7511</v>
      </c>
      <c r="AJ476" t="s">
        <v>1542</v>
      </c>
      <c r="AK476" t="s">
        <v>277</v>
      </c>
      <c r="AL476">
        <v>76.13</v>
      </c>
      <c r="AN476">
        <v>2005</v>
      </c>
      <c r="AO476" t="s">
        <v>113</v>
      </c>
      <c r="AP476" t="s">
        <v>7512</v>
      </c>
      <c r="AQ476" t="s">
        <v>1542</v>
      </c>
      <c r="AR476" t="s">
        <v>277</v>
      </c>
      <c r="AS476">
        <v>82.67</v>
      </c>
      <c r="AU476">
        <v>2007</v>
      </c>
      <c r="AV476" t="s">
        <v>109</v>
      </c>
      <c r="BC476" t="s">
        <v>113</v>
      </c>
      <c r="BD476" t="s">
        <v>7513</v>
      </c>
      <c r="BE476" t="s">
        <v>7514</v>
      </c>
      <c r="BF476" t="s">
        <v>623</v>
      </c>
      <c r="BG476">
        <v>72</v>
      </c>
      <c r="BI476">
        <v>2011</v>
      </c>
      <c r="BJ476">
        <v>19</v>
      </c>
      <c r="BK476" t="s">
        <v>7515</v>
      </c>
      <c r="BL476">
        <v>11</v>
      </c>
      <c r="BN476" t="s">
        <v>113</v>
      </c>
      <c r="BO476" t="s">
        <v>7516</v>
      </c>
      <c r="BP476" t="s">
        <v>7517</v>
      </c>
      <c r="BQ476" t="s">
        <v>263</v>
      </c>
      <c r="BR476">
        <v>78</v>
      </c>
      <c r="BS476">
        <v>7.8</v>
      </c>
      <c r="BT476">
        <v>2014</v>
      </c>
      <c r="BU476">
        <v>31</v>
      </c>
      <c r="BV476" t="s">
        <v>7518</v>
      </c>
      <c r="BW476">
        <v>53</v>
      </c>
      <c r="BX476" t="s">
        <v>1686</v>
      </c>
      <c r="BY476" t="s">
        <v>109</v>
      </c>
      <c r="CF476" t="s">
        <v>113</v>
      </c>
      <c r="CG476" t="s">
        <v>263</v>
      </c>
      <c r="CH476" t="s">
        <v>7519</v>
      </c>
      <c r="CI476" t="s">
        <v>132</v>
      </c>
      <c r="CJ476">
        <v>2024</v>
      </c>
      <c r="CL476" t="s">
        <v>109</v>
      </c>
      <c r="CN476" t="s">
        <v>109</v>
      </c>
      <c r="CP476" t="s">
        <v>7520</v>
      </c>
      <c r="CQ476" t="s">
        <v>7521</v>
      </c>
      <c r="CR476" t="str">
        <f>HYPERLINK("https://nconnect.nicmar.ac.in/public/storage/profile/699ec2c4133c9.png","Download")</f>
        <v>0</v>
      </c>
      <c r="CS476" t="str">
        <f>HYPERLINK("https://nconnect.nicmar.ac.in/pdf/331_resume_1772011959.pdf/Y2FyZWVy","View Resume")</f>
        <v>0</v>
      </c>
    </row>
    <row r="477" spans="1:97">
      <c r="A477" t="s">
        <v>137</v>
      </c>
      <c r="B477" t="s">
        <v>138</v>
      </c>
      <c r="C477" t="s">
        <v>139</v>
      </c>
      <c r="D477" t="s">
        <v>140</v>
      </c>
      <c r="E477" t="s">
        <v>7522</v>
      </c>
      <c r="F477" t="s">
        <v>7523</v>
      </c>
      <c r="G477">
        <v>8639053839</v>
      </c>
      <c r="H477" t="s">
        <v>103</v>
      </c>
      <c r="I477" t="s">
        <v>7524</v>
      </c>
      <c r="J477" t="s">
        <v>144</v>
      </c>
      <c r="K477" t="s">
        <v>2165</v>
      </c>
      <c r="L477" t="s">
        <v>7525</v>
      </c>
      <c r="M477" t="s">
        <v>7526</v>
      </c>
      <c r="N477" t="s">
        <v>109</v>
      </c>
      <c r="AI477" t="s">
        <v>7527</v>
      </c>
      <c r="AJ477" t="s">
        <v>7528</v>
      </c>
      <c r="AK477" t="s">
        <v>7529</v>
      </c>
      <c r="AL477">
        <v>48</v>
      </c>
      <c r="AM477">
        <v>4.8</v>
      </c>
      <c r="AN477">
        <v>2012</v>
      </c>
      <c r="AO477" t="s">
        <v>109</v>
      </c>
      <c r="AV477" t="s">
        <v>113</v>
      </c>
      <c r="AW477" t="s">
        <v>7530</v>
      </c>
      <c r="AX477" t="s">
        <v>7531</v>
      </c>
      <c r="AY477" t="s">
        <v>3861</v>
      </c>
      <c r="AZ477">
        <v>58.13</v>
      </c>
      <c r="BA477">
        <v>5.81</v>
      </c>
      <c r="BB477">
        <v>2015</v>
      </c>
      <c r="BC477" t="s">
        <v>113</v>
      </c>
      <c r="BD477" t="s">
        <v>7532</v>
      </c>
      <c r="BE477" t="s">
        <v>7533</v>
      </c>
      <c r="BF477" t="s">
        <v>3861</v>
      </c>
      <c r="BG477">
        <v>68.2</v>
      </c>
      <c r="BH477">
        <v>6.82</v>
      </c>
      <c r="BI477">
        <v>2019</v>
      </c>
      <c r="BJ477">
        <v>2</v>
      </c>
      <c r="BL477">
        <v>9</v>
      </c>
      <c r="BN477" t="s">
        <v>113</v>
      </c>
      <c r="BO477" t="s">
        <v>7532</v>
      </c>
      <c r="BP477" t="s">
        <v>7534</v>
      </c>
      <c r="BQ477" t="s">
        <v>3901</v>
      </c>
      <c r="BR477">
        <v>75.6</v>
      </c>
      <c r="BS477">
        <v>7.56</v>
      </c>
      <c r="BT477">
        <v>2024</v>
      </c>
      <c r="BU477">
        <v>14</v>
      </c>
      <c r="BW477">
        <v>47</v>
      </c>
      <c r="BY477" t="s">
        <v>109</v>
      </c>
      <c r="CF477" t="s">
        <v>113</v>
      </c>
      <c r="CG477" t="s">
        <v>7535</v>
      </c>
      <c r="CH477" t="s">
        <v>7532</v>
      </c>
      <c r="CI477" t="s">
        <v>240</v>
      </c>
      <c r="CK477" t="s">
        <v>109</v>
      </c>
      <c r="CL477" t="s">
        <v>109</v>
      </c>
      <c r="CN477" t="s">
        <v>109</v>
      </c>
      <c r="CP477" t="s">
        <v>7536</v>
      </c>
      <c r="CQ477" t="s">
        <v>7537</v>
      </c>
      <c r="CR477" t="str">
        <f>HYPERLINK("https://nconnect.nicmar.ac.in/public/storage/profile/699ec033ae182.png","Download")</f>
        <v>0</v>
      </c>
      <c r="CS477" t="str">
        <f>HYPERLINK("https://nconnect.nicmar.ac.in/pdf/666_resume_1772012996.pdf/Y2FyZWVy","View Resume")</f>
        <v>0</v>
      </c>
    </row>
    <row r="478" spans="1:97">
      <c r="A478" t="s">
        <v>137</v>
      </c>
      <c r="B478" t="s">
        <v>138</v>
      </c>
      <c r="C478" t="s">
        <v>139</v>
      </c>
      <c r="D478" t="s">
        <v>140</v>
      </c>
      <c r="E478" t="s">
        <v>7538</v>
      </c>
      <c r="F478" t="s">
        <v>7539</v>
      </c>
      <c r="G478">
        <v>8939418289</v>
      </c>
      <c r="H478" t="s">
        <v>103</v>
      </c>
      <c r="I478" t="s">
        <v>7540</v>
      </c>
      <c r="J478" t="s">
        <v>105</v>
      </c>
      <c r="K478" t="s">
        <v>7541</v>
      </c>
      <c r="L478" t="s">
        <v>7542</v>
      </c>
      <c r="M478" t="s">
        <v>7543</v>
      </c>
      <c r="N478" t="s">
        <v>109</v>
      </c>
      <c r="AI478" t="s">
        <v>7544</v>
      </c>
      <c r="AJ478" t="s">
        <v>175</v>
      </c>
      <c r="AK478" t="s">
        <v>7545</v>
      </c>
      <c r="AL478">
        <v>76</v>
      </c>
      <c r="AM478">
        <v>8</v>
      </c>
      <c r="AN478">
        <v>2008</v>
      </c>
      <c r="AO478" t="s">
        <v>113</v>
      </c>
      <c r="AP478" t="s">
        <v>7546</v>
      </c>
      <c r="AQ478" t="s">
        <v>175</v>
      </c>
      <c r="AR478" t="s">
        <v>7547</v>
      </c>
      <c r="AS478">
        <v>74</v>
      </c>
      <c r="AT478">
        <v>7.8</v>
      </c>
      <c r="AU478">
        <v>2011</v>
      </c>
      <c r="AV478" t="s">
        <v>109</v>
      </c>
      <c r="BC478" t="s">
        <v>113</v>
      </c>
      <c r="BD478" t="s">
        <v>605</v>
      </c>
      <c r="BE478" t="s">
        <v>606</v>
      </c>
      <c r="BF478" t="s">
        <v>7548</v>
      </c>
      <c r="BG478">
        <v>67</v>
      </c>
      <c r="BH478">
        <v>6.9</v>
      </c>
      <c r="BI478">
        <v>2015</v>
      </c>
      <c r="BJ478">
        <v>1</v>
      </c>
      <c r="BL478">
        <v>9</v>
      </c>
      <c r="BN478" t="s">
        <v>113</v>
      </c>
      <c r="BO478" t="s">
        <v>605</v>
      </c>
      <c r="BP478" t="s">
        <v>606</v>
      </c>
      <c r="BQ478" t="s">
        <v>7549</v>
      </c>
      <c r="BR478">
        <v>83</v>
      </c>
      <c r="BS478">
        <v>8.7</v>
      </c>
      <c r="BT478">
        <v>2017</v>
      </c>
      <c r="BU478">
        <v>14</v>
      </c>
      <c r="BW478">
        <v>47</v>
      </c>
      <c r="BY478" t="s">
        <v>109</v>
      </c>
      <c r="CF478" t="s">
        <v>113</v>
      </c>
      <c r="CG478" t="s">
        <v>7550</v>
      </c>
      <c r="CH478" t="s">
        <v>7551</v>
      </c>
      <c r="CI478" t="s">
        <v>132</v>
      </c>
      <c r="CJ478">
        <v>2025</v>
      </c>
      <c r="CL478" t="s">
        <v>109</v>
      </c>
      <c r="CN478" t="s">
        <v>109</v>
      </c>
      <c r="CP478" t="s">
        <v>7552</v>
      </c>
      <c r="CQ478" t="s">
        <v>7553</v>
      </c>
      <c r="CR478" t="str">
        <f>HYPERLINK("https://nconnect.nicmar.ac.in/public/storage/profile/699ebdab726db.png","Download")</f>
        <v>0</v>
      </c>
      <c r="CS478" t="str">
        <f>HYPERLINK("https://nconnect.nicmar.ac.in/pdf/665_resume_1772013754.pdf/Y2FyZWVy","View Resume")</f>
        <v>0</v>
      </c>
    </row>
    <row r="479" spans="1:97">
      <c r="A479" t="s">
        <v>164</v>
      </c>
      <c r="B479" t="s">
        <v>138</v>
      </c>
      <c r="C479" t="s">
        <v>165</v>
      </c>
      <c r="D479" t="s">
        <v>166</v>
      </c>
      <c r="E479" t="s">
        <v>7554</v>
      </c>
      <c r="F479" t="s">
        <v>7555</v>
      </c>
      <c r="G479">
        <v>8888812649</v>
      </c>
      <c r="H479" t="s">
        <v>103</v>
      </c>
      <c r="I479" t="s">
        <v>7556</v>
      </c>
      <c r="J479" t="s">
        <v>105</v>
      </c>
      <c r="K479" t="s">
        <v>4913</v>
      </c>
      <c r="L479" t="s">
        <v>7557</v>
      </c>
      <c r="M479" t="s">
        <v>7558</v>
      </c>
      <c r="N479" t="s">
        <v>109</v>
      </c>
      <c r="AI479" t="s">
        <v>7559</v>
      </c>
      <c r="AJ479" t="s">
        <v>7560</v>
      </c>
      <c r="AK479" t="s">
        <v>7561</v>
      </c>
      <c r="AL479">
        <v>86.26</v>
      </c>
      <c r="AN479">
        <v>1998</v>
      </c>
      <c r="AO479" t="s">
        <v>113</v>
      </c>
      <c r="AP479" t="s">
        <v>7562</v>
      </c>
      <c r="AQ479" t="s">
        <v>7563</v>
      </c>
      <c r="AR479" t="s">
        <v>7564</v>
      </c>
      <c r="AS479">
        <v>86</v>
      </c>
      <c r="AU479">
        <v>2000</v>
      </c>
      <c r="AV479" t="s">
        <v>109</v>
      </c>
      <c r="BC479" t="s">
        <v>113</v>
      </c>
      <c r="BD479" t="s">
        <v>914</v>
      </c>
      <c r="BE479" t="s">
        <v>7565</v>
      </c>
      <c r="BF479" t="s">
        <v>258</v>
      </c>
      <c r="BG479">
        <v>65.2</v>
      </c>
      <c r="BI479">
        <v>2004</v>
      </c>
      <c r="BJ479">
        <v>19</v>
      </c>
      <c r="BK479" t="s">
        <v>5946</v>
      </c>
      <c r="BL479">
        <v>54</v>
      </c>
      <c r="BN479" t="s">
        <v>113</v>
      </c>
      <c r="BO479" t="s">
        <v>7566</v>
      </c>
      <c r="BP479" t="s">
        <v>7566</v>
      </c>
      <c r="BQ479" t="s">
        <v>7567</v>
      </c>
      <c r="BR479">
        <v>88.6</v>
      </c>
      <c r="BS479">
        <v>8.86</v>
      </c>
      <c r="BT479">
        <v>2009</v>
      </c>
      <c r="BU479">
        <v>31</v>
      </c>
      <c r="BV479" t="s">
        <v>339</v>
      </c>
      <c r="BW479">
        <v>24</v>
      </c>
      <c r="BY479" t="s">
        <v>113</v>
      </c>
      <c r="BZ479" t="s">
        <v>7568</v>
      </c>
      <c r="CA479" t="s">
        <v>1287</v>
      </c>
      <c r="CB479" t="s">
        <v>841</v>
      </c>
      <c r="CC479">
        <v>65</v>
      </c>
      <c r="CE479">
        <v>2012</v>
      </c>
      <c r="CF479" t="s">
        <v>113</v>
      </c>
      <c r="CG479" t="s">
        <v>7569</v>
      </c>
      <c r="CH479" t="s">
        <v>3308</v>
      </c>
      <c r="CI479" t="s">
        <v>132</v>
      </c>
      <c r="CJ479">
        <v>2021</v>
      </c>
      <c r="CL479" t="s">
        <v>113</v>
      </c>
      <c r="CN479" t="s">
        <v>113</v>
      </c>
      <c r="CO479" t="s">
        <v>7570</v>
      </c>
      <c r="CP479" t="s">
        <v>7571</v>
      </c>
      <c r="CQ479" t="s">
        <v>7572</v>
      </c>
      <c r="CR479" t="s">
        <v>136</v>
      </c>
      <c r="CS479" t="str">
        <f>HYPERLINK("https://nconnect.nicmar.ac.in/pdf/668_resume_1772014453.pdf/Y2FyZWVy","View Resume")</f>
        <v>0</v>
      </c>
    </row>
    <row r="480" spans="1:97">
      <c r="A480" t="s">
        <v>370</v>
      </c>
      <c r="B480" t="s">
        <v>138</v>
      </c>
      <c r="C480" t="s">
        <v>295</v>
      </c>
      <c r="D480" t="s">
        <v>371</v>
      </c>
      <c r="E480" t="s">
        <v>7386</v>
      </c>
      <c r="F480" t="s">
        <v>7387</v>
      </c>
      <c r="G480">
        <v>7588238909</v>
      </c>
      <c r="H480" t="s">
        <v>103</v>
      </c>
      <c r="I480" t="s">
        <v>7388</v>
      </c>
      <c r="J480" t="s">
        <v>105</v>
      </c>
      <c r="K480" t="s">
        <v>2797</v>
      </c>
      <c r="L480" t="s">
        <v>7389</v>
      </c>
      <c r="M480" t="s">
        <v>7390</v>
      </c>
      <c r="N480" t="s">
        <v>109</v>
      </c>
      <c r="AI480" t="s">
        <v>7391</v>
      </c>
      <c r="AJ480" t="s">
        <v>1542</v>
      </c>
      <c r="AK480" t="s">
        <v>277</v>
      </c>
      <c r="AL480">
        <v>83.8</v>
      </c>
      <c r="AN480">
        <v>2012</v>
      </c>
      <c r="AO480" t="s">
        <v>113</v>
      </c>
      <c r="AP480" t="s">
        <v>7392</v>
      </c>
      <c r="AQ480" t="s">
        <v>1542</v>
      </c>
      <c r="AR480" t="s">
        <v>277</v>
      </c>
      <c r="AS480">
        <v>67</v>
      </c>
      <c r="AU480">
        <v>2014</v>
      </c>
      <c r="AV480" t="s">
        <v>109</v>
      </c>
      <c r="BC480" t="s">
        <v>113</v>
      </c>
      <c r="BD480" t="s">
        <v>3308</v>
      </c>
      <c r="BE480" t="s">
        <v>7393</v>
      </c>
      <c r="BF480" t="s">
        <v>309</v>
      </c>
      <c r="BG480">
        <v>72.6</v>
      </c>
      <c r="BI480">
        <v>2018</v>
      </c>
      <c r="BJ480">
        <v>2</v>
      </c>
      <c r="BL480">
        <v>9</v>
      </c>
      <c r="BN480" t="s">
        <v>113</v>
      </c>
      <c r="BO480" t="s">
        <v>964</v>
      </c>
      <c r="BP480" t="s">
        <v>7394</v>
      </c>
      <c r="BQ480" t="s">
        <v>1350</v>
      </c>
      <c r="BR480">
        <v>86</v>
      </c>
      <c r="BS480">
        <v>8.6</v>
      </c>
      <c r="BT480">
        <v>2020</v>
      </c>
      <c r="BU480">
        <v>12</v>
      </c>
      <c r="BW480">
        <v>15</v>
      </c>
      <c r="BY480" t="s">
        <v>113</v>
      </c>
      <c r="BZ480" t="s">
        <v>7395</v>
      </c>
      <c r="CA480" t="s">
        <v>7396</v>
      </c>
      <c r="CB480" t="s">
        <v>7397</v>
      </c>
      <c r="CC480">
        <v>80</v>
      </c>
      <c r="CE480">
        <v>2022</v>
      </c>
      <c r="CF480" t="s">
        <v>113</v>
      </c>
      <c r="CG480" t="s">
        <v>2649</v>
      </c>
      <c r="CH480" t="s">
        <v>5806</v>
      </c>
      <c r="CI480" t="s">
        <v>132</v>
      </c>
      <c r="CJ480">
        <v>2024</v>
      </c>
      <c r="CL480" t="s">
        <v>109</v>
      </c>
      <c r="CN480" t="s">
        <v>113</v>
      </c>
      <c r="CO480" t="s">
        <v>7398</v>
      </c>
      <c r="CP480" t="s">
        <v>7399</v>
      </c>
      <c r="CQ480" t="s">
        <v>7573</v>
      </c>
      <c r="CR480" t="str">
        <f>HYPERLINK("https://nconnect.nicmar.ac.in/public/storage/profile/699d541a017e7.png","Download")</f>
        <v>0</v>
      </c>
      <c r="CS480" t="str">
        <f>HYPERLINK("https://nconnect.nicmar.ac.in/pdf/613_resume_1772005478.pdf/Y2FyZWVy","View Resume")</f>
        <v>0</v>
      </c>
    </row>
    <row r="481" spans="1:97">
      <c r="A481" t="s">
        <v>2591</v>
      </c>
      <c r="B481" t="s">
        <v>138</v>
      </c>
      <c r="C481" t="s">
        <v>295</v>
      </c>
      <c r="D481" t="s">
        <v>2592</v>
      </c>
      <c r="E481" t="s">
        <v>7386</v>
      </c>
      <c r="F481" t="s">
        <v>7387</v>
      </c>
      <c r="G481">
        <v>7588238909</v>
      </c>
      <c r="H481" t="s">
        <v>103</v>
      </c>
      <c r="I481" t="s">
        <v>7388</v>
      </c>
      <c r="J481" t="s">
        <v>105</v>
      </c>
      <c r="K481" t="s">
        <v>2797</v>
      </c>
      <c r="L481" t="s">
        <v>7389</v>
      </c>
      <c r="M481" t="s">
        <v>7390</v>
      </c>
      <c r="N481" t="s">
        <v>109</v>
      </c>
      <c r="AI481" t="s">
        <v>7391</v>
      </c>
      <c r="AJ481" t="s">
        <v>1542</v>
      </c>
      <c r="AK481" t="s">
        <v>277</v>
      </c>
      <c r="AL481">
        <v>83.8</v>
      </c>
      <c r="AN481">
        <v>2012</v>
      </c>
      <c r="AO481" t="s">
        <v>113</v>
      </c>
      <c r="AP481" t="s">
        <v>7392</v>
      </c>
      <c r="AQ481" t="s">
        <v>1542</v>
      </c>
      <c r="AR481" t="s">
        <v>277</v>
      </c>
      <c r="AS481">
        <v>67</v>
      </c>
      <c r="AU481">
        <v>2014</v>
      </c>
      <c r="AV481" t="s">
        <v>109</v>
      </c>
      <c r="BC481" t="s">
        <v>113</v>
      </c>
      <c r="BD481" t="s">
        <v>3308</v>
      </c>
      <c r="BE481" t="s">
        <v>7393</v>
      </c>
      <c r="BF481" t="s">
        <v>309</v>
      </c>
      <c r="BG481">
        <v>72.6</v>
      </c>
      <c r="BI481">
        <v>2018</v>
      </c>
      <c r="BJ481">
        <v>2</v>
      </c>
      <c r="BL481">
        <v>9</v>
      </c>
      <c r="BN481" t="s">
        <v>113</v>
      </c>
      <c r="BO481" t="s">
        <v>964</v>
      </c>
      <c r="BP481" t="s">
        <v>7394</v>
      </c>
      <c r="BQ481" t="s">
        <v>1350</v>
      </c>
      <c r="BR481">
        <v>86</v>
      </c>
      <c r="BS481">
        <v>8.6</v>
      </c>
      <c r="BT481">
        <v>2020</v>
      </c>
      <c r="BU481">
        <v>12</v>
      </c>
      <c r="BW481">
        <v>15</v>
      </c>
      <c r="BY481" t="s">
        <v>113</v>
      </c>
      <c r="BZ481" t="s">
        <v>7395</v>
      </c>
      <c r="CA481" t="s">
        <v>7396</v>
      </c>
      <c r="CB481" t="s">
        <v>7397</v>
      </c>
      <c r="CC481">
        <v>80</v>
      </c>
      <c r="CE481">
        <v>2022</v>
      </c>
      <c r="CF481" t="s">
        <v>113</v>
      </c>
      <c r="CG481" t="s">
        <v>2649</v>
      </c>
      <c r="CH481" t="s">
        <v>5806</v>
      </c>
      <c r="CI481" t="s">
        <v>132</v>
      </c>
      <c r="CJ481">
        <v>2024</v>
      </c>
      <c r="CL481" t="s">
        <v>109</v>
      </c>
      <c r="CN481" t="s">
        <v>113</v>
      </c>
      <c r="CO481" t="s">
        <v>7398</v>
      </c>
      <c r="CP481" t="s">
        <v>7399</v>
      </c>
      <c r="CQ481" t="s">
        <v>7573</v>
      </c>
      <c r="CR481" t="str">
        <f>HYPERLINK("https://nconnect.nicmar.ac.in/public/storage/profile/699d541a017e7.png","Download")</f>
        <v>0</v>
      </c>
      <c r="CS481" t="str">
        <f>HYPERLINK("https://nconnect.nicmar.ac.in/pdf/613_resume_1772005478.pdf/Y2FyZWVy","View Resume")</f>
        <v>0</v>
      </c>
    </row>
    <row r="482" spans="1:97">
      <c r="A482" t="s">
        <v>367</v>
      </c>
      <c r="B482" t="s">
        <v>138</v>
      </c>
      <c r="C482" t="s">
        <v>295</v>
      </c>
      <c r="D482" t="s">
        <v>368</v>
      </c>
      <c r="E482" t="s">
        <v>7386</v>
      </c>
      <c r="F482" t="s">
        <v>7387</v>
      </c>
      <c r="G482">
        <v>7588238909</v>
      </c>
      <c r="H482" t="s">
        <v>103</v>
      </c>
      <c r="I482" t="s">
        <v>7388</v>
      </c>
      <c r="J482" t="s">
        <v>105</v>
      </c>
      <c r="K482" t="s">
        <v>2797</v>
      </c>
      <c r="L482" t="s">
        <v>7389</v>
      </c>
      <c r="M482" t="s">
        <v>7390</v>
      </c>
      <c r="N482" t="s">
        <v>109</v>
      </c>
      <c r="AI482" t="s">
        <v>7391</v>
      </c>
      <c r="AJ482" t="s">
        <v>1542</v>
      </c>
      <c r="AK482" t="s">
        <v>277</v>
      </c>
      <c r="AL482">
        <v>83.8</v>
      </c>
      <c r="AN482">
        <v>2012</v>
      </c>
      <c r="AO482" t="s">
        <v>113</v>
      </c>
      <c r="AP482" t="s">
        <v>7392</v>
      </c>
      <c r="AQ482" t="s">
        <v>1542</v>
      </c>
      <c r="AR482" t="s">
        <v>277</v>
      </c>
      <c r="AS482">
        <v>67</v>
      </c>
      <c r="AU482">
        <v>2014</v>
      </c>
      <c r="AV482" t="s">
        <v>109</v>
      </c>
      <c r="BC482" t="s">
        <v>113</v>
      </c>
      <c r="BD482" t="s">
        <v>3308</v>
      </c>
      <c r="BE482" t="s">
        <v>7393</v>
      </c>
      <c r="BF482" t="s">
        <v>309</v>
      </c>
      <c r="BG482">
        <v>72.6</v>
      </c>
      <c r="BI482">
        <v>2018</v>
      </c>
      <c r="BJ482">
        <v>2</v>
      </c>
      <c r="BL482">
        <v>9</v>
      </c>
      <c r="BN482" t="s">
        <v>113</v>
      </c>
      <c r="BO482" t="s">
        <v>964</v>
      </c>
      <c r="BP482" t="s">
        <v>7394</v>
      </c>
      <c r="BQ482" t="s">
        <v>1350</v>
      </c>
      <c r="BR482">
        <v>86</v>
      </c>
      <c r="BS482">
        <v>8.6</v>
      </c>
      <c r="BT482">
        <v>2020</v>
      </c>
      <c r="BU482">
        <v>12</v>
      </c>
      <c r="BW482">
        <v>15</v>
      </c>
      <c r="BY482" t="s">
        <v>113</v>
      </c>
      <c r="BZ482" t="s">
        <v>7395</v>
      </c>
      <c r="CA482" t="s">
        <v>7396</v>
      </c>
      <c r="CB482" t="s">
        <v>7397</v>
      </c>
      <c r="CC482">
        <v>80</v>
      </c>
      <c r="CE482">
        <v>2022</v>
      </c>
      <c r="CF482" t="s">
        <v>113</v>
      </c>
      <c r="CG482" t="s">
        <v>2649</v>
      </c>
      <c r="CH482" t="s">
        <v>5806</v>
      </c>
      <c r="CI482" t="s">
        <v>132</v>
      </c>
      <c r="CJ482">
        <v>2024</v>
      </c>
      <c r="CL482" t="s">
        <v>109</v>
      </c>
      <c r="CN482" t="s">
        <v>113</v>
      </c>
      <c r="CO482" t="s">
        <v>7398</v>
      </c>
      <c r="CP482" t="s">
        <v>7399</v>
      </c>
      <c r="CQ482" t="s">
        <v>7574</v>
      </c>
      <c r="CR482" t="str">
        <f>HYPERLINK("https://nconnect.nicmar.ac.in/public/storage/profile/699d541a017e7.png","Download")</f>
        <v>0</v>
      </c>
      <c r="CS482" t="str">
        <f>HYPERLINK("https://nconnect.nicmar.ac.in/pdf/613_resume_1772005478.pdf/Y2FyZWVy","View Resume")</f>
        <v>0</v>
      </c>
    </row>
    <row r="483" spans="1:97">
      <c r="A483" t="s">
        <v>521</v>
      </c>
      <c r="B483" t="s">
        <v>138</v>
      </c>
      <c r="C483" t="s">
        <v>165</v>
      </c>
      <c r="D483" t="s">
        <v>522</v>
      </c>
      <c r="E483" t="s">
        <v>7554</v>
      </c>
      <c r="F483" t="s">
        <v>7555</v>
      </c>
      <c r="G483">
        <v>8888812649</v>
      </c>
      <c r="H483" t="s">
        <v>103</v>
      </c>
      <c r="I483" t="s">
        <v>7556</v>
      </c>
      <c r="J483" t="s">
        <v>105</v>
      </c>
      <c r="K483" t="s">
        <v>4913</v>
      </c>
      <c r="L483" t="s">
        <v>7557</v>
      </c>
      <c r="M483" t="s">
        <v>7558</v>
      </c>
      <c r="N483" t="s">
        <v>109</v>
      </c>
      <c r="AI483" t="s">
        <v>7559</v>
      </c>
      <c r="AJ483" t="s">
        <v>7560</v>
      </c>
      <c r="AK483" t="s">
        <v>7561</v>
      </c>
      <c r="AL483">
        <v>86.26</v>
      </c>
      <c r="AN483">
        <v>1998</v>
      </c>
      <c r="AO483" t="s">
        <v>113</v>
      </c>
      <c r="AP483" t="s">
        <v>7562</v>
      </c>
      <c r="AQ483" t="s">
        <v>7563</v>
      </c>
      <c r="AR483" t="s">
        <v>7564</v>
      </c>
      <c r="AS483">
        <v>86</v>
      </c>
      <c r="AU483">
        <v>2000</v>
      </c>
      <c r="AV483" t="s">
        <v>109</v>
      </c>
      <c r="BC483" t="s">
        <v>113</v>
      </c>
      <c r="BD483" t="s">
        <v>914</v>
      </c>
      <c r="BE483" t="s">
        <v>7565</v>
      </c>
      <c r="BF483" t="s">
        <v>258</v>
      </c>
      <c r="BG483">
        <v>65.2</v>
      </c>
      <c r="BI483">
        <v>2004</v>
      </c>
      <c r="BJ483">
        <v>19</v>
      </c>
      <c r="BK483" t="s">
        <v>5946</v>
      </c>
      <c r="BL483">
        <v>54</v>
      </c>
      <c r="BN483" t="s">
        <v>113</v>
      </c>
      <c r="BO483" t="s">
        <v>7566</v>
      </c>
      <c r="BP483" t="s">
        <v>7566</v>
      </c>
      <c r="BQ483" t="s">
        <v>7567</v>
      </c>
      <c r="BR483">
        <v>88.6</v>
      </c>
      <c r="BS483">
        <v>8.86</v>
      </c>
      <c r="BT483">
        <v>2009</v>
      </c>
      <c r="BU483">
        <v>31</v>
      </c>
      <c r="BV483" t="s">
        <v>339</v>
      </c>
      <c r="BW483">
        <v>24</v>
      </c>
      <c r="BY483" t="s">
        <v>113</v>
      </c>
      <c r="BZ483" t="s">
        <v>7568</v>
      </c>
      <c r="CA483" t="s">
        <v>1287</v>
      </c>
      <c r="CB483" t="s">
        <v>841</v>
      </c>
      <c r="CC483">
        <v>65</v>
      </c>
      <c r="CE483">
        <v>2012</v>
      </c>
      <c r="CF483" t="s">
        <v>113</v>
      </c>
      <c r="CG483" t="s">
        <v>7569</v>
      </c>
      <c r="CH483" t="s">
        <v>3308</v>
      </c>
      <c r="CI483" t="s">
        <v>132</v>
      </c>
      <c r="CJ483">
        <v>2021</v>
      </c>
      <c r="CL483" t="s">
        <v>113</v>
      </c>
      <c r="CN483" t="s">
        <v>113</v>
      </c>
      <c r="CO483" t="s">
        <v>7570</v>
      </c>
      <c r="CP483" t="s">
        <v>7571</v>
      </c>
      <c r="CQ483" t="s">
        <v>7575</v>
      </c>
      <c r="CR483" t="s">
        <v>136</v>
      </c>
      <c r="CS483" t="str">
        <f>HYPERLINK("https://nconnect.nicmar.ac.in/pdf/668_resume_1772014453.pdf/Y2FyZWVy","View Resume")</f>
        <v>0</v>
      </c>
    </row>
    <row r="484" spans="1:97">
      <c r="A484" t="s">
        <v>137</v>
      </c>
      <c r="B484" t="s">
        <v>138</v>
      </c>
      <c r="C484" t="s">
        <v>139</v>
      </c>
      <c r="D484" t="s">
        <v>140</v>
      </c>
      <c r="E484" t="s">
        <v>7576</v>
      </c>
      <c r="F484" t="s">
        <v>7577</v>
      </c>
      <c r="G484">
        <v>7029451300</v>
      </c>
      <c r="H484" t="s">
        <v>103</v>
      </c>
      <c r="I484" t="s">
        <v>7578</v>
      </c>
      <c r="J484" t="s">
        <v>105</v>
      </c>
      <c r="K484" t="s">
        <v>247</v>
      </c>
      <c r="L484" t="s">
        <v>7579</v>
      </c>
      <c r="M484" t="s">
        <v>7580</v>
      </c>
      <c r="N484" t="s">
        <v>109</v>
      </c>
      <c r="AI484" t="s">
        <v>7581</v>
      </c>
      <c r="AJ484" t="s">
        <v>7582</v>
      </c>
      <c r="AK484" t="s">
        <v>7583</v>
      </c>
      <c r="AL484">
        <v>80</v>
      </c>
      <c r="AN484">
        <v>2007</v>
      </c>
      <c r="AO484" t="s">
        <v>113</v>
      </c>
      <c r="AP484" t="s">
        <v>7584</v>
      </c>
      <c r="AQ484" t="s">
        <v>7582</v>
      </c>
      <c r="AR484" t="s">
        <v>7585</v>
      </c>
      <c r="AS484">
        <v>78</v>
      </c>
      <c r="AU484">
        <v>2009</v>
      </c>
      <c r="AV484" t="s">
        <v>109</v>
      </c>
      <c r="BC484" t="s">
        <v>113</v>
      </c>
      <c r="BD484" t="s">
        <v>7586</v>
      </c>
      <c r="BE484" t="s">
        <v>7582</v>
      </c>
      <c r="BF484" t="s">
        <v>309</v>
      </c>
      <c r="BG484">
        <v>78.8</v>
      </c>
      <c r="BH484">
        <v>8.63</v>
      </c>
      <c r="BI484">
        <v>2013</v>
      </c>
      <c r="BJ484">
        <v>1</v>
      </c>
      <c r="BL484">
        <v>9</v>
      </c>
      <c r="BN484" t="s">
        <v>113</v>
      </c>
      <c r="BO484" t="s">
        <v>5351</v>
      </c>
      <c r="BP484" t="s">
        <v>7582</v>
      </c>
      <c r="BQ484" t="s">
        <v>140</v>
      </c>
      <c r="BR484">
        <v>70.2</v>
      </c>
      <c r="BS484">
        <v>7.52</v>
      </c>
      <c r="BT484">
        <v>2017</v>
      </c>
      <c r="BU484">
        <v>14</v>
      </c>
      <c r="BW484">
        <v>47</v>
      </c>
      <c r="BY484" t="s">
        <v>109</v>
      </c>
      <c r="CF484" t="s">
        <v>113</v>
      </c>
      <c r="CG484" t="s">
        <v>2043</v>
      </c>
      <c r="CH484" t="s">
        <v>5351</v>
      </c>
      <c r="CI484" t="s">
        <v>132</v>
      </c>
      <c r="CJ484">
        <v>2026</v>
      </c>
      <c r="CL484" t="s">
        <v>113</v>
      </c>
      <c r="CM484" t="s">
        <v>7587</v>
      </c>
      <c r="CN484" t="s">
        <v>113</v>
      </c>
      <c r="CO484" t="s">
        <v>7588</v>
      </c>
      <c r="CP484" t="s">
        <v>7589</v>
      </c>
      <c r="CQ484" t="s">
        <v>7590</v>
      </c>
      <c r="CR484" t="s">
        <v>136</v>
      </c>
      <c r="CS484" t="str">
        <f>HYPERLINK("https://nconnect.nicmar.ac.in/pdf/667_resume_1772015738.pdf/Y2FyZWVy","View Resume")</f>
        <v>0</v>
      </c>
    </row>
    <row r="485" spans="1:97">
      <c r="A485" t="s">
        <v>501</v>
      </c>
      <c r="B485" t="s">
        <v>138</v>
      </c>
      <c r="C485" t="s">
        <v>165</v>
      </c>
      <c r="D485" t="s">
        <v>319</v>
      </c>
      <c r="E485" t="s">
        <v>7591</v>
      </c>
      <c r="F485" t="s">
        <v>7592</v>
      </c>
      <c r="G485">
        <v>9028336138</v>
      </c>
      <c r="H485" t="s">
        <v>169</v>
      </c>
      <c r="I485" t="s">
        <v>7593</v>
      </c>
      <c r="J485" t="s">
        <v>105</v>
      </c>
      <c r="K485" t="s">
        <v>7594</v>
      </c>
      <c r="L485" t="s">
        <v>7595</v>
      </c>
      <c r="M485" t="s">
        <v>7596</v>
      </c>
      <c r="N485" t="s">
        <v>109</v>
      </c>
      <c r="AI485" t="s">
        <v>7597</v>
      </c>
      <c r="AJ485" t="s">
        <v>7598</v>
      </c>
      <c r="AK485" t="s">
        <v>6552</v>
      </c>
      <c r="AL485">
        <v>63</v>
      </c>
      <c r="AN485">
        <v>1999</v>
      </c>
      <c r="AO485" t="s">
        <v>113</v>
      </c>
      <c r="AP485" t="s">
        <v>7599</v>
      </c>
      <c r="AQ485" t="s">
        <v>7600</v>
      </c>
      <c r="AR485" t="s">
        <v>7601</v>
      </c>
      <c r="AS485">
        <v>68</v>
      </c>
      <c r="AU485">
        <v>2001</v>
      </c>
      <c r="AV485" t="s">
        <v>109</v>
      </c>
      <c r="BC485" t="s">
        <v>113</v>
      </c>
      <c r="BD485" t="s">
        <v>7602</v>
      </c>
      <c r="BE485" t="s">
        <v>7603</v>
      </c>
      <c r="BF485" t="s">
        <v>7604</v>
      </c>
      <c r="BG485">
        <v>60</v>
      </c>
      <c r="BI485">
        <v>2004</v>
      </c>
      <c r="BJ485">
        <v>19</v>
      </c>
      <c r="BK485" t="s">
        <v>515</v>
      </c>
      <c r="BL485">
        <v>53</v>
      </c>
      <c r="BM485" t="s">
        <v>7605</v>
      </c>
      <c r="BN485" t="s">
        <v>113</v>
      </c>
      <c r="BO485" t="s">
        <v>3292</v>
      </c>
      <c r="BP485" t="s">
        <v>7606</v>
      </c>
      <c r="BQ485" t="s">
        <v>7607</v>
      </c>
      <c r="BR485">
        <v>65</v>
      </c>
      <c r="BT485">
        <v>2004</v>
      </c>
      <c r="BU485">
        <v>31</v>
      </c>
      <c r="BV485" t="s">
        <v>987</v>
      </c>
      <c r="BW485">
        <v>33</v>
      </c>
      <c r="BY485" t="s">
        <v>113</v>
      </c>
      <c r="BZ485" t="s">
        <v>3292</v>
      </c>
      <c r="CA485" t="s">
        <v>7608</v>
      </c>
      <c r="CB485" t="s">
        <v>7609</v>
      </c>
      <c r="CC485">
        <v>69</v>
      </c>
      <c r="CE485">
        <v>2015</v>
      </c>
      <c r="CF485" t="s">
        <v>113</v>
      </c>
      <c r="CG485" t="s">
        <v>6949</v>
      </c>
      <c r="CH485" t="s">
        <v>7610</v>
      </c>
      <c r="CI485" t="s">
        <v>132</v>
      </c>
      <c r="CJ485">
        <v>2025</v>
      </c>
      <c r="CL485" t="s">
        <v>109</v>
      </c>
      <c r="CN485" t="s">
        <v>113</v>
      </c>
      <c r="CO485" t="s">
        <v>7611</v>
      </c>
      <c r="CP485" t="s">
        <v>267</v>
      </c>
      <c r="CQ485" t="s">
        <v>7612</v>
      </c>
      <c r="CR485" t="s">
        <v>136</v>
      </c>
      <c r="CS485" t="str">
        <f>HYPERLINK("https://nconnect.nicmar.ac.in/pdf/671_resume_1772017462.pdf/Y2FyZWVy","View Resume")</f>
        <v>0</v>
      </c>
    </row>
    <row r="486" spans="1:97">
      <c r="A486" t="s">
        <v>137</v>
      </c>
      <c r="B486" t="s">
        <v>138</v>
      </c>
      <c r="C486" t="s">
        <v>139</v>
      </c>
      <c r="D486" t="s">
        <v>140</v>
      </c>
      <c r="E486" t="s">
        <v>7613</v>
      </c>
      <c r="F486" t="s">
        <v>7614</v>
      </c>
      <c r="G486">
        <v>9022375113</v>
      </c>
      <c r="H486" t="s">
        <v>169</v>
      </c>
      <c r="I486" t="s">
        <v>7615</v>
      </c>
      <c r="J486" t="s">
        <v>105</v>
      </c>
      <c r="K486" t="s">
        <v>7616</v>
      </c>
      <c r="L486" t="s">
        <v>7617</v>
      </c>
      <c r="M486" t="s">
        <v>7618</v>
      </c>
      <c r="N486" t="s">
        <v>109</v>
      </c>
      <c r="AI486" t="s">
        <v>7619</v>
      </c>
      <c r="AJ486" t="s">
        <v>7620</v>
      </c>
      <c r="AK486" t="s">
        <v>957</v>
      </c>
      <c r="AL486">
        <v>78</v>
      </c>
      <c r="AN486">
        <v>1999</v>
      </c>
      <c r="AO486" t="s">
        <v>109</v>
      </c>
      <c r="AV486" t="s">
        <v>113</v>
      </c>
      <c r="AW486" t="s">
        <v>3861</v>
      </c>
      <c r="AX486" t="s">
        <v>7621</v>
      </c>
      <c r="AY486" t="s">
        <v>7622</v>
      </c>
      <c r="AZ486">
        <v>75.3</v>
      </c>
      <c r="BB486">
        <v>2004</v>
      </c>
      <c r="BC486" t="s">
        <v>113</v>
      </c>
      <c r="BD486" t="s">
        <v>7623</v>
      </c>
      <c r="BE486" t="s">
        <v>7624</v>
      </c>
      <c r="BF486" t="s">
        <v>7622</v>
      </c>
      <c r="BG486">
        <v>0.0</v>
      </c>
      <c r="BH486">
        <v>8.1</v>
      </c>
      <c r="BI486">
        <v>2008</v>
      </c>
      <c r="BJ486">
        <v>1</v>
      </c>
      <c r="BL486">
        <v>7</v>
      </c>
      <c r="BN486" t="s">
        <v>113</v>
      </c>
      <c r="BO486" t="s">
        <v>7625</v>
      </c>
      <c r="BP486" t="s">
        <v>7626</v>
      </c>
      <c r="BQ486" t="s">
        <v>7627</v>
      </c>
      <c r="BR486">
        <v>0.0</v>
      </c>
      <c r="BS486">
        <v>8.03</v>
      </c>
      <c r="BT486">
        <v>2016</v>
      </c>
      <c r="BU486">
        <v>14</v>
      </c>
      <c r="BW486">
        <v>47</v>
      </c>
      <c r="BY486" t="s">
        <v>109</v>
      </c>
      <c r="CF486" t="s">
        <v>113</v>
      </c>
      <c r="CG486" t="s">
        <v>3901</v>
      </c>
      <c r="CH486" t="s">
        <v>7628</v>
      </c>
      <c r="CI486" t="s">
        <v>240</v>
      </c>
      <c r="CK486" t="s">
        <v>109</v>
      </c>
      <c r="CL486" t="s">
        <v>109</v>
      </c>
      <c r="CN486" t="s">
        <v>109</v>
      </c>
      <c r="CP486" t="s">
        <v>7629</v>
      </c>
      <c r="CQ486" t="s">
        <v>7630</v>
      </c>
      <c r="CR486" t="s">
        <v>136</v>
      </c>
      <c r="CS486" t="str">
        <f>HYPERLINK("https://nconnect.nicmar.ac.in/pdf/678_resume_1772025017.pdf/Y2FyZWVy","View Resume")</f>
        <v>0</v>
      </c>
    </row>
    <row r="487" spans="1:97">
      <c r="A487" t="s">
        <v>192</v>
      </c>
      <c r="B487" t="s">
        <v>138</v>
      </c>
      <c r="C487" t="s">
        <v>165</v>
      </c>
      <c r="D487" t="s">
        <v>193</v>
      </c>
      <c r="E487" t="s">
        <v>7631</v>
      </c>
      <c r="F487" t="s">
        <v>7632</v>
      </c>
      <c r="G487">
        <v>8855863336</v>
      </c>
      <c r="H487" t="s">
        <v>103</v>
      </c>
      <c r="I487" t="s">
        <v>7633</v>
      </c>
      <c r="J487" t="s">
        <v>105</v>
      </c>
      <c r="K487" t="s">
        <v>526</v>
      </c>
      <c r="L487" t="s">
        <v>7634</v>
      </c>
      <c r="M487" t="s">
        <v>7635</v>
      </c>
      <c r="N487" t="s">
        <v>109</v>
      </c>
      <c r="AI487" t="s">
        <v>7636</v>
      </c>
      <c r="AJ487" t="s">
        <v>7637</v>
      </c>
      <c r="AK487" t="s">
        <v>7638</v>
      </c>
      <c r="AL487">
        <v>66.93</v>
      </c>
      <c r="AN487">
        <v>1996</v>
      </c>
      <c r="AO487" t="s">
        <v>113</v>
      </c>
      <c r="AP487" t="s">
        <v>7639</v>
      </c>
      <c r="AQ487" t="s">
        <v>7640</v>
      </c>
      <c r="AR487" t="s">
        <v>7641</v>
      </c>
      <c r="AS487">
        <v>47.33</v>
      </c>
      <c r="AU487">
        <v>1999</v>
      </c>
      <c r="AV487" t="s">
        <v>109</v>
      </c>
      <c r="BC487" t="s">
        <v>113</v>
      </c>
      <c r="BD487" t="s">
        <v>358</v>
      </c>
      <c r="BE487" t="s">
        <v>7642</v>
      </c>
      <c r="BF487" t="s">
        <v>3599</v>
      </c>
      <c r="BG487">
        <v>54</v>
      </c>
      <c r="BI487">
        <v>2002</v>
      </c>
      <c r="BJ487">
        <v>19</v>
      </c>
      <c r="BK487" t="s">
        <v>985</v>
      </c>
      <c r="BL487">
        <v>53</v>
      </c>
      <c r="BM487" t="s">
        <v>3599</v>
      </c>
      <c r="BN487" t="s">
        <v>113</v>
      </c>
      <c r="BO487" t="s">
        <v>358</v>
      </c>
      <c r="BP487" t="s">
        <v>7643</v>
      </c>
      <c r="BQ487" t="s">
        <v>4649</v>
      </c>
      <c r="BR487">
        <v>63</v>
      </c>
      <c r="BT487">
        <v>2004</v>
      </c>
      <c r="BU487">
        <v>31</v>
      </c>
      <c r="BV487" t="s">
        <v>987</v>
      </c>
      <c r="BW487">
        <v>33</v>
      </c>
      <c r="BY487" t="s">
        <v>109</v>
      </c>
      <c r="CF487" t="s">
        <v>113</v>
      </c>
      <c r="CG487" t="s">
        <v>7644</v>
      </c>
      <c r="CH487" t="s">
        <v>7645</v>
      </c>
      <c r="CI487" t="s">
        <v>132</v>
      </c>
      <c r="CJ487">
        <v>2021</v>
      </c>
      <c r="CL487" t="s">
        <v>109</v>
      </c>
      <c r="CN487" t="s">
        <v>109</v>
      </c>
      <c r="CO487" t="s">
        <v>7646</v>
      </c>
      <c r="CP487" t="s">
        <v>1289</v>
      </c>
      <c r="CQ487" t="s">
        <v>7647</v>
      </c>
      <c r="CR487" t="str">
        <f>HYPERLINK("https://nconnect.nicmar.ac.in/public/storage/profile/699dd26139cd3.png","Download")</f>
        <v>0</v>
      </c>
      <c r="CS487" t="str">
        <f>HYPERLINK("https://nconnect.nicmar.ac.in/pdf/643_resume_1772026027.pdf/Y2FyZWVy","View Resume")</f>
        <v>0</v>
      </c>
    </row>
    <row r="488" spans="1:97">
      <c r="A488" t="s">
        <v>137</v>
      </c>
      <c r="B488" t="s">
        <v>138</v>
      </c>
      <c r="C488" t="s">
        <v>139</v>
      </c>
      <c r="D488" t="s">
        <v>140</v>
      </c>
      <c r="E488" t="s">
        <v>7648</v>
      </c>
      <c r="F488" t="s">
        <v>7649</v>
      </c>
      <c r="G488">
        <v>8493813858</v>
      </c>
      <c r="H488" t="s">
        <v>103</v>
      </c>
      <c r="I488" t="s">
        <v>7650</v>
      </c>
      <c r="J488" t="s">
        <v>105</v>
      </c>
      <c r="K488" t="s">
        <v>145</v>
      </c>
      <c r="L488" t="s">
        <v>7651</v>
      </c>
      <c r="M488" t="s">
        <v>7652</v>
      </c>
      <c r="N488" t="s">
        <v>109</v>
      </c>
      <c r="AI488" t="s">
        <v>7653</v>
      </c>
      <c r="AJ488" t="s">
        <v>6248</v>
      </c>
      <c r="AK488" t="s">
        <v>7654</v>
      </c>
      <c r="AL488">
        <v>74.5</v>
      </c>
      <c r="AN488">
        <v>2007</v>
      </c>
      <c r="AO488" t="s">
        <v>113</v>
      </c>
      <c r="AP488" t="s">
        <v>7655</v>
      </c>
      <c r="AQ488" t="s">
        <v>6248</v>
      </c>
      <c r="AR488" t="s">
        <v>7656</v>
      </c>
      <c r="AS488">
        <v>77</v>
      </c>
      <c r="AU488">
        <v>2010</v>
      </c>
      <c r="AV488" t="s">
        <v>109</v>
      </c>
      <c r="BC488" t="s">
        <v>113</v>
      </c>
      <c r="BD488" t="s">
        <v>6356</v>
      </c>
      <c r="BE488" t="s">
        <v>7657</v>
      </c>
      <c r="BF488" t="s">
        <v>7658</v>
      </c>
      <c r="BG488">
        <v>72.8</v>
      </c>
      <c r="BH488">
        <v>7.28</v>
      </c>
      <c r="BI488">
        <v>2015</v>
      </c>
      <c r="BJ488">
        <v>2</v>
      </c>
      <c r="BL488">
        <v>9</v>
      </c>
      <c r="BN488" t="s">
        <v>113</v>
      </c>
      <c r="BO488" t="s">
        <v>7659</v>
      </c>
      <c r="BP488" t="s">
        <v>7660</v>
      </c>
      <c r="BQ488" t="s">
        <v>7661</v>
      </c>
      <c r="BR488">
        <v>69</v>
      </c>
      <c r="BS488">
        <v>6.9</v>
      </c>
      <c r="BT488">
        <v>2015</v>
      </c>
      <c r="BU488">
        <v>14</v>
      </c>
      <c r="BV488" t="s">
        <v>109</v>
      </c>
      <c r="BW488">
        <v>47</v>
      </c>
      <c r="BX488" t="s">
        <v>109</v>
      </c>
      <c r="BY488" t="s">
        <v>109</v>
      </c>
      <c r="CF488" t="s">
        <v>113</v>
      </c>
      <c r="CG488" t="s">
        <v>7662</v>
      </c>
      <c r="CH488" t="s">
        <v>7663</v>
      </c>
      <c r="CI488" t="s">
        <v>132</v>
      </c>
      <c r="CJ488">
        <v>2023</v>
      </c>
      <c r="CL488" t="s">
        <v>113</v>
      </c>
      <c r="CM488" t="s">
        <v>7664</v>
      </c>
      <c r="CN488" t="s">
        <v>113</v>
      </c>
      <c r="CO488" t="s">
        <v>7665</v>
      </c>
      <c r="CP488" t="s">
        <v>7666</v>
      </c>
      <c r="CQ488" t="s">
        <v>7667</v>
      </c>
      <c r="CR488" t="str">
        <f>HYPERLINK("https://nconnect.nicmar.ac.in/public/storage/profile/699bfe29d1edc.png","Download")</f>
        <v>0</v>
      </c>
      <c r="CS488" t="str">
        <f>HYPERLINK("https://nconnect.nicmar.ac.in/pdf/538_resume_1772037578.pdf/Y2FyZWVy","View Resume")</f>
        <v>0</v>
      </c>
    </row>
    <row r="489" spans="1:97">
      <c r="A489" t="s">
        <v>190</v>
      </c>
      <c r="B489" t="s">
        <v>138</v>
      </c>
      <c r="C489" t="s">
        <v>139</v>
      </c>
      <c r="D489" t="s">
        <v>191</v>
      </c>
      <c r="E489" t="s">
        <v>7668</v>
      </c>
      <c r="F489" t="s">
        <v>7669</v>
      </c>
      <c r="G489">
        <v>8983321353</v>
      </c>
      <c r="H489" t="s">
        <v>103</v>
      </c>
      <c r="I489" t="s">
        <v>7670</v>
      </c>
      <c r="J489" t="s">
        <v>105</v>
      </c>
      <c r="K489" t="s">
        <v>7671</v>
      </c>
      <c r="L489" t="s">
        <v>7672</v>
      </c>
      <c r="M489" t="s">
        <v>7673</v>
      </c>
      <c r="N489" t="s">
        <v>109</v>
      </c>
      <c r="AI489" t="s">
        <v>7674</v>
      </c>
      <c r="AJ489" t="s">
        <v>7675</v>
      </c>
      <c r="AK489" t="s">
        <v>4217</v>
      </c>
      <c r="AL489">
        <v>73.06</v>
      </c>
      <c r="AN489">
        <v>2006</v>
      </c>
      <c r="AO489" t="s">
        <v>113</v>
      </c>
      <c r="AP489" t="s">
        <v>7676</v>
      </c>
      <c r="AQ489" t="s">
        <v>7675</v>
      </c>
      <c r="AR489" t="s">
        <v>7677</v>
      </c>
      <c r="AS489">
        <v>61.5</v>
      </c>
      <c r="AU489">
        <v>2008</v>
      </c>
      <c r="AV489" t="s">
        <v>109</v>
      </c>
      <c r="BC489" t="s">
        <v>113</v>
      </c>
      <c r="BD489" t="s">
        <v>7678</v>
      </c>
      <c r="BE489" t="s">
        <v>7679</v>
      </c>
      <c r="BF489" t="s">
        <v>2198</v>
      </c>
      <c r="BG489">
        <v>70.44</v>
      </c>
      <c r="BI489">
        <v>2011</v>
      </c>
      <c r="BJ489">
        <v>19</v>
      </c>
      <c r="BK489" t="s">
        <v>7680</v>
      </c>
      <c r="BL489">
        <v>53</v>
      </c>
      <c r="BM489" t="s">
        <v>2198</v>
      </c>
      <c r="BN489" t="s">
        <v>113</v>
      </c>
      <c r="BO489" t="s">
        <v>3292</v>
      </c>
      <c r="BP489" t="s">
        <v>7681</v>
      </c>
      <c r="BQ489" t="s">
        <v>281</v>
      </c>
      <c r="BR489">
        <v>55.5</v>
      </c>
      <c r="BT489">
        <v>2014</v>
      </c>
      <c r="BU489">
        <v>31</v>
      </c>
      <c r="BV489" t="s">
        <v>281</v>
      </c>
      <c r="BW489">
        <v>53</v>
      </c>
      <c r="BX489" t="s">
        <v>281</v>
      </c>
      <c r="BY489" t="s">
        <v>109</v>
      </c>
      <c r="CF489" t="s">
        <v>113</v>
      </c>
      <c r="CG489" t="s">
        <v>2198</v>
      </c>
      <c r="CH489" t="s">
        <v>7682</v>
      </c>
      <c r="CI489" t="s">
        <v>240</v>
      </c>
      <c r="CK489" t="s">
        <v>109</v>
      </c>
      <c r="CL489" t="s">
        <v>113</v>
      </c>
      <c r="CM489" t="s">
        <v>7683</v>
      </c>
      <c r="CN489" t="s">
        <v>113</v>
      </c>
      <c r="CO489" t="s">
        <v>7684</v>
      </c>
      <c r="CP489" t="s">
        <v>7685</v>
      </c>
      <c r="CQ489" t="s">
        <v>7686</v>
      </c>
      <c r="CR489" t="str">
        <f>HYPERLINK("https://nconnect.nicmar.ac.in/public/storage/profile/699f00a9dcbc5.png","Download")</f>
        <v>0</v>
      </c>
      <c r="CS489" t="str">
        <f>HYPERLINK("https://nconnect.nicmar.ac.in/pdf/681_resume_1772029305.pdf/Y2FyZWVy","View Resume")</f>
        <v>0</v>
      </c>
    </row>
    <row r="490" spans="1:97">
      <c r="A490" t="s">
        <v>702</v>
      </c>
      <c r="B490" t="s">
        <v>138</v>
      </c>
      <c r="C490" t="s">
        <v>703</v>
      </c>
      <c r="D490" t="s">
        <v>704</v>
      </c>
      <c r="E490" t="s">
        <v>7687</v>
      </c>
      <c r="F490" t="s">
        <v>7688</v>
      </c>
      <c r="G490">
        <v>9742020603</v>
      </c>
      <c r="H490" t="s">
        <v>103</v>
      </c>
      <c r="I490" t="s">
        <v>7689</v>
      </c>
      <c r="J490" t="s">
        <v>144</v>
      </c>
      <c r="K490" t="s">
        <v>7690</v>
      </c>
      <c r="L490" t="s">
        <v>7691</v>
      </c>
      <c r="M490" t="s">
        <v>7692</v>
      </c>
      <c r="N490" t="s">
        <v>109</v>
      </c>
      <c r="AI490" t="s">
        <v>7693</v>
      </c>
      <c r="AJ490" t="s">
        <v>175</v>
      </c>
      <c r="AK490" t="s">
        <v>957</v>
      </c>
      <c r="AL490">
        <v>73</v>
      </c>
      <c r="AN490">
        <v>2006</v>
      </c>
      <c r="AO490" t="s">
        <v>113</v>
      </c>
      <c r="AP490" t="s">
        <v>7694</v>
      </c>
      <c r="AQ490" t="s">
        <v>175</v>
      </c>
      <c r="AR490" t="s">
        <v>581</v>
      </c>
      <c r="AS490">
        <v>49</v>
      </c>
      <c r="AU490">
        <v>2008</v>
      </c>
      <c r="AV490" t="s">
        <v>109</v>
      </c>
      <c r="BC490" t="s">
        <v>113</v>
      </c>
      <c r="BD490" t="s">
        <v>5515</v>
      </c>
      <c r="BE490" t="s">
        <v>7695</v>
      </c>
      <c r="BF490" t="s">
        <v>309</v>
      </c>
      <c r="BG490">
        <v>58</v>
      </c>
      <c r="BI490">
        <v>2012</v>
      </c>
      <c r="BJ490">
        <v>2</v>
      </c>
      <c r="BL490">
        <v>9</v>
      </c>
      <c r="BN490" t="s">
        <v>113</v>
      </c>
      <c r="BO490" t="s">
        <v>5515</v>
      </c>
      <c r="BP490" t="s">
        <v>7696</v>
      </c>
      <c r="BQ490" t="s">
        <v>2404</v>
      </c>
      <c r="BR490">
        <v>73</v>
      </c>
      <c r="BT490">
        <v>2014</v>
      </c>
      <c r="BU490">
        <v>16</v>
      </c>
      <c r="BW490">
        <v>50</v>
      </c>
      <c r="BY490" t="s">
        <v>109</v>
      </c>
      <c r="CF490" t="s">
        <v>113</v>
      </c>
      <c r="CG490" t="s">
        <v>7697</v>
      </c>
      <c r="CH490" t="s">
        <v>7698</v>
      </c>
      <c r="CI490" t="s">
        <v>132</v>
      </c>
      <c r="CJ490">
        <v>2022</v>
      </c>
      <c r="CL490" t="s">
        <v>113</v>
      </c>
      <c r="CM490" t="s">
        <v>7699</v>
      </c>
      <c r="CN490" t="s">
        <v>113</v>
      </c>
      <c r="CO490" t="s">
        <v>7700</v>
      </c>
      <c r="CP490" t="s">
        <v>7701</v>
      </c>
      <c r="CQ490" t="s">
        <v>7702</v>
      </c>
      <c r="CR490" t="s">
        <v>136</v>
      </c>
      <c r="CS490" t="str">
        <f>HYPERLINK("https://nconnect.nicmar.ac.in/pdf/680_resume_1772029633.pdf/Y2FyZWVy","View Resume")</f>
        <v>0</v>
      </c>
    </row>
    <row r="491" spans="1:97">
      <c r="A491" t="s">
        <v>3528</v>
      </c>
      <c r="B491" t="s">
        <v>318</v>
      </c>
      <c r="C491" t="s">
        <v>99</v>
      </c>
      <c r="D491" t="s">
        <v>3529</v>
      </c>
      <c r="E491" t="s">
        <v>7703</v>
      </c>
      <c r="F491" t="s">
        <v>7704</v>
      </c>
      <c r="G491">
        <v>7666885993</v>
      </c>
      <c r="H491" t="s">
        <v>169</v>
      </c>
      <c r="I491" t="s">
        <v>7705</v>
      </c>
      <c r="J491" t="s">
        <v>144</v>
      </c>
      <c r="K491" t="s">
        <v>7706</v>
      </c>
      <c r="L491" t="s">
        <v>7707</v>
      </c>
      <c r="M491" t="s">
        <v>7708</v>
      </c>
      <c r="N491" t="s">
        <v>109</v>
      </c>
      <c r="AI491" t="s">
        <v>7709</v>
      </c>
      <c r="AJ491" t="s">
        <v>2579</v>
      </c>
      <c r="AK491" t="s">
        <v>7710</v>
      </c>
      <c r="AL491">
        <v>63.4</v>
      </c>
      <c r="AN491">
        <v>2012</v>
      </c>
      <c r="AO491" t="s">
        <v>113</v>
      </c>
      <c r="AP491" t="s">
        <v>7711</v>
      </c>
      <c r="AQ491" t="s">
        <v>7712</v>
      </c>
      <c r="AR491" t="s">
        <v>7713</v>
      </c>
      <c r="AS491">
        <v>58</v>
      </c>
      <c r="AU491">
        <v>2014</v>
      </c>
      <c r="AV491" t="s">
        <v>109</v>
      </c>
      <c r="BC491" t="s">
        <v>113</v>
      </c>
      <c r="BD491" t="s">
        <v>7714</v>
      </c>
      <c r="BE491" t="s">
        <v>7715</v>
      </c>
      <c r="BF491" t="s">
        <v>7716</v>
      </c>
      <c r="BG491">
        <v>75</v>
      </c>
      <c r="BH491">
        <v>7.7</v>
      </c>
      <c r="BI491">
        <v>2022</v>
      </c>
      <c r="BJ491">
        <v>8</v>
      </c>
      <c r="BL491">
        <v>3</v>
      </c>
      <c r="BN491" t="s">
        <v>113</v>
      </c>
      <c r="BO491" t="s">
        <v>7717</v>
      </c>
      <c r="BP491" t="s">
        <v>7718</v>
      </c>
      <c r="BQ491" t="s">
        <v>7719</v>
      </c>
      <c r="BR491">
        <v>6.7</v>
      </c>
      <c r="BT491">
        <v>2026</v>
      </c>
      <c r="BU491">
        <v>24</v>
      </c>
      <c r="BW491">
        <v>3</v>
      </c>
      <c r="BY491" t="s">
        <v>109</v>
      </c>
      <c r="CF491" t="s">
        <v>109</v>
      </c>
      <c r="CJ491">
        <v>2026</v>
      </c>
      <c r="CL491" t="s">
        <v>109</v>
      </c>
      <c r="CN491" t="s">
        <v>109</v>
      </c>
      <c r="CP491" t="s">
        <v>7720</v>
      </c>
      <c r="CQ491" t="s">
        <v>7721</v>
      </c>
      <c r="CR491" t="s">
        <v>136</v>
      </c>
      <c r="CS491" t="str">
        <f>HYPERLINK("https://nconnect.nicmar.ac.in/pdf/683_resume_1772033856.pdf/Y2FyZWVy","View Resume")</f>
        <v>0</v>
      </c>
    </row>
    <row r="492" spans="1:97">
      <c r="A492" t="s">
        <v>1116</v>
      </c>
      <c r="B492" t="s">
        <v>98</v>
      </c>
      <c r="C492" t="s">
        <v>99</v>
      </c>
      <c r="D492" t="s">
        <v>1117</v>
      </c>
      <c r="E492" t="s">
        <v>7703</v>
      </c>
      <c r="F492" t="s">
        <v>7704</v>
      </c>
      <c r="G492">
        <v>7666885993</v>
      </c>
      <c r="H492" t="s">
        <v>169</v>
      </c>
      <c r="I492" t="s">
        <v>7705</v>
      </c>
      <c r="J492" t="s">
        <v>144</v>
      </c>
      <c r="K492" t="s">
        <v>7706</v>
      </c>
      <c r="L492" t="s">
        <v>7707</v>
      </c>
      <c r="M492" t="s">
        <v>7708</v>
      </c>
      <c r="N492" t="s">
        <v>109</v>
      </c>
      <c r="AI492" t="s">
        <v>7709</v>
      </c>
      <c r="AJ492" t="s">
        <v>2579</v>
      </c>
      <c r="AK492" t="s">
        <v>7710</v>
      </c>
      <c r="AL492">
        <v>63.4</v>
      </c>
      <c r="AN492">
        <v>2012</v>
      </c>
      <c r="AO492" t="s">
        <v>113</v>
      </c>
      <c r="AP492" t="s">
        <v>7711</v>
      </c>
      <c r="AQ492" t="s">
        <v>7712</v>
      </c>
      <c r="AR492" t="s">
        <v>7713</v>
      </c>
      <c r="AS492">
        <v>58</v>
      </c>
      <c r="AU492">
        <v>2014</v>
      </c>
      <c r="AV492" t="s">
        <v>109</v>
      </c>
      <c r="BC492" t="s">
        <v>113</v>
      </c>
      <c r="BD492" t="s">
        <v>7714</v>
      </c>
      <c r="BE492" t="s">
        <v>7715</v>
      </c>
      <c r="BF492" t="s">
        <v>7716</v>
      </c>
      <c r="BG492">
        <v>75</v>
      </c>
      <c r="BH492">
        <v>7.7</v>
      </c>
      <c r="BI492">
        <v>2022</v>
      </c>
      <c r="BJ492">
        <v>8</v>
      </c>
      <c r="BL492">
        <v>3</v>
      </c>
      <c r="BN492" t="s">
        <v>113</v>
      </c>
      <c r="BO492" t="s">
        <v>7717</v>
      </c>
      <c r="BP492" t="s">
        <v>7718</v>
      </c>
      <c r="BQ492" t="s">
        <v>7719</v>
      </c>
      <c r="BR492">
        <v>6.7</v>
      </c>
      <c r="BT492">
        <v>2026</v>
      </c>
      <c r="BU492">
        <v>24</v>
      </c>
      <c r="BW492">
        <v>3</v>
      </c>
      <c r="BY492" t="s">
        <v>109</v>
      </c>
      <c r="CF492" t="s">
        <v>109</v>
      </c>
      <c r="CJ492">
        <v>2026</v>
      </c>
      <c r="CL492" t="s">
        <v>109</v>
      </c>
      <c r="CN492" t="s">
        <v>109</v>
      </c>
      <c r="CP492" t="s">
        <v>7720</v>
      </c>
      <c r="CQ492" t="s">
        <v>7722</v>
      </c>
      <c r="CR492" t="s">
        <v>136</v>
      </c>
      <c r="CS492" t="str">
        <f>HYPERLINK("https://nconnect.nicmar.ac.in/pdf/683_resume_1772033856.pdf/Y2FyZWVy","View Resume")</f>
        <v>0</v>
      </c>
    </row>
    <row r="493" spans="1:97">
      <c r="A493" t="s">
        <v>97</v>
      </c>
      <c r="B493" t="s">
        <v>98</v>
      </c>
      <c r="C493" t="s">
        <v>99</v>
      </c>
      <c r="D493" t="s">
        <v>100</v>
      </c>
      <c r="E493" t="s">
        <v>7703</v>
      </c>
      <c r="F493" t="s">
        <v>7704</v>
      </c>
      <c r="G493">
        <v>7666885993</v>
      </c>
      <c r="H493" t="s">
        <v>169</v>
      </c>
      <c r="I493" t="s">
        <v>7705</v>
      </c>
      <c r="J493" t="s">
        <v>144</v>
      </c>
      <c r="K493" t="s">
        <v>7706</v>
      </c>
      <c r="L493" t="s">
        <v>7707</v>
      </c>
      <c r="M493" t="s">
        <v>7708</v>
      </c>
      <c r="N493" t="s">
        <v>109</v>
      </c>
      <c r="AI493" t="s">
        <v>7709</v>
      </c>
      <c r="AJ493" t="s">
        <v>2579</v>
      </c>
      <c r="AK493" t="s">
        <v>7710</v>
      </c>
      <c r="AL493">
        <v>63.4</v>
      </c>
      <c r="AN493">
        <v>2012</v>
      </c>
      <c r="AO493" t="s">
        <v>113</v>
      </c>
      <c r="AP493" t="s">
        <v>7711</v>
      </c>
      <c r="AQ493" t="s">
        <v>7712</v>
      </c>
      <c r="AR493" t="s">
        <v>7713</v>
      </c>
      <c r="AS493">
        <v>58</v>
      </c>
      <c r="AU493">
        <v>2014</v>
      </c>
      <c r="AV493" t="s">
        <v>109</v>
      </c>
      <c r="BC493" t="s">
        <v>113</v>
      </c>
      <c r="BD493" t="s">
        <v>7714</v>
      </c>
      <c r="BE493" t="s">
        <v>7715</v>
      </c>
      <c r="BF493" t="s">
        <v>7716</v>
      </c>
      <c r="BG493">
        <v>75</v>
      </c>
      <c r="BH493">
        <v>7.7</v>
      </c>
      <c r="BI493">
        <v>2022</v>
      </c>
      <c r="BJ493">
        <v>8</v>
      </c>
      <c r="BL493">
        <v>3</v>
      </c>
      <c r="BN493" t="s">
        <v>113</v>
      </c>
      <c r="BO493" t="s">
        <v>7717</v>
      </c>
      <c r="BP493" t="s">
        <v>7718</v>
      </c>
      <c r="BQ493" t="s">
        <v>7719</v>
      </c>
      <c r="BR493">
        <v>6.7</v>
      </c>
      <c r="BT493">
        <v>2026</v>
      </c>
      <c r="BU493">
        <v>24</v>
      </c>
      <c r="BW493">
        <v>3</v>
      </c>
      <c r="BY493" t="s">
        <v>109</v>
      </c>
      <c r="CF493" t="s">
        <v>109</v>
      </c>
      <c r="CJ493">
        <v>2026</v>
      </c>
      <c r="CL493" t="s">
        <v>109</v>
      </c>
      <c r="CN493" t="s">
        <v>109</v>
      </c>
      <c r="CP493" t="s">
        <v>7720</v>
      </c>
      <c r="CQ493" t="s">
        <v>7722</v>
      </c>
      <c r="CR493" t="s">
        <v>136</v>
      </c>
      <c r="CS493" t="str">
        <f>HYPERLINK("https://nconnect.nicmar.ac.in/pdf/683_resume_1772033856.pdf/Y2FyZWVy","View Resume")</f>
        <v>0</v>
      </c>
    </row>
    <row r="494" spans="1:97">
      <c r="A494" t="s">
        <v>501</v>
      </c>
      <c r="B494" t="s">
        <v>138</v>
      </c>
      <c r="C494" t="s">
        <v>165</v>
      </c>
      <c r="D494" t="s">
        <v>319</v>
      </c>
      <c r="E494" t="s">
        <v>7723</v>
      </c>
      <c r="F494" t="s">
        <v>7724</v>
      </c>
      <c r="G494">
        <v>8941015965</v>
      </c>
      <c r="H494" t="s">
        <v>169</v>
      </c>
      <c r="I494" t="s">
        <v>7725</v>
      </c>
      <c r="J494" t="s">
        <v>144</v>
      </c>
      <c r="K494" t="s">
        <v>7726</v>
      </c>
      <c r="L494" t="s">
        <v>7727</v>
      </c>
      <c r="M494" t="s">
        <v>7728</v>
      </c>
      <c r="N494" t="s">
        <v>109</v>
      </c>
      <c r="AI494" t="s">
        <v>7729</v>
      </c>
      <c r="AJ494" t="s">
        <v>7730</v>
      </c>
      <c r="AK494" t="s">
        <v>7731</v>
      </c>
      <c r="AL494">
        <v>49.5</v>
      </c>
      <c r="AN494">
        <v>2008</v>
      </c>
      <c r="AO494" t="s">
        <v>113</v>
      </c>
      <c r="AP494" t="s">
        <v>7729</v>
      </c>
      <c r="AQ494" t="s">
        <v>7730</v>
      </c>
      <c r="AR494" t="s">
        <v>7732</v>
      </c>
      <c r="AS494">
        <v>70</v>
      </c>
      <c r="AU494">
        <v>2010</v>
      </c>
      <c r="AV494" t="s">
        <v>109</v>
      </c>
      <c r="BC494" t="s">
        <v>113</v>
      </c>
      <c r="BD494" t="s">
        <v>7733</v>
      </c>
      <c r="BE494" t="s">
        <v>7734</v>
      </c>
      <c r="BF494" t="s">
        <v>839</v>
      </c>
      <c r="BG494">
        <v>70</v>
      </c>
      <c r="BI494">
        <v>2013</v>
      </c>
      <c r="BJ494">
        <v>19</v>
      </c>
      <c r="BK494" t="s">
        <v>4134</v>
      </c>
      <c r="BL494">
        <v>53</v>
      </c>
      <c r="BM494" t="s">
        <v>839</v>
      </c>
      <c r="BN494" t="s">
        <v>113</v>
      </c>
      <c r="BO494" t="s">
        <v>6372</v>
      </c>
      <c r="BP494" t="s">
        <v>7734</v>
      </c>
      <c r="BQ494" t="s">
        <v>839</v>
      </c>
      <c r="BR494">
        <v>81.5</v>
      </c>
      <c r="BT494">
        <v>2015</v>
      </c>
      <c r="BU494">
        <v>31</v>
      </c>
      <c r="BV494" t="s">
        <v>4135</v>
      </c>
      <c r="BW494">
        <v>53</v>
      </c>
      <c r="BX494" t="s">
        <v>839</v>
      </c>
      <c r="BY494" t="s">
        <v>109</v>
      </c>
      <c r="CF494" t="s">
        <v>113</v>
      </c>
      <c r="CG494" t="s">
        <v>338</v>
      </c>
      <c r="CH494" t="s">
        <v>815</v>
      </c>
      <c r="CI494" t="s">
        <v>132</v>
      </c>
      <c r="CJ494">
        <v>2024</v>
      </c>
      <c r="CL494" t="s">
        <v>109</v>
      </c>
      <c r="CN494" t="s">
        <v>113</v>
      </c>
      <c r="CO494" t="s">
        <v>7735</v>
      </c>
      <c r="CP494" t="s">
        <v>460</v>
      </c>
      <c r="CQ494" t="s">
        <v>7736</v>
      </c>
      <c r="CR494" t="s">
        <v>136</v>
      </c>
      <c r="CS494" t="str">
        <f>HYPERLINK("https://nconnect.nicmar.ac.in/pdf/685_resume_1772037685.pdf/Y2FyZWVy","View Resume")</f>
        <v>0</v>
      </c>
    </row>
    <row r="495" spans="1:97">
      <c r="A495" t="s">
        <v>501</v>
      </c>
      <c r="B495" t="s">
        <v>138</v>
      </c>
      <c r="C495" t="s">
        <v>165</v>
      </c>
      <c r="D495" t="s">
        <v>319</v>
      </c>
      <c r="E495" t="s">
        <v>7737</v>
      </c>
      <c r="F495" t="s">
        <v>7738</v>
      </c>
      <c r="G495">
        <v>9662622246</v>
      </c>
      <c r="H495" t="s">
        <v>103</v>
      </c>
      <c r="I495" t="s">
        <v>7739</v>
      </c>
      <c r="J495" t="s">
        <v>105</v>
      </c>
      <c r="K495" t="s">
        <v>7740</v>
      </c>
      <c r="L495" t="s">
        <v>7741</v>
      </c>
      <c r="M495" t="s">
        <v>7742</v>
      </c>
      <c r="N495" t="s">
        <v>109</v>
      </c>
      <c r="AI495" t="s">
        <v>7743</v>
      </c>
      <c r="AJ495" t="s">
        <v>7744</v>
      </c>
      <c r="AK495" t="s">
        <v>4731</v>
      </c>
      <c r="AL495">
        <v>75.64</v>
      </c>
      <c r="AN495">
        <v>1997</v>
      </c>
      <c r="AO495" t="s">
        <v>113</v>
      </c>
      <c r="AP495" t="s">
        <v>7743</v>
      </c>
      <c r="AQ495" t="s">
        <v>7744</v>
      </c>
      <c r="AR495" t="s">
        <v>7745</v>
      </c>
      <c r="AS495">
        <v>72.77</v>
      </c>
      <c r="AU495">
        <v>1999</v>
      </c>
      <c r="AV495" t="s">
        <v>109</v>
      </c>
      <c r="BC495" t="s">
        <v>113</v>
      </c>
      <c r="BD495" t="s">
        <v>7746</v>
      </c>
      <c r="BE495" t="s">
        <v>7747</v>
      </c>
      <c r="BF495" t="s">
        <v>7748</v>
      </c>
      <c r="BG495">
        <v>65.55</v>
      </c>
      <c r="BI495">
        <v>2002</v>
      </c>
      <c r="BJ495">
        <v>19</v>
      </c>
      <c r="BK495" t="s">
        <v>428</v>
      </c>
      <c r="BL495">
        <v>27</v>
      </c>
      <c r="BN495" t="s">
        <v>113</v>
      </c>
      <c r="BO495" t="s">
        <v>7746</v>
      </c>
      <c r="BP495" t="s">
        <v>7747</v>
      </c>
      <c r="BQ495" t="s">
        <v>7748</v>
      </c>
      <c r="BR495">
        <v>76</v>
      </c>
      <c r="BT495">
        <v>2005</v>
      </c>
      <c r="BU495">
        <v>31</v>
      </c>
      <c r="BV495" t="s">
        <v>518</v>
      </c>
      <c r="BW495">
        <v>23</v>
      </c>
      <c r="BY495" t="s">
        <v>113</v>
      </c>
      <c r="BZ495" t="s">
        <v>124</v>
      </c>
      <c r="CA495" t="s">
        <v>391</v>
      </c>
      <c r="CB495" t="s">
        <v>1014</v>
      </c>
      <c r="CC495">
        <v>64</v>
      </c>
      <c r="CE495">
        <v>2013</v>
      </c>
      <c r="CF495" t="s">
        <v>113</v>
      </c>
      <c r="CG495" t="s">
        <v>1775</v>
      </c>
      <c r="CH495" t="s">
        <v>7749</v>
      </c>
      <c r="CI495" t="s">
        <v>132</v>
      </c>
      <c r="CJ495">
        <v>2010</v>
      </c>
      <c r="CL495" t="s">
        <v>113</v>
      </c>
      <c r="CN495" t="s">
        <v>113</v>
      </c>
      <c r="CO495" t="s">
        <v>7750</v>
      </c>
      <c r="CP495" t="s">
        <v>7751</v>
      </c>
      <c r="CQ495" t="s">
        <v>7752</v>
      </c>
      <c r="CR495" t="s">
        <v>136</v>
      </c>
      <c r="CS495" t="str">
        <f>HYPERLINK("https://nconnect.nicmar.ac.in/pdf/623_resume_1772039506.pdf/Y2FyZWVy","View Resume")</f>
        <v>0</v>
      </c>
    </row>
    <row r="496" spans="1:97">
      <c r="A496" t="s">
        <v>317</v>
      </c>
      <c r="B496" t="s">
        <v>318</v>
      </c>
      <c r="C496" t="s">
        <v>165</v>
      </c>
      <c r="D496" t="s">
        <v>319</v>
      </c>
      <c r="E496" t="s">
        <v>7737</v>
      </c>
      <c r="F496" t="s">
        <v>7738</v>
      </c>
      <c r="G496">
        <v>9662622246</v>
      </c>
      <c r="H496" t="s">
        <v>103</v>
      </c>
      <c r="I496" t="s">
        <v>7739</v>
      </c>
      <c r="J496" t="s">
        <v>105</v>
      </c>
      <c r="K496" t="s">
        <v>7740</v>
      </c>
      <c r="L496" t="s">
        <v>7741</v>
      </c>
      <c r="M496" t="s">
        <v>7742</v>
      </c>
      <c r="N496" t="s">
        <v>109</v>
      </c>
      <c r="AI496" t="s">
        <v>7743</v>
      </c>
      <c r="AJ496" t="s">
        <v>7744</v>
      </c>
      <c r="AK496" t="s">
        <v>4731</v>
      </c>
      <c r="AL496">
        <v>75.64</v>
      </c>
      <c r="AN496">
        <v>1997</v>
      </c>
      <c r="AO496" t="s">
        <v>113</v>
      </c>
      <c r="AP496" t="s">
        <v>7743</v>
      </c>
      <c r="AQ496" t="s">
        <v>7744</v>
      </c>
      <c r="AR496" t="s">
        <v>7745</v>
      </c>
      <c r="AS496">
        <v>72.77</v>
      </c>
      <c r="AU496">
        <v>1999</v>
      </c>
      <c r="AV496" t="s">
        <v>109</v>
      </c>
      <c r="BC496" t="s">
        <v>113</v>
      </c>
      <c r="BD496" t="s">
        <v>7746</v>
      </c>
      <c r="BE496" t="s">
        <v>7747</v>
      </c>
      <c r="BF496" t="s">
        <v>7748</v>
      </c>
      <c r="BG496">
        <v>65.55</v>
      </c>
      <c r="BI496">
        <v>2002</v>
      </c>
      <c r="BJ496">
        <v>19</v>
      </c>
      <c r="BK496" t="s">
        <v>428</v>
      </c>
      <c r="BL496">
        <v>27</v>
      </c>
      <c r="BN496" t="s">
        <v>113</v>
      </c>
      <c r="BO496" t="s">
        <v>7746</v>
      </c>
      <c r="BP496" t="s">
        <v>7747</v>
      </c>
      <c r="BQ496" t="s">
        <v>7748</v>
      </c>
      <c r="BR496">
        <v>76</v>
      </c>
      <c r="BT496">
        <v>2005</v>
      </c>
      <c r="BU496">
        <v>31</v>
      </c>
      <c r="BV496" t="s">
        <v>518</v>
      </c>
      <c r="BW496">
        <v>23</v>
      </c>
      <c r="BY496" t="s">
        <v>113</v>
      </c>
      <c r="BZ496" t="s">
        <v>124</v>
      </c>
      <c r="CA496" t="s">
        <v>391</v>
      </c>
      <c r="CB496" t="s">
        <v>1014</v>
      </c>
      <c r="CC496">
        <v>64</v>
      </c>
      <c r="CE496">
        <v>2013</v>
      </c>
      <c r="CF496" t="s">
        <v>113</v>
      </c>
      <c r="CG496" t="s">
        <v>1775</v>
      </c>
      <c r="CH496" t="s">
        <v>7749</v>
      </c>
      <c r="CI496" t="s">
        <v>132</v>
      </c>
      <c r="CJ496">
        <v>2010</v>
      </c>
      <c r="CL496" t="s">
        <v>113</v>
      </c>
      <c r="CN496" t="s">
        <v>113</v>
      </c>
      <c r="CO496" t="s">
        <v>7750</v>
      </c>
      <c r="CP496" t="s">
        <v>7751</v>
      </c>
      <c r="CQ496" t="s">
        <v>7753</v>
      </c>
      <c r="CR496" t="s">
        <v>136</v>
      </c>
      <c r="CS496" t="str">
        <f>HYPERLINK("https://nconnect.nicmar.ac.in/pdf/623_resume_1772039506.pdf/Y2FyZWVy","View Resume")</f>
        <v>0</v>
      </c>
    </row>
    <row r="497" spans="1:97">
      <c r="A497" t="s">
        <v>772</v>
      </c>
      <c r="B497" t="s">
        <v>98</v>
      </c>
      <c r="C497" t="s">
        <v>703</v>
      </c>
      <c r="D497" t="s">
        <v>773</v>
      </c>
      <c r="E497" t="s">
        <v>7754</v>
      </c>
      <c r="F497" t="s">
        <v>7755</v>
      </c>
      <c r="G497">
        <v>9029916916</v>
      </c>
      <c r="H497" t="s">
        <v>103</v>
      </c>
      <c r="I497" t="s">
        <v>7756</v>
      </c>
      <c r="J497" t="s">
        <v>105</v>
      </c>
      <c r="K497" t="s">
        <v>7757</v>
      </c>
      <c r="L497" t="s">
        <v>7758</v>
      </c>
      <c r="M497" t="s">
        <v>7759</v>
      </c>
      <c r="N497" t="s">
        <v>109</v>
      </c>
      <c r="AI497" t="s">
        <v>7760</v>
      </c>
      <c r="AJ497" t="s">
        <v>7761</v>
      </c>
      <c r="AK497" t="s">
        <v>2579</v>
      </c>
      <c r="AL497">
        <v>78</v>
      </c>
      <c r="AN497">
        <v>2000</v>
      </c>
      <c r="AO497" t="s">
        <v>113</v>
      </c>
      <c r="AP497" t="s">
        <v>7762</v>
      </c>
      <c r="AQ497" t="s">
        <v>7763</v>
      </c>
      <c r="AR497" t="s">
        <v>277</v>
      </c>
      <c r="AS497">
        <v>41.54</v>
      </c>
      <c r="AU497">
        <v>2002</v>
      </c>
      <c r="AV497" t="s">
        <v>109</v>
      </c>
      <c r="BC497" t="s">
        <v>113</v>
      </c>
      <c r="BD497" t="s">
        <v>7764</v>
      </c>
      <c r="BE497" t="s">
        <v>7765</v>
      </c>
      <c r="BF497" t="s">
        <v>281</v>
      </c>
      <c r="BG497">
        <v>65</v>
      </c>
      <c r="BI497">
        <v>2005</v>
      </c>
      <c r="BJ497">
        <v>19</v>
      </c>
      <c r="BK497" t="s">
        <v>335</v>
      </c>
      <c r="BL497">
        <v>53</v>
      </c>
      <c r="BM497" t="s">
        <v>281</v>
      </c>
      <c r="BN497" t="s">
        <v>113</v>
      </c>
      <c r="BO497" t="s">
        <v>7766</v>
      </c>
      <c r="BP497" t="s">
        <v>7767</v>
      </c>
      <c r="BQ497" t="s">
        <v>7768</v>
      </c>
      <c r="BR497">
        <v>61</v>
      </c>
      <c r="BT497">
        <v>2008</v>
      </c>
      <c r="BU497">
        <v>31</v>
      </c>
      <c r="BV497" t="s">
        <v>339</v>
      </c>
      <c r="BW497">
        <v>33</v>
      </c>
      <c r="BY497" t="s">
        <v>109</v>
      </c>
      <c r="CF497" t="s">
        <v>109</v>
      </c>
      <c r="CJ497">
        <v>2008</v>
      </c>
      <c r="CL497" t="s">
        <v>113</v>
      </c>
      <c r="CM497" t="s">
        <v>7769</v>
      </c>
      <c r="CN497" t="s">
        <v>113</v>
      </c>
      <c r="CO497" t="s">
        <v>7770</v>
      </c>
      <c r="CP497" t="s">
        <v>7771</v>
      </c>
      <c r="CQ497" t="s">
        <v>7772</v>
      </c>
      <c r="CR497" t="str">
        <f>HYPERLINK("https://nconnect.nicmar.ac.in/public/storage/profile/699f26cf8cf4c.png","Download")</f>
        <v>0</v>
      </c>
      <c r="CS497" t="str">
        <f>HYPERLINK("https://nconnect.nicmar.ac.in/pdf/686_resume_1772041368.pdf/Y2FyZWVy","View Resume")</f>
        <v>0</v>
      </c>
    </row>
    <row r="498" spans="1:97">
      <c r="A498" t="s">
        <v>192</v>
      </c>
      <c r="B498" t="s">
        <v>138</v>
      </c>
      <c r="C498" t="s">
        <v>165</v>
      </c>
      <c r="D498" t="s">
        <v>193</v>
      </c>
      <c r="E498" t="s">
        <v>7773</v>
      </c>
      <c r="F498" t="s">
        <v>7774</v>
      </c>
      <c r="G498">
        <v>9820808431</v>
      </c>
      <c r="H498" t="s">
        <v>169</v>
      </c>
      <c r="I498" t="s">
        <v>7775</v>
      </c>
      <c r="J498" t="s">
        <v>105</v>
      </c>
      <c r="K498" t="s">
        <v>7776</v>
      </c>
      <c r="L498" t="s">
        <v>7777</v>
      </c>
      <c r="M498" t="s">
        <v>7778</v>
      </c>
      <c r="N498" t="s">
        <v>109</v>
      </c>
      <c r="AI498" t="s">
        <v>7779</v>
      </c>
      <c r="AJ498" t="s">
        <v>7780</v>
      </c>
      <c r="AK498" t="s">
        <v>7781</v>
      </c>
      <c r="AL498">
        <v>86</v>
      </c>
      <c r="AN498">
        <v>1995</v>
      </c>
      <c r="AO498" t="s">
        <v>113</v>
      </c>
      <c r="AP498" t="s">
        <v>7782</v>
      </c>
      <c r="AQ498" t="s">
        <v>7783</v>
      </c>
      <c r="AR498" t="s">
        <v>7784</v>
      </c>
      <c r="AS498">
        <v>70</v>
      </c>
      <c r="AU498">
        <v>1997</v>
      </c>
      <c r="AV498" t="s">
        <v>109</v>
      </c>
      <c r="BC498" t="s">
        <v>113</v>
      </c>
      <c r="BD498" t="s">
        <v>914</v>
      </c>
      <c r="BE498" t="s">
        <v>7782</v>
      </c>
      <c r="BF498" t="s">
        <v>7785</v>
      </c>
      <c r="BG498">
        <v>50</v>
      </c>
      <c r="BI498">
        <v>2000</v>
      </c>
      <c r="BJ498">
        <v>19</v>
      </c>
      <c r="BK498" t="s">
        <v>7786</v>
      </c>
      <c r="BL498">
        <v>10</v>
      </c>
      <c r="BN498" t="s">
        <v>113</v>
      </c>
      <c r="BO498" t="s">
        <v>914</v>
      </c>
      <c r="BP498" t="s">
        <v>7787</v>
      </c>
      <c r="BQ498" t="s">
        <v>7788</v>
      </c>
      <c r="BR498">
        <v>66</v>
      </c>
      <c r="BT498">
        <v>2006</v>
      </c>
      <c r="BU498">
        <v>31</v>
      </c>
      <c r="BV498" t="s">
        <v>3757</v>
      </c>
      <c r="BW498">
        <v>33</v>
      </c>
      <c r="BY498" t="s">
        <v>113</v>
      </c>
      <c r="BZ498" t="s">
        <v>3863</v>
      </c>
      <c r="CA498" t="s">
        <v>7789</v>
      </c>
      <c r="CB498" t="s">
        <v>6710</v>
      </c>
      <c r="CC498">
        <v>50</v>
      </c>
      <c r="CE498">
        <v>2003</v>
      </c>
      <c r="CF498" t="s">
        <v>113</v>
      </c>
      <c r="CG498" t="s">
        <v>7790</v>
      </c>
      <c r="CH498" t="s">
        <v>7791</v>
      </c>
      <c r="CI498" t="s">
        <v>132</v>
      </c>
      <c r="CJ498">
        <v>2024</v>
      </c>
      <c r="CL498" t="s">
        <v>113</v>
      </c>
      <c r="CM498" t="s">
        <v>7792</v>
      </c>
      <c r="CN498" t="s">
        <v>113</v>
      </c>
      <c r="CO498" t="s">
        <v>7793</v>
      </c>
      <c r="CP498" t="s">
        <v>460</v>
      </c>
      <c r="CQ498" t="s">
        <v>7794</v>
      </c>
      <c r="CR498" t="str">
        <f>HYPERLINK("https://nconnect.nicmar.ac.in/public/storage/profile/699f2437a4e95.png","Download")</f>
        <v>0</v>
      </c>
      <c r="CS498" t="str">
        <f>HYPERLINK("https://nconnect.nicmar.ac.in/pdf/687_resume_1772042877.pdf/Y2FyZWVy","View Resume")</f>
        <v>0</v>
      </c>
    </row>
    <row r="499" spans="1:97">
      <c r="A499" t="s">
        <v>372</v>
      </c>
      <c r="B499" t="s">
        <v>98</v>
      </c>
      <c r="C499" t="s">
        <v>165</v>
      </c>
      <c r="D499" t="s">
        <v>224</v>
      </c>
      <c r="E499" t="s">
        <v>7795</v>
      </c>
      <c r="F499" t="s">
        <v>7796</v>
      </c>
      <c r="G499">
        <v>9829069754</v>
      </c>
      <c r="H499" t="s">
        <v>103</v>
      </c>
      <c r="I499" t="s">
        <v>7797</v>
      </c>
      <c r="J499" t="s">
        <v>105</v>
      </c>
      <c r="K499" t="s">
        <v>228</v>
      </c>
      <c r="L499" t="s">
        <v>7798</v>
      </c>
      <c r="M499" t="s">
        <v>7799</v>
      </c>
      <c r="N499" t="s">
        <v>109</v>
      </c>
      <c r="AI499" t="s">
        <v>7800</v>
      </c>
      <c r="AJ499" t="s">
        <v>3650</v>
      </c>
      <c r="AK499" t="s">
        <v>7801</v>
      </c>
      <c r="AL499">
        <v>60.6</v>
      </c>
      <c r="AN499">
        <v>1979</v>
      </c>
      <c r="AO499" t="s">
        <v>113</v>
      </c>
      <c r="AP499" t="s">
        <v>7802</v>
      </c>
      <c r="AQ499" t="s">
        <v>3650</v>
      </c>
      <c r="AR499" t="s">
        <v>7803</v>
      </c>
      <c r="AS499">
        <v>49.4</v>
      </c>
      <c r="AU499">
        <v>1981</v>
      </c>
      <c r="AV499" t="s">
        <v>113</v>
      </c>
      <c r="AW499" t="s">
        <v>7804</v>
      </c>
      <c r="AX499" t="s">
        <v>7805</v>
      </c>
      <c r="AY499" t="s">
        <v>7806</v>
      </c>
      <c r="AZ499">
        <v>62.6</v>
      </c>
      <c r="BB499">
        <v>1995</v>
      </c>
      <c r="BC499" t="s">
        <v>113</v>
      </c>
      <c r="BD499" t="s">
        <v>7807</v>
      </c>
      <c r="BE499" t="s">
        <v>7808</v>
      </c>
      <c r="BF499" t="s">
        <v>7809</v>
      </c>
      <c r="BG499">
        <v>48.3</v>
      </c>
      <c r="BI499">
        <v>1986</v>
      </c>
      <c r="BJ499">
        <v>19</v>
      </c>
      <c r="BK499" t="s">
        <v>624</v>
      </c>
      <c r="BL499">
        <v>53</v>
      </c>
      <c r="BM499" t="s">
        <v>7810</v>
      </c>
      <c r="BN499" t="s">
        <v>113</v>
      </c>
      <c r="BO499" t="s">
        <v>7811</v>
      </c>
      <c r="BP499" t="s">
        <v>7812</v>
      </c>
      <c r="BQ499" t="s">
        <v>7813</v>
      </c>
      <c r="BR499">
        <v>63.6</v>
      </c>
      <c r="BT499">
        <v>1999</v>
      </c>
      <c r="BU499">
        <v>31</v>
      </c>
      <c r="BV499" t="s">
        <v>7814</v>
      </c>
      <c r="BW499">
        <v>53</v>
      </c>
      <c r="BX499" t="s">
        <v>7815</v>
      </c>
      <c r="BY499" t="s">
        <v>113</v>
      </c>
      <c r="BZ499" t="s">
        <v>7816</v>
      </c>
      <c r="CA499" t="s">
        <v>7808</v>
      </c>
      <c r="CB499" t="s">
        <v>7817</v>
      </c>
      <c r="CC499">
        <v>54.05</v>
      </c>
      <c r="CE499">
        <v>1989</v>
      </c>
      <c r="CF499" t="s">
        <v>113</v>
      </c>
      <c r="CG499" t="s">
        <v>451</v>
      </c>
      <c r="CH499" t="s">
        <v>7818</v>
      </c>
      <c r="CI499" t="s">
        <v>132</v>
      </c>
      <c r="CJ499">
        <v>2019</v>
      </c>
      <c r="CL499" t="s">
        <v>113</v>
      </c>
      <c r="CM499" t="s">
        <v>7819</v>
      </c>
      <c r="CN499" t="s">
        <v>113</v>
      </c>
      <c r="CO499" t="s">
        <v>7820</v>
      </c>
      <c r="CP499" t="s">
        <v>7821</v>
      </c>
      <c r="CQ499" t="s">
        <v>7822</v>
      </c>
      <c r="CR499" t="str">
        <f>HYPERLINK("https://nconnect.nicmar.ac.in/public/storage/profile/69a094226407e.png","Download")</f>
        <v>0</v>
      </c>
      <c r="CS499" t="str">
        <f>HYPERLINK("https://nconnect.nicmar.ac.in/pdf/403_resume_1772131749.pdf/Y2FyZWVy","View Resume")</f>
        <v>0</v>
      </c>
    </row>
    <row r="500" spans="1:97">
      <c r="A500" t="s">
        <v>164</v>
      </c>
      <c r="B500" t="s">
        <v>138</v>
      </c>
      <c r="C500" t="s">
        <v>165</v>
      </c>
      <c r="D500" t="s">
        <v>166</v>
      </c>
      <c r="E500" t="s">
        <v>7823</v>
      </c>
      <c r="F500" t="s">
        <v>7824</v>
      </c>
      <c r="G500">
        <v>9446176726</v>
      </c>
      <c r="H500" t="s">
        <v>103</v>
      </c>
      <c r="I500" t="s">
        <v>7825</v>
      </c>
      <c r="J500" t="s">
        <v>105</v>
      </c>
      <c r="K500" t="s">
        <v>526</v>
      </c>
      <c r="L500" t="s">
        <v>7826</v>
      </c>
      <c r="M500" t="s">
        <v>7827</v>
      </c>
      <c r="N500" t="s">
        <v>109</v>
      </c>
      <c r="AI500" t="s">
        <v>7828</v>
      </c>
      <c r="AJ500" t="s">
        <v>7829</v>
      </c>
      <c r="AK500" t="s">
        <v>7830</v>
      </c>
      <c r="AL500">
        <v>91</v>
      </c>
      <c r="AM500">
        <v>9.6</v>
      </c>
      <c r="AN500">
        <v>2011</v>
      </c>
      <c r="AO500" t="s">
        <v>113</v>
      </c>
      <c r="AP500" t="s">
        <v>7828</v>
      </c>
      <c r="AQ500" t="s">
        <v>7829</v>
      </c>
      <c r="AR500" t="s">
        <v>7831</v>
      </c>
      <c r="AS500">
        <v>89</v>
      </c>
      <c r="AU500">
        <v>2013</v>
      </c>
      <c r="AV500" t="s">
        <v>109</v>
      </c>
      <c r="BC500" t="s">
        <v>113</v>
      </c>
      <c r="BD500" t="s">
        <v>7832</v>
      </c>
      <c r="BE500" t="s">
        <v>7833</v>
      </c>
      <c r="BF500" t="s">
        <v>1047</v>
      </c>
      <c r="BG500">
        <v>79</v>
      </c>
      <c r="BI500">
        <v>2017</v>
      </c>
      <c r="BJ500">
        <v>19</v>
      </c>
      <c r="BK500" t="s">
        <v>7834</v>
      </c>
      <c r="BL500">
        <v>34</v>
      </c>
      <c r="BN500" t="s">
        <v>113</v>
      </c>
      <c r="BO500" t="s">
        <v>5930</v>
      </c>
      <c r="BP500" t="s">
        <v>7835</v>
      </c>
      <c r="BQ500" t="s">
        <v>7836</v>
      </c>
      <c r="BR500">
        <v>91</v>
      </c>
      <c r="BS500">
        <v>9.13</v>
      </c>
      <c r="BT500">
        <v>2020</v>
      </c>
      <c r="BU500">
        <v>31</v>
      </c>
      <c r="BV500" t="s">
        <v>7837</v>
      </c>
      <c r="BW500">
        <v>52</v>
      </c>
      <c r="BY500" t="s">
        <v>109</v>
      </c>
      <c r="CF500" t="s">
        <v>113</v>
      </c>
      <c r="CG500" t="s">
        <v>6524</v>
      </c>
      <c r="CH500" t="s">
        <v>7838</v>
      </c>
      <c r="CI500" t="s">
        <v>240</v>
      </c>
      <c r="CK500" t="s">
        <v>109</v>
      </c>
      <c r="CL500" t="s">
        <v>109</v>
      </c>
      <c r="CN500" t="s">
        <v>109</v>
      </c>
      <c r="CP500" t="s">
        <v>7839</v>
      </c>
      <c r="CQ500" t="s">
        <v>7840</v>
      </c>
      <c r="CR500" t="s">
        <v>136</v>
      </c>
      <c r="CS500" t="str">
        <f>HYPERLINK("https://nconnect.nicmar.ac.in/pdf/690_resume_1772080742.pdf/Y2FyZWVy","View Resume")</f>
        <v>0</v>
      </c>
    </row>
    <row r="501" spans="1:97">
      <c r="A501" t="s">
        <v>2108</v>
      </c>
      <c r="B501" t="s">
        <v>138</v>
      </c>
      <c r="C501" t="s">
        <v>99</v>
      </c>
      <c r="D501" t="s">
        <v>2109</v>
      </c>
      <c r="E501" t="s">
        <v>7841</v>
      </c>
      <c r="F501" t="s">
        <v>7842</v>
      </c>
      <c r="G501">
        <v>7018803719</v>
      </c>
      <c r="H501" t="s">
        <v>103</v>
      </c>
      <c r="I501" t="s">
        <v>7843</v>
      </c>
      <c r="J501" t="s">
        <v>105</v>
      </c>
      <c r="K501" t="s">
        <v>7844</v>
      </c>
      <c r="L501" t="s">
        <v>7845</v>
      </c>
      <c r="M501" t="s">
        <v>7846</v>
      </c>
      <c r="N501" t="s">
        <v>109</v>
      </c>
      <c r="AI501" t="s">
        <v>7847</v>
      </c>
      <c r="AJ501" t="s">
        <v>380</v>
      </c>
      <c r="AK501" t="s">
        <v>277</v>
      </c>
      <c r="AL501">
        <v>84.2</v>
      </c>
      <c r="AN501">
        <v>2004</v>
      </c>
      <c r="AO501" t="s">
        <v>113</v>
      </c>
      <c r="AP501" t="s">
        <v>7848</v>
      </c>
      <c r="AQ501" t="s">
        <v>380</v>
      </c>
      <c r="AR501" t="s">
        <v>406</v>
      </c>
      <c r="AS501">
        <v>63.4</v>
      </c>
      <c r="AU501">
        <v>2006</v>
      </c>
      <c r="AV501" t="s">
        <v>109</v>
      </c>
      <c r="BC501" t="s">
        <v>113</v>
      </c>
      <c r="BD501" t="s">
        <v>7849</v>
      </c>
      <c r="BE501" t="s">
        <v>7849</v>
      </c>
      <c r="BF501" t="s">
        <v>309</v>
      </c>
      <c r="BG501">
        <v>68.8</v>
      </c>
      <c r="BH501">
        <v>6.88</v>
      </c>
      <c r="BI501">
        <v>2012</v>
      </c>
      <c r="BJ501">
        <v>1</v>
      </c>
      <c r="BL501">
        <v>9</v>
      </c>
      <c r="BN501" t="s">
        <v>113</v>
      </c>
      <c r="BO501" t="s">
        <v>7850</v>
      </c>
      <c r="BP501" t="s">
        <v>7850</v>
      </c>
      <c r="BQ501" t="s">
        <v>2404</v>
      </c>
      <c r="BR501">
        <v>68.5</v>
      </c>
      <c r="BS501">
        <v>6.85</v>
      </c>
      <c r="BT501">
        <v>2015</v>
      </c>
      <c r="BU501">
        <v>16</v>
      </c>
      <c r="BW501">
        <v>49</v>
      </c>
      <c r="BY501" t="s">
        <v>109</v>
      </c>
      <c r="CF501" t="s">
        <v>113</v>
      </c>
      <c r="CG501" t="s">
        <v>7851</v>
      </c>
      <c r="CH501" t="s">
        <v>7849</v>
      </c>
      <c r="CI501" t="s">
        <v>132</v>
      </c>
      <c r="CJ501">
        <v>2022</v>
      </c>
      <c r="CL501" t="s">
        <v>109</v>
      </c>
      <c r="CN501" t="s">
        <v>109</v>
      </c>
      <c r="CP501" t="s">
        <v>7852</v>
      </c>
      <c r="CQ501" t="s">
        <v>7853</v>
      </c>
      <c r="CR501" t="str">
        <f>HYPERLINK("https://nconnect.nicmar.ac.in/public/storage/profile/699fc88f3fc1e.png","Download")</f>
        <v>0</v>
      </c>
      <c r="CS501" t="str">
        <f>HYPERLINK("https://nconnect.nicmar.ac.in/pdf/691_resume_1772082282.pdf/Y2FyZWVy","View Resume")</f>
        <v>0</v>
      </c>
    </row>
    <row r="502" spans="1:97">
      <c r="A502" t="s">
        <v>702</v>
      </c>
      <c r="B502" t="s">
        <v>138</v>
      </c>
      <c r="C502" t="s">
        <v>703</v>
      </c>
      <c r="D502" t="s">
        <v>704</v>
      </c>
      <c r="E502" t="s">
        <v>7841</v>
      </c>
      <c r="F502" t="s">
        <v>7842</v>
      </c>
      <c r="G502">
        <v>7018803719</v>
      </c>
      <c r="H502" t="s">
        <v>103</v>
      </c>
      <c r="I502" t="s">
        <v>7843</v>
      </c>
      <c r="J502" t="s">
        <v>105</v>
      </c>
      <c r="K502" t="s">
        <v>7844</v>
      </c>
      <c r="L502" t="s">
        <v>7845</v>
      </c>
      <c r="M502" t="s">
        <v>7846</v>
      </c>
      <c r="N502" t="s">
        <v>109</v>
      </c>
      <c r="AI502" t="s">
        <v>7847</v>
      </c>
      <c r="AJ502" t="s">
        <v>380</v>
      </c>
      <c r="AK502" t="s">
        <v>277</v>
      </c>
      <c r="AL502">
        <v>84.2</v>
      </c>
      <c r="AN502">
        <v>2004</v>
      </c>
      <c r="AO502" t="s">
        <v>113</v>
      </c>
      <c r="AP502" t="s">
        <v>7848</v>
      </c>
      <c r="AQ502" t="s">
        <v>380</v>
      </c>
      <c r="AR502" t="s">
        <v>406</v>
      </c>
      <c r="AS502">
        <v>63.4</v>
      </c>
      <c r="AU502">
        <v>2006</v>
      </c>
      <c r="AV502" t="s">
        <v>109</v>
      </c>
      <c r="BC502" t="s">
        <v>113</v>
      </c>
      <c r="BD502" t="s">
        <v>7849</v>
      </c>
      <c r="BE502" t="s">
        <v>7849</v>
      </c>
      <c r="BF502" t="s">
        <v>309</v>
      </c>
      <c r="BG502">
        <v>68.8</v>
      </c>
      <c r="BH502">
        <v>6.88</v>
      </c>
      <c r="BI502">
        <v>2012</v>
      </c>
      <c r="BJ502">
        <v>1</v>
      </c>
      <c r="BL502">
        <v>9</v>
      </c>
      <c r="BN502" t="s">
        <v>113</v>
      </c>
      <c r="BO502" t="s">
        <v>7850</v>
      </c>
      <c r="BP502" t="s">
        <v>7850</v>
      </c>
      <c r="BQ502" t="s">
        <v>2404</v>
      </c>
      <c r="BR502">
        <v>68.5</v>
      </c>
      <c r="BS502">
        <v>6.85</v>
      </c>
      <c r="BT502">
        <v>2015</v>
      </c>
      <c r="BU502">
        <v>16</v>
      </c>
      <c r="BW502">
        <v>49</v>
      </c>
      <c r="BY502" t="s">
        <v>109</v>
      </c>
      <c r="CF502" t="s">
        <v>113</v>
      </c>
      <c r="CG502" t="s">
        <v>7851</v>
      </c>
      <c r="CH502" t="s">
        <v>7849</v>
      </c>
      <c r="CI502" t="s">
        <v>132</v>
      </c>
      <c r="CJ502">
        <v>2022</v>
      </c>
      <c r="CL502" t="s">
        <v>109</v>
      </c>
      <c r="CN502" t="s">
        <v>109</v>
      </c>
      <c r="CP502" t="s">
        <v>7852</v>
      </c>
      <c r="CQ502" t="s">
        <v>7854</v>
      </c>
      <c r="CR502" t="str">
        <f>HYPERLINK("https://nconnect.nicmar.ac.in/public/storage/profile/699fc88f3fc1e.png","Download")</f>
        <v>0</v>
      </c>
      <c r="CS502" t="str">
        <f>HYPERLINK("https://nconnect.nicmar.ac.in/pdf/691_resume_1772082282.pdf/Y2FyZWVy","View Resume")</f>
        <v>0</v>
      </c>
    </row>
    <row r="503" spans="1:97">
      <c r="A503" t="s">
        <v>137</v>
      </c>
      <c r="B503" t="s">
        <v>138</v>
      </c>
      <c r="C503" t="s">
        <v>139</v>
      </c>
      <c r="D503" t="s">
        <v>140</v>
      </c>
      <c r="E503" t="s">
        <v>7855</v>
      </c>
      <c r="F503" t="s">
        <v>7856</v>
      </c>
      <c r="G503">
        <v>8055514468</v>
      </c>
      <c r="H503" t="s">
        <v>103</v>
      </c>
      <c r="I503" t="s">
        <v>3064</v>
      </c>
      <c r="J503" t="s">
        <v>144</v>
      </c>
      <c r="K503" t="s">
        <v>7857</v>
      </c>
      <c r="L503" t="s">
        <v>7858</v>
      </c>
      <c r="M503" t="s">
        <v>7859</v>
      </c>
      <c r="N503" t="s">
        <v>109</v>
      </c>
      <c r="AI503" t="s">
        <v>7860</v>
      </c>
      <c r="AJ503" t="s">
        <v>7243</v>
      </c>
      <c r="AK503" t="s">
        <v>7861</v>
      </c>
      <c r="AL503">
        <v>90.3</v>
      </c>
      <c r="AN503">
        <v>2009</v>
      </c>
      <c r="AO503" t="s">
        <v>113</v>
      </c>
      <c r="AP503" t="s">
        <v>7862</v>
      </c>
      <c r="AQ503" t="s">
        <v>7243</v>
      </c>
      <c r="AR503" t="s">
        <v>668</v>
      </c>
      <c r="AS503">
        <v>72.83</v>
      </c>
      <c r="AU503">
        <v>2011</v>
      </c>
      <c r="AV503" t="s">
        <v>109</v>
      </c>
      <c r="BC503" t="s">
        <v>113</v>
      </c>
      <c r="BD503" t="s">
        <v>7863</v>
      </c>
      <c r="BE503" t="s">
        <v>7864</v>
      </c>
      <c r="BF503" t="s">
        <v>7865</v>
      </c>
      <c r="BG503">
        <v>72.4</v>
      </c>
      <c r="BI503">
        <v>2015</v>
      </c>
      <c r="BJ503">
        <v>2</v>
      </c>
      <c r="BL503">
        <v>9</v>
      </c>
      <c r="BN503" t="s">
        <v>113</v>
      </c>
      <c r="BO503" t="s">
        <v>7866</v>
      </c>
      <c r="BP503" t="s">
        <v>7867</v>
      </c>
      <c r="BQ503" t="s">
        <v>7868</v>
      </c>
      <c r="BR503">
        <v>91.5</v>
      </c>
      <c r="BS503">
        <v>9.15</v>
      </c>
      <c r="BT503">
        <v>2017</v>
      </c>
      <c r="BU503">
        <v>14</v>
      </c>
      <c r="BW503">
        <v>47</v>
      </c>
      <c r="BY503" t="s">
        <v>109</v>
      </c>
      <c r="CF503" t="s">
        <v>113</v>
      </c>
      <c r="CG503" t="s">
        <v>7869</v>
      </c>
      <c r="CH503" t="s">
        <v>7870</v>
      </c>
      <c r="CI503" t="s">
        <v>132</v>
      </c>
      <c r="CJ503">
        <v>2022</v>
      </c>
      <c r="CL503" t="s">
        <v>109</v>
      </c>
      <c r="CN503" t="s">
        <v>113</v>
      </c>
      <c r="CO503" t="s">
        <v>7871</v>
      </c>
      <c r="CP503" t="s">
        <v>7872</v>
      </c>
      <c r="CQ503" t="s">
        <v>7873</v>
      </c>
      <c r="CR503" t="str">
        <f>HYPERLINK("https://nconnect.nicmar.ac.in/public/storage/profile/699fd32e9ccbc.png","Download")</f>
        <v>0</v>
      </c>
      <c r="CS503" t="str">
        <f>HYPERLINK("https://nconnect.nicmar.ac.in/pdf/692_resume_1772082421.pdf/Y2FyZWVy","View Resume")</f>
        <v>0</v>
      </c>
    </row>
    <row r="504" spans="1:97">
      <c r="A504" t="s">
        <v>294</v>
      </c>
      <c r="B504" t="s">
        <v>138</v>
      </c>
      <c r="C504" t="s">
        <v>295</v>
      </c>
      <c r="D504" t="s">
        <v>296</v>
      </c>
      <c r="E504" t="s">
        <v>7874</v>
      </c>
      <c r="F504" t="s">
        <v>7875</v>
      </c>
      <c r="G504">
        <v>9949945920</v>
      </c>
      <c r="H504" t="s">
        <v>103</v>
      </c>
      <c r="I504" t="s">
        <v>7876</v>
      </c>
      <c r="J504" t="s">
        <v>105</v>
      </c>
      <c r="K504" t="s">
        <v>7877</v>
      </c>
      <c r="L504" t="s">
        <v>7878</v>
      </c>
      <c r="M504" t="s">
        <v>7879</v>
      </c>
      <c r="N504" t="s">
        <v>113</v>
      </c>
      <c r="O504" t="s">
        <v>7880</v>
      </c>
      <c r="P504" t="s">
        <v>7881</v>
      </c>
      <c r="AI504" t="s">
        <v>7882</v>
      </c>
      <c r="AJ504" t="s">
        <v>7883</v>
      </c>
      <c r="AK504" t="s">
        <v>7884</v>
      </c>
      <c r="AL504">
        <v>64.2</v>
      </c>
      <c r="AM504">
        <v>6.76</v>
      </c>
      <c r="AN504">
        <v>2009</v>
      </c>
      <c r="AO504" t="s">
        <v>113</v>
      </c>
      <c r="AP504" t="s">
        <v>7885</v>
      </c>
      <c r="AQ504" t="s">
        <v>7886</v>
      </c>
      <c r="AR504" t="s">
        <v>4837</v>
      </c>
      <c r="AS504">
        <v>69.2</v>
      </c>
      <c r="AT504">
        <v>7.28</v>
      </c>
      <c r="AU504">
        <v>2011</v>
      </c>
      <c r="AV504" t="s">
        <v>109</v>
      </c>
      <c r="BC504" t="s">
        <v>113</v>
      </c>
      <c r="BD504" t="s">
        <v>7887</v>
      </c>
      <c r="BE504" t="s">
        <v>7888</v>
      </c>
      <c r="BF504" t="s">
        <v>7889</v>
      </c>
      <c r="BG504">
        <v>64.1</v>
      </c>
      <c r="BI504">
        <v>2015</v>
      </c>
      <c r="BJ504">
        <v>2</v>
      </c>
      <c r="BL504">
        <v>9</v>
      </c>
      <c r="BN504" t="s">
        <v>113</v>
      </c>
      <c r="BO504" t="s">
        <v>605</v>
      </c>
      <c r="BP504" t="s">
        <v>7890</v>
      </c>
      <c r="BQ504" t="s">
        <v>7891</v>
      </c>
      <c r="BR504">
        <v>76.4</v>
      </c>
      <c r="BT504">
        <v>2019</v>
      </c>
      <c r="BU504">
        <v>12</v>
      </c>
      <c r="BW504">
        <v>9</v>
      </c>
      <c r="BY504" t="s">
        <v>109</v>
      </c>
      <c r="CF504" t="s">
        <v>113</v>
      </c>
      <c r="CG504" t="s">
        <v>607</v>
      </c>
      <c r="CH504" t="s">
        <v>4290</v>
      </c>
      <c r="CI504" t="s">
        <v>132</v>
      </c>
      <c r="CJ504">
        <v>2025</v>
      </c>
      <c r="CL504" t="s">
        <v>113</v>
      </c>
      <c r="CM504" t="s">
        <v>7892</v>
      </c>
      <c r="CN504" t="s">
        <v>109</v>
      </c>
      <c r="CP504" t="s">
        <v>7893</v>
      </c>
      <c r="CQ504" t="s">
        <v>7894</v>
      </c>
      <c r="CR504" t="s">
        <v>136</v>
      </c>
      <c r="CS504" t="str">
        <f>HYPERLINK("https://nconnect.nicmar.ac.in/pdf/556_resume_1771918690.pdf/Y2FyZWVy","View Resume")</f>
        <v>0</v>
      </c>
    </row>
    <row r="505" spans="1:97">
      <c r="A505" t="s">
        <v>164</v>
      </c>
      <c r="B505" t="s">
        <v>138</v>
      </c>
      <c r="C505" t="s">
        <v>165</v>
      </c>
      <c r="D505" t="s">
        <v>166</v>
      </c>
      <c r="E505" t="s">
        <v>7895</v>
      </c>
      <c r="F505" t="s">
        <v>7896</v>
      </c>
      <c r="G505">
        <v>9371290709</v>
      </c>
      <c r="H505" t="s">
        <v>103</v>
      </c>
      <c r="I505" t="s">
        <v>7897</v>
      </c>
      <c r="J505" t="s">
        <v>105</v>
      </c>
      <c r="K505" t="s">
        <v>526</v>
      </c>
      <c r="L505" t="s">
        <v>2736</v>
      </c>
      <c r="M505" t="s">
        <v>7898</v>
      </c>
      <c r="N505" t="s">
        <v>109</v>
      </c>
      <c r="AI505" t="s">
        <v>7899</v>
      </c>
      <c r="AJ505" t="s">
        <v>7900</v>
      </c>
      <c r="AK505" t="s">
        <v>1425</v>
      </c>
      <c r="AL505">
        <v>55</v>
      </c>
      <c r="AN505">
        <v>1996</v>
      </c>
      <c r="AO505" t="s">
        <v>113</v>
      </c>
      <c r="AP505" t="s">
        <v>7901</v>
      </c>
      <c r="AQ505" t="s">
        <v>7902</v>
      </c>
      <c r="AR505" t="s">
        <v>7903</v>
      </c>
      <c r="AS505">
        <v>81</v>
      </c>
      <c r="AU505">
        <v>1998</v>
      </c>
      <c r="AV505" t="s">
        <v>109</v>
      </c>
      <c r="BC505" t="s">
        <v>113</v>
      </c>
      <c r="BD505" t="s">
        <v>7904</v>
      </c>
      <c r="BE505" t="s">
        <v>7905</v>
      </c>
      <c r="BF505" t="s">
        <v>5514</v>
      </c>
      <c r="BG505">
        <v>55</v>
      </c>
      <c r="BI505">
        <v>2002</v>
      </c>
      <c r="BJ505">
        <v>2</v>
      </c>
      <c r="BL505">
        <v>9</v>
      </c>
      <c r="BN505" t="s">
        <v>113</v>
      </c>
      <c r="BO505" t="s">
        <v>7906</v>
      </c>
      <c r="BP505" t="s">
        <v>7907</v>
      </c>
      <c r="BQ505" t="s">
        <v>2043</v>
      </c>
      <c r="BR505">
        <v>79</v>
      </c>
      <c r="BS505">
        <v>7.14</v>
      </c>
      <c r="BT505">
        <v>2016</v>
      </c>
      <c r="BU505">
        <v>14</v>
      </c>
      <c r="BW505">
        <v>7</v>
      </c>
      <c r="BY505" t="s">
        <v>113</v>
      </c>
      <c r="BZ505" t="s">
        <v>7908</v>
      </c>
      <c r="CA505" t="s">
        <v>7909</v>
      </c>
      <c r="CB505" t="s">
        <v>7910</v>
      </c>
      <c r="CC505">
        <v>93</v>
      </c>
      <c r="CD505">
        <v>3.75</v>
      </c>
      <c r="CE505">
        <v>2009</v>
      </c>
      <c r="CF505" t="s">
        <v>113</v>
      </c>
      <c r="CG505" t="s">
        <v>7911</v>
      </c>
      <c r="CH505" t="s">
        <v>7912</v>
      </c>
      <c r="CI505" t="s">
        <v>132</v>
      </c>
      <c r="CJ505">
        <v>2026</v>
      </c>
      <c r="CL505" t="s">
        <v>113</v>
      </c>
      <c r="CM505" t="s">
        <v>7913</v>
      </c>
      <c r="CN505" t="s">
        <v>113</v>
      </c>
      <c r="CO505" t="s">
        <v>7914</v>
      </c>
      <c r="CP505" t="s">
        <v>7915</v>
      </c>
      <c r="CQ505" t="s">
        <v>7916</v>
      </c>
      <c r="CR505" t="s">
        <v>136</v>
      </c>
      <c r="CS505" t="str">
        <f>HYPERLINK("https://nconnect.nicmar.ac.in/pdf/628_resume_1772083246.pdf/Y2FyZWVy","View Resume")</f>
        <v>0</v>
      </c>
    </row>
    <row r="506" spans="1:97">
      <c r="A506" t="s">
        <v>367</v>
      </c>
      <c r="B506" t="s">
        <v>138</v>
      </c>
      <c r="C506" t="s">
        <v>295</v>
      </c>
      <c r="D506" t="s">
        <v>368</v>
      </c>
      <c r="E506" t="s">
        <v>7895</v>
      </c>
      <c r="F506" t="s">
        <v>7896</v>
      </c>
      <c r="G506">
        <v>9371290709</v>
      </c>
      <c r="H506" t="s">
        <v>103</v>
      </c>
      <c r="I506" t="s">
        <v>7897</v>
      </c>
      <c r="J506" t="s">
        <v>105</v>
      </c>
      <c r="K506" t="s">
        <v>526</v>
      </c>
      <c r="L506" t="s">
        <v>2736</v>
      </c>
      <c r="M506" t="s">
        <v>7898</v>
      </c>
      <c r="N506" t="s">
        <v>109</v>
      </c>
      <c r="AI506" t="s">
        <v>7899</v>
      </c>
      <c r="AJ506" t="s">
        <v>7900</v>
      </c>
      <c r="AK506" t="s">
        <v>1425</v>
      </c>
      <c r="AL506">
        <v>55</v>
      </c>
      <c r="AN506">
        <v>1996</v>
      </c>
      <c r="AO506" t="s">
        <v>113</v>
      </c>
      <c r="AP506" t="s">
        <v>7901</v>
      </c>
      <c r="AQ506" t="s">
        <v>7902</v>
      </c>
      <c r="AR506" t="s">
        <v>7903</v>
      </c>
      <c r="AS506">
        <v>81</v>
      </c>
      <c r="AU506">
        <v>1998</v>
      </c>
      <c r="AV506" t="s">
        <v>109</v>
      </c>
      <c r="BC506" t="s">
        <v>113</v>
      </c>
      <c r="BD506" t="s">
        <v>7904</v>
      </c>
      <c r="BE506" t="s">
        <v>7905</v>
      </c>
      <c r="BF506" t="s">
        <v>5514</v>
      </c>
      <c r="BG506">
        <v>55</v>
      </c>
      <c r="BI506">
        <v>2002</v>
      </c>
      <c r="BJ506">
        <v>2</v>
      </c>
      <c r="BL506">
        <v>9</v>
      </c>
      <c r="BN506" t="s">
        <v>113</v>
      </c>
      <c r="BO506" t="s">
        <v>7906</v>
      </c>
      <c r="BP506" t="s">
        <v>7907</v>
      </c>
      <c r="BQ506" t="s">
        <v>2043</v>
      </c>
      <c r="BR506">
        <v>79</v>
      </c>
      <c r="BS506">
        <v>7.14</v>
      </c>
      <c r="BT506">
        <v>2016</v>
      </c>
      <c r="BU506">
        <v>14</v>
      </c>
      <c r="BW506">
        <v>7</v>
      </c>
      <c r="BY506" t="s">
        <v>113</v>
      </c>
      <c r="BZ506" t="s">
        <v>7908</v>
      </c>
      <c r="CA506" t="s">
        <v>7909</v>
      </c>
      <c r="CB506" t="s">
        <v>7910</v>
      </c>
      <c r="CC506">
        <v>93</v>
      </c>
      <c r="CD506">
        <v>3.75</v>
      </c>
      <c r="CE506">
        <v>2009</v>
      </c>
      <c r="CF506" t="s">
        <v>113</v>
      </c>
      <c r="CG506" t="s">
        <v>7911</v>
      </c>
      <c r="CH506" t="s">
        <v>7912</v>
      </c>
      <c r="CI506" t="s">
        <v>132</v>
      </c>
      <c r="CJ506">
        <v>2026</v>
      </c>
      <c r="CL506" t="s">
        <v>113</v>
      </c>
      <c r="CM506" t="s">
        <v>7913</v>
      </c>
      <c r="CN506" t="s">
        <v>113</v>
      </c>
      <c r="CO506" t="s">
        <v>7914</v>
      </c>
      <c r="CP506" t="s">
        <v>7915</v>
      </c>
      <c r="CQ506" t="s">
        <v>7917</v>
      </c>
      <c r="CR506" t="s">
        <v>136</v>
      </c>
      <c r="CS506" t="str">
        <f>HYPERLINK("https://nconnect.nicmar.ac.in/pdf/628_resume_1772083246.pdf/Y2FyZWVy","View Resume")</f>
        <v>0</v>
      </c>
    </row>
    <row r="507" spans="1:97">
      <c r="A507" t="s">
        <v>223</v>
      </c>
      <c r="B507" t="s">
        <v>138</v>
      </c>
      <c r="C507" t="s">
        <v>165</v>
      </c>
      <c r="D507" t="s">
        <v>224</v>
      </c>
      <c r="E507" t="s">
        <v>7918</v>
      </c>
      <c r="F507" t="s">
        <v>7919</v>
      </c>
      <c r="G507">
        <v>8600011329</v>
      </c>
      <c r="H507" t="s">
        <v>169</v>
      </c>
      <c r="I507" t="s">
        <v>7920</v>
      </c>
      <c r="J507" t="s">
        <v>105</v>
      </c>
      <c r="K507" t="s">
        <v>4817</v>
      </c>
      <c r="L507" t="s">
        <v>7921</v>
      </c>
      <c r="M507" t="s">
        <v>7922</v>
      </c>
      <c r="N507" t="s">
        <v>113</v>
      </c>
      <c r="O507" t="s">
        <v>6489</v>
      </c>
      <c r="P507" t="s">
        <v>165</v>
      </c>
      <c r="AI507" t="s">
        <v>7923</v>
      </c>
      <c r="AJ507" t="s">
        <v>7924</v>
      </c>
      <c r="AK507" t="s">
        <v>7925</v>
      </c>
      <c r="AL507">
        <v>79.6</v>
      </c>
      <c r="AN507">
        <v>2004</v>
      </c>
      <c r="AO507" t="s">
        <v>113</v>
      </c>
      <c r="AP507" t="s">
        <v>7926</v>
      </c>
      <c r="AQ507" t="s">
        <v>7927</v>
      </c>
      <c r="AR507" t="s">
        <v>7928</v>
      </c>
      <c r="AS507">
        <v>68.33</v>
      </c>
      <c r="AU507">
        <v>2006</v>
      </c>
      <c r="AV507" t="s">
        <v>109</v>
      </c>
      <c r="BC507" t="s">
        <v>113</v>
      </c>
      <c r="BD507" t="s">
        <v>7929</v>
      </c>
      <c r="BE507" t="s">
        <v>7930</v>
      </c>
      <c r="BF507" t="s">
        <v>746</v>
      </c>
      <c r="BG507">
        <v>64.66</v>
      </c>
      <c r="BI507">
        <v>2009</v>
      </c>
      <c r="BJ507">
        <v>9</v>
      </c>
      <c r="BL507">
        <v>33</v>
      </c>
      <c r="BN507" t="s">
        <v>113</v>
      </c>
      <c r="BO507" t="s">
        <v>914</v>
      </c>
      <c r="BP507" t="s">
        <v>7931</v>
      </c>
      <c r="BQ507" t="s">
        <v>643</v>
      </c>
      <c r="BR507">
        <v>71.11</v>
      </c>
      <c r="BT507">
        <v>2011</v>
      </c>
      <c r="BU507">
        <v>31</v>
      </c>
      <c r="BV507" t="s">
        <v>7932</v>
      </c>
      <c r="BW507">
        <v>53</v>
      </c>
      <c r="BX507" t="s">
        <v>643</v>
      </c>
      <c r="BY507" t="s">
        <v>109</v>
      </c>
      <c r="BZ507" t="s">
        <v>7933</v>
      </c>
      <c r="CA507" t="s">
        <v>7934</v>
      </c>
      <c r="CB507" t="s">
        <v>7935</v>
      </c>
      <c r="CF507" t="s">
        <v>113</v>
      </c>
      <c r="CG507" t="s">
        <v>7936</v>
      </c>
      <c r="CH507" t="s">
        <v>7937</v>
      </c>
      <c r="CI507" t="s">
        <v>240</v>
      </c>
      <c r="CK507" t="s">
        <v>109</v>
      </c>
      <c r="CL507" t="s">
        <v>113</v>
      </c>
      <c r="CM507" t="s">
        <v>7938</v>
      </c>
      <c r="CN507" t="s">
        <v>109</v>
      </c>
      <c r="CP507" t="s">
        <v>460</v>
      </c>
      <c r="CQ507" t="s">
        <v>7939</v>
      </c>
      <c r="CR507" t="str">
        <f>HYPERLINK("https://nconnect.nicmar.ac.in/public/storage/profile/6997fa7dd49b2.png","Download")</f>
        <v>0</v>
      </c>
      <c r="CS507" t="str">
        <f>HYPERLINK("https://nconnect.nicmar.ac.in/pdf/334_resume_1772084921.pdf/Y2FyZWVy","View Resume")</f>
        <v>0</v>
      </c>
    </row>
    <row r="508" spans="1:97">
      <c r="A508" t="s">
        <v>2595</v>
      </c>
      <c r="B508" t="s">
        <v>2596</v>
      </c>
      <c r="C508" t="s">
        <v>703</v>
      </c>
      <c r="D508" t="s">
        <v>2597</v>
      </c>
      <c r="E508" t="s">
        <v>3909</v>
      </c>
      <c r="F508" t="s">
        <v>3910</v>
      </c>
      <c r="G508">
        <v>9881258914</v>
      </c>
      <c r="H508" t="s">
        <v>103</v>
      </c>
      <c r="I508" t="s">
        <v>3911</v>
      </c>
      <c r="J508" t="s">
        <v>105</v>
      </c>
      <c r="K508" t="s">
        <v>145</v>
      </c>
      <c r="L508" t="s">
        <v>3912</v>
      </c>
      <c r="M508" t="s">
        <v>3913</v>
      </c>
      <c r="N508" t="s">
        <v>109</v>
      </c>
      <c r="AI508" t="s">
        <v>3914</v>
      </c>
      <c r="AJ508" t="s">
        <v>3915</v>
      </c>
      <c r="AK508" t="s">
        <v>3916</v>
      </c>
      <c r="AL508">
        <v>56</v>
      </c>
      <c r="AN508">
        <v>1985</v>
      </c>
      <c r="AO508" t="s">
        <v>113</v>
      </c>
      <c r="AP508" t="s">
        <v>3917</v>
      </c>
      <c r="AQ508" t="s">
        <v>3918</v>
      </c>
      <c r="AR508" t="s">
        <v>3919</v>
      </c>
      <c r="AS508">
        <v>49.6</v>
      </c>
      <c r="AU508">
        <v>1987</v>
      </c>
      <c r="AV508" t="s">
        <v>109</v>
      </c>
      <c r="BC508" t="s">
        <v>113</v>
      </c>
      <c r="BD508" t="s">
        <v>3245</v>
      </c>
      <c r="BE508" t="s">
        <v>3920</v>
      </c>
      <c r="BF508" t="s">
        <v>309</v>
      </c>
      <c r="BG508">
        <v>65.6</v>
      </c>
      <c r="BI508">
        <v>1993</v>
      </c>
      <c r="BJ508">
        <v>2</v>
      </c>
      <c r="BL508">
        <v>9</v>
      </c>
      <c r="BN508" t="s">
        <v>113</v>
      </c>
      <c r="BO508" t="s">
        <v>3921</v>
      </c>
      <c r="BP508" t="s">
        <v>3922</v>
      </c>
      <c r="BQ508" t="s">
        <v>3923</v>
      </c>
      <c r="BR508">
        <v>66.9</v>
      </c>
      <c r="BT508">
        <v>2011</v>
      </c>
      <c r="BU508">
        <v>31</v>
      </c>
      <c r="BV508" t="s">
        <v>3924</v>
      </c>
      <c r="BW508">
        <v>9</v>
      </c>
      <c r="BY508" t="s">
        <v>109</v>
      </c>
      <c r="CF508" t="s">
        <v>113</v>
      </c>
      <c r="CG508" t="s">
        <v>3925</v>
      </c>
      <c r="CH508" t="s">
        <v>3926</v>
      </c>
      <c r="CI508" t="s">
        <v>132</v>
      </c>
      <c r="CJ508">
        <v>2019</v>
      </c>
      <c r="CL508" t="s">
        <v>109</v>
      </c>
      <c r="CN508" t="s">
        <v>113</v>
      </c>
      <c r="CO508" t="s">
        <v>3927</v>
      </c>
      <c r="CP508" t="s">
        <v>3928</v>
      </c>
      <c r="CQ508" t="s">
        <v>7940</v>
      </c>
      <c r="CR508" t="str">
        <f>HYPERLINK("https://nconnect.nicmar.ac.in/public/storage/profile/6998234228cc1.png","Download")</f>
        <v>0</v>
      </c>
      <c r="CS508" t="str">
        <f>HYPERLINK("https://nconnect.nicmar.ac.in/pdf/356_resume_1771588442.pdf/Y2FyZWVy","View Resume")</f>
        <v>0</v>
      </c>
    </row>
    <row r="509" spans="1:97">
      <c r="A509" t="s">
        <v>7941</v>
      </c>
      <c r="B509" t="s">
        <v>2596</v>
      </c>
      <c r="C509" t="s">
        <v>295</v>
      </c>
      <c r="D509" t="s">
        <v>2592</v>
      </c>
      <c r="E509" t="s">
        <v>3909</v>
      </c>
      <c r="F509" t="s">
        <v>3910</v>
      </c>
      <c r="G509">
        <v>9881258914</v>
      </c>
      <c r="H509" t="s">
        <v>103</v>
      </c>
      <c r="I509" t="s">
        <v>3911</v>
      </c>
      <c r="J509" t="s">
        <v>105</v>
      </c>
      <c r="K509" t="s">
        <v>145</v>
      </c>
      <c r="L509" t="s">
        <v>3912</v>
      </c>
      <c r="M509" t="s">
        <v>3913</v>
      </c>
      <c r="N509" t="s">
        <v>109</v>
      </c>
      <c r="AI509" t="s">
        <v>3914</v>
      </c>
      <c r="AJ509" t="s">
        <v>3915</v>
      </c>
      <c r="AK509" t="s">
        <v>3916</v>
      </c>
      <c r="AL509">
        <v>56</v>
      </c>
      <c r="AN509">
        <v>1985</v>
      </c>
      <c r="AO509" t="s">
        <v>113</v>
      </c>
      <c r="AP509" t="s">
        <v>3917</v>
      </c>
      <c r="AQ509" t="s">
        <v>3918</v>
      </c>
      <c r="AR509" t="s">
        <v>3919</v>
      </c>
      <c r="AS509">
        <v>49.6</v>
      </c>
      <c r="AU509">
        <v>1987</v>
      </c>
      <c r="AV509" t="s">
        <v>109</v>
      </c>
      <c r="BC509" t="s">
        <v>113</v>
      </c>
      <c r="BD509" t="s">
        <v>3245</v>
      </c>
      <c r="BE509" t="s">
        <v>3920</v>
      </c>
      <c r="BF509" t="s">
        <v>309</v>
      </c>
      <c r="BG509">
        <v>65.6</v>
      </c>
      <c r="BI509">
        <v>1993</v>
      </c>
      <c r="BJ509">
        <v>2</v>
      </c>
      <c r="BL509">
        <v>9</v>
      </c>
      <c r="BN509" t="s">
        <v>113</v>
      </c>
      <c r="BO509" t="s">
        <v>3921</v>
      </c>
      <c r="BP509" t="s">
        <v>3922</v>
      </c>
      <c r="BQ509" t="s">
        <v>3923</v>
      </c>
      <c r="BR509">
        <v>66.9</v>
      </c>
      <c r="BT509">
        <v>2011</v>
      </c>
      <c r="BU509">
        <v>31</v>
      </c>
      <c r="BV509" t="s">
        <v>3924</v>
      </c>
      <c r="BW509">
        <v>9</v>
      </c>
      <c r="BY509" t="s">
        <v>109</v>
      </c>
      <c r="CF509" t="s">
        <v>113</v>
      </c>
      <c r="CG509" t="s">
        <v>3925</v>
      </c>
      <c r="CH509" t="s">
        <v>3926</v>
      </c>
      <c r="CI509" t="s">
        <v>132</v>
      </c>
      <c r="CJ509">
        <v>2019</v>
      </c>
      <c r="CL509" t="s">
        <v>109</v>
      </c>
      <c r="CN509" t="s">
        <v>113</v>
      </c>
      <c r="CO509" t="s">
        <v>3927</v>
      </c>
      <c r="CP509" t="s">
        <v>3928</v>
      </c>
      <c r="CQ509" t="s">
        <v>7942</v>
      </c>
      <c r="CR509" t="str">
        <f>HYPERLINK("https://nconnect.nicmar.ac.in/public/storage/profile/6998234228cc1.png","Download")</f>
        <v>0</v>
      </c>
      <c r="CS509" t="str">
        <f>HYPERLINK("https://nconnect.nicmar.ac.in/pdf/356_resume_1771588442.pdf/Y2FyZWVy","View Resume")</f>
        <v>0</v>
      </c>
    </row>
    <row r="510" spans="1:97">
      <c r="A510" t="s">
        <v>223</v>
      </c>
      <c r="B510" t="s">
        <v>138</v>
      </c>
      <c r="C510" t="s">
        <v>165</v>
      </c>
      <c r="D510" t="s">
        <v>224</v>
      </c>
      <c r="E510" t="s">
        <v>7943</v>
      </c>
      <c r="F510" t="s">
        <v>7944</v>
      </c>
      <c r="G510">
        <v>7326867918</v>
      </c>
      <c r="H510" t="s">
        <v>103</v>
      </c>
      <c r="I510" t="s">
        <v>7945</v>
      </c>
      <c r="J510" t="s">
        <v>105</v>
      </c>
      <c r="K510" t="s">
        <v>7946</v>
      </c>
      <c r="L510" t="s">
        <v>7947</v>
      </c>
      <c r="M510" t="s">
        <v>7948</v>
      </c>
      <c r="N510" t="s">
        <v>109</v>
      </c>
      <c r="AI510" t="s">
        <v>7949</v>
      </c>
      <c r="AJ510" t="s">
        <v>1164</v>
      </c>
      <c r="AK510" t="s">
        <v>2153</v>
      </c>
      <c r="AL510">
        <v>70</v>
      </c>
      <c r="AN510">
        <v>2008</v>
      </c>
      <c r="AO510" t="s">
        <v>113</v>
      </c>
      <c r="AP510" t="s">
        <v>7950</v>
      </c>
      <c r="AQ510" t="s">
        <v>7951</v>
      </c>
      <c r="AR510" t="s">
        <v>2726</v>
      </c>
      <c r="AS510">
        <v>59</v>
      </c>
      <c r="AU510">
        <v>2010</v>
      </c>
      <c r="AV510" t="s">
        <v>109</v>
      </c>
      <c r="BC510" t="s">
        <v>113</v>
      </c>
      <c r="BD510" t="s">
        <v>7952</v>
      </c>
      <c r="BE510" t="s">
        <v>7953</v>
      </c>
      <c r="BF510" t="s">
        <v>7954</v>
      </c>
      <c r="BG510">
        <v>80</v>
      </c>
      <c r="BH510">
        <v>8.07</v>
      </c>
      <c r="BI510">
        <v>2014</v>
      </c>
      <c r="BJ510">
        <v>1</v>
      </c>
      <c r="BL510">
        <v>19</v>
      </c>
      <c r="BN510" t="s">
        <v>113</v>
      </c>
      <c r="BO510" t="s">
        <v>7952</v>
      </c>
      <c r="BP510" t="s">
        <v>7955</v>
      </c>
      <c r="BQ510" t="s">
        <v>7956</v>
      </c>
      <c r="BR510">
        <v>84</v>
      </c>
      <c r="BS510">
        <v>8.49</v>
      </c>
      <c r="BT510">
        <v>2019</v>
      </c>
      <c r="BU510">
        <v>3</v>
      </c>
      <c r="BW510">
        <v>53</v>
      </c>
      <c r="BX510" t="s">
        <v>263</v>
      </c>
      <c r="BY510" t="s">
        <v>109</v>
      </c>
      <c r="BZ510" t="s">
        <v>2925</v>
      </c>
      <c r="CA510" t="s">
        <v>2927</v>
      </c>
      <c r="CB510" t="s">
        <v>1178</v>
      </c>
      <c r="CD510">
        <v>8.0</v>
      </c>
      <c r="CE510">
        <v>2025</v>
      </c>
      <c r="CF510" t="s">
        <v>113</v>
      </c>
      <c r="CG510" t="s">
        <v>1178</v>
      </c>
      <c r="CH510" t="s">
        <v>2925</v>
      </c>
      <c r="CI510" t="s">
        <v>132</v>
      </c>
      <c r="CJ510">
        <v>2025</v>
      </c>
      <c r="CL510" t="s">
        <v>109</v>
      </c>
      <c r="CN510" t="s">
        <v>113</v>
      </c>
      <c r="CO510" t="s">
        <v>7957</v>
      </c>
      <c r="CP510" t="s">
        <v>7958</v>
      </c>
      <c r="CQ510" t="s">
        <v>7959</v>
      </c>
      <c r="CR510" t="str">
        <f>HYPERLINK("https://nconnect.nicmar.ac.in/public/storage/profile/699fd941a3219.png","Download")</f>
        <v>0</v>
      </c>
      <c r="CS510" t="str">
        <f>HYPERLINK("https://nconnect.nicmar.ac.in/pdf/694_resume_1772085778.pdf/Y2FyZWVy","View Resume")</f>
        <v>0</v>
      </c>
    </row>
    <row r="511" spans="1:97">
      <c r="A511" t="s">
        <v>223</v>
      </c>
      <c r="B511" t="s">
        <v>138</v>
      </c>
      <c r="C511" t="s">
        <v>165</v>
      </c>
      <c r="D511" t="s">
        <v>224</v>
      </c>
      <c r="E511" t="s">
        <v>7960</v>
      </c>
      <c r="F511" t="s">
        <v>7961</v>
      </c>
      <c r="G511">
        <v>7002697019</v>
      </c>
      <c r="H511" t="s">
        <v>169</v>
      </c>
      <c r="I511" t="s">
        <v>7962</v>
      </c>
      <c r="J511" t="s">
        <v>144</v>
      </c>
      <c r="K511" t="s">
        <v>7963</v>
      </c>
      <c r="L511" t="s">
        <v>7964</v>
      </c>
      <c r="M511" t="s">
        <v>7965</v>
      </c>
      <c r="N511" t="s">
        <v>109</v>
      </c>
      <c r="AI511" t="s">
        <v>7966</v>
      </c>
      <c r="AJ511" t="s">
        <v>7967</v>
      </c>
      <c r="AK511" t="s">
        <v>7968</v>
      </c>
      <c r="AL511">
        <v>85.3</v>
      </c>
      <c r="AN511">
        <v>2012</v>
      </c>
      <c r="AO511" t="s">
        <v>113</v>
      </c>
      <c r="AP511" t="s">
        <v>7969</v>
      </c>
      <c r="AQ511" t="s">
        <v>7970</v>
      </c>
      <c r="AR511" t="s">
        <v>7971</v>
      </c>
      <c r="AS511">
        <v>86</v>
      </c>
      <c r="AU511">
        <v>2014</v>
      </c>
      <c r="AV511" t="s">
        <v>109</v>
      </c>
      <c r="BC511" t="s">
        <v>113</v>
      </c>
      <c r="BD511" t="s">
        <v>7972</v>
      </c>
      <c r="BE511" t="s">
        <v>7973</v>
      </c>
      <c r="BF511" t="s">
        <v>7974</v>
      </c>
      <c r="BG511">
        <v>77</v>
      </c>
      <c r="BH511">
        <v>7.7</v>
      </c>
      <c r="BI511">
        <v>2019</v>
      </c>
      <c r="BJ511">
        <v>19</v>
      </c>
      <c r="BK511" t="s">
        <v>282</v>
      </c>
      <c r="BL511">
        <v>53</v>
      </c>
      <c r="BM511" t="s">
        <v>7974</v>
      </c>
      <c r="BN511" t="s">
        <v>113</v>
      </c>
      <c r="BO511" t="s">
        <v>7975</v>
      </c>
      <c r="BP511" t="s">
        <v>7976</v>
      </c>
      <c r="BQ511" t="s">
        <v>7977</v>
      </c>
      <c r="BR511">
        <v>77.6</v>
      </c>
      <c r="BS511">
        <v>7.76</v>
      </c>
      <c r="BT511">
        <v>2021</v>
      </c>
      <c r="BU511">
        <v>31</v>
      </c>
      <c r="BV511" t="s">
        <v>339</v>
      </c>
      <c r="BW511">
        <v>53</v>
      </c>
      <c r="BX511" t="s">
        <v>7977</v>
      </c>
      <c r="BY511" t="s">
        <v>109</v>
      </c>
      <c r="CF511" t="s">
        <v>113</v>
      </c>
      <c r="CG511" t="s">
        <v>7978</v>
      </c>
      <c r="CH511" t="s">
        <v>7979</v>
      </c>
      <c r="CI511" t="s">
        <v>240</v>
      </c>
      <c r="CK511" t="s">
        <v>109</v>
      </c>
      <c r="CL511" t="s">
        <v>109</v>
      </c>
      <c r="CN511" t="s">
        <v>113</v>
      </c>
      <c r="CO511" t="s">
        <v>7980</v>
      </c>
      <c r="CP511" t="s">
        <v>7981</v>
      </c>
      <c r="CQ511" t="s">
        <v>7982</v>
      </c>
      <c r="CR511" t="str">
        <f>HYPERLINK("https://nconnect.nicmar.ac.in/public/storage/profile/699fdec75004a.png","Download")</f>
        <v>0</v>
      </c>
      <c r="CS511" t="str">
        <f>HYPERLINK("https://nconnect.nicmar.ac.in/pdf/400_resume_1772086015.pdf/Y2FyZWVy","View Resume")</f>
        <v>0</v>
      </c>
    </row>
    <row r="512" spans="1:97">
      <c r="A512" t="s">
        <v>190</v>
      </c>
      <c r="B512" t="s">
        <v>138</v>
      </c>
      <c r="C512" t="s">
        <v>139</v>
      </c>
      <c r="D512" t="s">
        <v>191</v>
      </c>
      <c r="E512" t="s">
        <v>7983</v>
      </c>
      <c r="F512" t="s">
        <v>7984</v>
      </c>
      <c r="G512">
        <v>8755625522</v>
      </c>
      <c r="H512" t="s">
        <v>169</v>
      </c>
      <c r="I512" t="s">
        <v>7985</v>
      </c>
      <c r="J512" t="s">
        <v>105</v>
      </c>
      <c r="K512" t="s">
        <v>228</v>
      </c>
      <c r="L512" t="s">
        <v>7986</v>
      </c>
      <c r="M512" t="s">
        <v>7987</v>
      </c>
      <c r="N512" t="s">
        <v>109</v>
      </c>
      <c r="AI512" t="s">
        <v>7988</v>
      </c>
      <c r="AJ512" t="s">
        <v>7989</v>
      </c>
      <c r="AK512" t="s">
        <v>957</v>
      </c>
      <c r="AL512">
        <v>88.26</v>
      </c>
      <c r="AN512">
        <v>2004</v>
      </c>
      <c r="AO512" t="s">
        <v>113</v>
      </c>
      <c r="AP512" t="s">
        <v>7990</v>
      </c>
      <c r="AQ512" t="s">
        <v>7991</v>
      </c>
      <c r="AR512" t="s">
        <v>7992</v>
      </c>
      <c r="AS512">
        <v>75.67</v>
      </c>
      <c r="AU512">
        <v>2006</v>
      </c>
      <c r="AV512" t="s">
        <v>109</v>
      </c>
      <c r="BC512" t="s">
        <v>113</v>
      </c>
      <c r="BD512" t="s">
        <v>914</v>
      </c>
      <c r="BE512" t="s">
        <v>7990</v>
      </c>
      <c r="BF512" t="s">
        <v>281</v>
      </c>
      <c r="BG512">
        <v>91</v>
      </c>
      <c r="BI512">
        <v>2009</v>
      </c>
      <c r="BJ512">
        <v>19</v>
      </c>
      <c r="BK512" t="s">
        <v>7993</v>
      </c>
      <c r="BL512">
        <v>53</v>
      </c>
      <c r="BM512" t="s">
        <v>281</v>
      </c>
      <c r="BN512" t="s">
        <v>113</v>
      </c>
      <c r="BO512" t="s">
        <v>1884</v>
      </c>
      <c r="BP512" t="s">
        <v>7994</v>
      </c>
      <c r="BQ512" t="s">
        <v>281</v>
      </c>
      <c r="BR512">
        <v>90</v>
      </c>
      <c r="BS512">
        <v>9</v>
      </c>
      <c r="BT512">
        <v>2012</v>
      </c>
      <c r="BU512">
        <v>31</v>
      </c>
      <c r="BV512" t="s">
        <v>285</v>
      </c>
      <c r="BW512">
        <v>53</v>
      </c>
      <c r="BX512" t="s">
        <v>281</v>
      </c>
      <c r="BY512" t="s">
        <v>109</v>
      </c>
      <c r="CF512" t="s">
        <v>113</v>
      </c>
      <c r="CG512" t="s">
        <v>281</v>
      </c>
      <c r="CH512" t="s">
        <v>7995</v>
      </c>
      <c r="CI512" t="s">
        <v>132</v>
      </c>
      <c r="CJ512">
        <v>2023</v>
      </c>
      <c r="CL512" t="s">
        <v>109</v>
      </c>
      <c r="CN512" t="s">
        <v>113</v>
      </c>
      <c r="CO512" t="s">
        <v>7996</v>
      </c>
      <c r="CP512" t="s">
        <v>2063</v>
      </c>
      <c r="CQ512" t="s">
        <v>7997</v>
      </c>
      <c r="CR512" t="str">
        <f>HYPERLINK("https://nconnect.nicmar.ac.in/public/storage/profile/69982d220c692.png","Download")</f>
        <v>0</v>
      </c>
      <c r="CS512" t="str">
        <f>HYPERLINK("https://nconnect.nicmar.ac.in/pdf/358_resume_1771582823.pdf/Y2FyZWVy","View Resume")</f>
        <v>0</v>
      </c>
    </row>
    <row r="513" spans="1:97">
      <c r="A513" t="s">
        <v>164</v>
      </c>
      <c r="B513" t="s">
        <v>138</v>
      </c>
      <c r="C513" t="s">
        <v>165</v>
      </c>
      <c r="D513" t="s">
        <v>166</v>
      </c>
      <c r="E513" t="s">
        <v>7998</v>
      </c>
      <c r="F513" t="s">
        <v>7999</v>
      </c>
      <c r="G513">
        <v>9759606506</v>
      </c>
      <c r="H513" t="s">
        <v>169</v>
      </c>
      <c r="I513" t="s">
        <v>8000</v>
      </c>
      <c r="J513" t="s">
        <v>144</v>
      </c>
      <c r="K513" t="s">
        <v>4731</v>
      </c>
      <c r="L513" t="s">
        <v>8001</v>
      </c>
      <c r="M513" t="s">
        <v>8002</v>
      </c>
      <c r="N513" t="s">
        <v>109</v>
      </c>
      <c r="AI513" t="s">
        <v>8003</v>
      </c>
      <c r="AJ513" t="s">
        <v>736</v>
      </c>
      <c r="AK513" t="s">
        <v>1168</v>
      </c>
      <c r="AL513">
        <v>77.4</v>
      </c>
      <c r="AN513">
        <v>2011</v>
      </c>
      <c r="AO513" t="s">
        <v>113</v>
      </c>
      <c r="AP513" t="s">
        <v>8004</v>
      </c>
      <c r="AQ513" t="s">
        <v>1231</v>
      </c>
      <c r="AR513" t="s">
        <v>8005</v>
      </c>
      <c r="AS513">
        <v>77.8</v>
      </c>
      <c r="AU513">
        <v>2013</v>
      </c>
      <c r="AV513" t="s">
        <v>109</v>
      </c>
      <c r="BC513" t="s">
        <v>113</v>
      </c>
      <c r="BD513" t="s">
        <v>8006</v>
      </c>
      <c r="BE513" t="s">
        <v>8007</v>
      </c>
      <c r="BF513" t="s">
        <v>6941</v>
      </c>
      <c r="BG513">
        <v>83.6</v>
      </c>
      <c r="BH513">
        <v>9.3</v>
      </c>
      <c r="BI513">
        <v>2016</v>
      </c>
      <c r="BJ513">
        <v>19</v>
      </c>
      <c r="BK513" t="s">
        <v>2528</v>
      </c>
      <c r="BL513">
        <v>24</v>
      </c>
      <c r="BN513" t="s">
        <v>113</v>
      </c>
      <c r="BO513" t="s">
        <v>4906</v>
      </c>
      <c r="BP513" t="s">
        <v>8008</v>
      </c>
      <c r="BQ513" t="s">
        <v>8009</v>
      </c>
      <c r="BR513">
        <v>91.6</v>
      </c>
      <c r="BS513">
        <v>9.16</v>
      </c>
      <c r="BT513">
        <v>2021</v>
      </c>
      <c r="BU513">
        <v>31</v>
      </c>
      <c r="BV513" t="s">
        <v>339</v>
      </c>
      <c r="BW513">
        <v>32</v>
      </c>
      <c r="BY513" t="s">
        <v>109</v>
      </c>
      <c r="CF513" t="s">
        <v>113</v>
      </c>
      <c r="CG513" t="s">
        <v>8010</v>
      </c>
      <c r="CH513" t="s">
        <v>8011</v>
      </c>
      <c r="CI513" t="s">
        <v>240</v>
      </c>
      <c r="CK513" t="s">
        <v>113</v>
      </c>
      <c r="CL513" t="s">
        <v>113</v>
      </c>
      <c r="CM513" t="s">
        <v>8012</v>
      </c>
      <c r="CN513" t="s">
        <v>113</v>
      </c>
      <c r="CO513" t="s">
        <v>8013</v>
      </c>
      <c r="CP513" t="s">
        <v>8014</v>
      </c>
      <c r="CQ513" t="s">
        <v>8015</v>
      </c>
      <c r="CR513" t="s">
        <v>136</v>
      </c>
      <c r="CS513" t="str">
        <f>HYPERLINK("https://nconnect.nicmar.ac.in/pdf/695_resume_1772086894.pdf/Y2FyZWVy","View Resume")</f>
        <v>0</v>
      </c>
    </row>
    <row r="514" spans="1:97">
      <c r="A514" t="s">
        <v>164</v>
      </c>
      <c r="B514" t="s">
        <v>138</v>
      </c>
      <c r="C514" t="s">
        <v>165</v>
      </c>
      <c r="D514" t="s">
        <v>166</v>
      </c>
      <c r="E514" t="s">
        <v>8016</v>
      </c>
      <c r="F514" t="s">
        <v>8017</v>
      </c>
      <c r="G514">
        <v>8279438422</v>
      </c>
      <c r="H514" t="s">
        <v>103</v>
      </c>
      <c r="I514" t="s">
        <v>8018</v>
      </c>
      <c r="J514" t="s">
        <v>144</v>
      </c>
      <c r="K514" t="s">
        <v>145</v>
      </c>
      <c r="L514" t="s">
        <v>8019</v>
      </c>
      <c r="M514" t="s">
        <v>8020</v>
      </c>
      <c r="N514" t="s">
        <v>109</v>
      </c>
      <c r="AI514" t="s">
        <v>8021</v>
      </c>
      <c r="AJ514" t="s">
        <v>8022</v>
      </c>
      <c r="AK514" t="s">
        <v>1212</v>
      </c>
      <c r="AL514">
        <v>69.6</v>
      </c>
      <c r="AN514">
        <v>2003</v>
      </c>
      <c r="AO514" t="s">
        <v>113</v>
      </c>
      <c r="AP514" t="s">
        <v>8021</v>
      </c>
      <c r="AQ514" t="s">
        <v>8022</v>
      </c>
      <c r="AR514" t="s">
        <v>8023</v>
      </c>
      <c r="AS514">
        <v>74.6</v>
      </c>
      <c r="AU514">
        <v>2005</v>
      </c>
      <c r="AV514" t="s">
        <v>109</v>
      </c>
      <c r="BC514" t="s">
        <v>113</v>
      </c>
      <c r="BD514" t="s">
        <v>8024</v>
      </c>
      <c r="BE514" t="s">
        <v>8025</v>
      </c>
      <c r="BF514" t="s">
        <v>8026</v>
      </c>
      <c r="BG514">
        <v>65.5</v>
      </c>
      <c r="BI514">
        <v>2010</v>
      </c>
      <c r="BJ514">
        <v>19</v>
      </c>
      <c r="BK514" t="s">
        <v>561</v>
      </c>
      <c r="BL514">
        <v>34</v>
      </c>
      <c r="BN514" t="s">
        <v>113</v>
      </c>
      <c r="BO514" t="s">
        <v>8027</v>
      </c>
      <c r="BP514" t="s">
        <v>8028</v>
      </c>
      <c r="BQ514" t="s">
        <v>8029</v>
      </c>
      <c r="BR514">
        <v>81.8</v>
      </c>
      <c r="BS514">
        <v>8.18</v>
      </c>
      <c r="BT514">
        <v>2014</v>
      </c>
      <c r="BU514">
        <v>31</v>
      </c>
      <c r="BV514" t="s">
        <v>5925</v>
      </c>
      <c r="BW514">
        <v>34</v>
      </c>
      <c r="BY514" t="s">
        <v>109</v>
      </c>
      <c r="CF514" t="s">
        <v>113</v>
      </c>
      <c r="CG514" t="s">
        <v>8030</v>
      </c>
      <c r="CH514" t="s">
        <v>3741</v>
      </c>
      <c r="CI514" t="s">
        <v>132</v>
      </c>
      <c r="CJ514">
        <v>2025</v>
      </c>
      <c r="CL514" t="s">
        <v>109</v>
      </c>
      <c r="CN514" t="s">
        <v>113</v>
      </c>
      <c r="CO514" t="s">
        <v>8031</v>
      </c>
      <c r="CP514" t="s">
        <v>8032</v>
      </c>
      <c r="CQ514" t="s">
        <v>8033</v>
      </c>
      <c r="CR514" t="s">
        <v>136</v>
      </c>
      <c r="CS514" t="str">
        <f>HYPERLINK("https://nconnect.nicmar.ac.in/pdf/601_resume_1772088075.pdf/Y2FyZWVy","View Resume")</f>
        <v>0</v>
      </c>
    </row>
    <row r="515" spans="1:97">
      <c r="A515" t="s">
        <v>372</v>
      </c>
      <c r="B515" t="s">
        <v>98</v>
      </c>
      <c r="C515" t="s">
        <v>165</v>
      </c>
      <c r="D515" t="s">
        <v>224</v>
      </c>
      <c r="E515" t="s">
        <v>8034</v>
      </c>
      <c r="F515" t="s">
        <v>8035</v>
      </c>
      <c r="G515">
        <v>9850837409</v>
      </c>
      <c r="H515" t="s">
        <v>103</v>
      </c>
      <c r="I515" t="s">
        <v>8036</v>
      </c>
      <c r="J515" t="s">
        <v>105</v>
      </c>
      <c r="K515" t="s">
        <v>8037</v>
      </c>
      <c r="L515" t="s">
        <v>8038</v>
      </c>
      <c r="M515" t="s">
        <v>8039</v>
      </c>
      <c r="N515" t="s">
        <v>109</v>
      </c>
      <c r="AI515" t="s">
        <v>8040</v>
      </c>
      <c r="AJ515" t="s">
        <v>619</v>
      </c>
      <c r="AK515" t="s">
        <v>8041</v>
      </c>
      <c r="AL515">
        <v>79</v>
      </c>
      <c r="AN515">
        <v>1986</v>
      </c>
      <c r="AO515" t="s">
        <v>113</v>
      </c>
      <c r="AP515" t="s">
        <v>8042</v>
      </c>
      <c r="AQ515" t="s">
        <v>619</v>
      </c>
      <c r="AR515" t="s">
        <v>8043</v>
      </c>
      <c r="AS515">
        <v>75</v>
      </c>
      <c r="AU515">
        <v>1988</v>
      </c>
      <c r="AV515" t="s">
        <v>109</v>
      </c>
      <c r="BC515" t="s">
        <v>113</v>
      </c>
      <c r="BD515" t="s">
        <v>1215</v>
      </c>
      <c r="BE515" t="s">
        <v>8044</v>
      </c>
      <c r="BF515" t="s">
        <v>8045</v>
      </c>
      <c r="BG515">
        <v>72</v>
      </c>
      <c r="BI515">
        <v>1991</v>
      </c>
      <c r="BJ515">
        <v>19</v>
      </c>
      <c r="BK515" t="s">
        <v>3542</v>
      </c>
      <c r="BL515">
        <v>23</v>
      </c>
      <c r="BN515" t="s">
        <v>113</v>
      </c>
      <c r="BO515" t="s">
        <v>3546</v>
      </c>
      <c r="BP515" t="s">
        <v>8046</v>
      </c>
      <c r="BQ515" t="s">
        <v>8047</v>
      </c>
      <c r="BR515">
        <v>60</v>
      </c>
      <c r="BT515">
        <v>1995</v>
      </c>
      <c r="BU515">
        <v>31</v>
      </c>
      <c r="BV515" t="s">
        <v>8048</v>
      </c>
      <c r="BW515">
        <v>23</v>
      </c>
      <c r="BY515" t="s">
        <v>113</v>
      </c>
      <c r="BZ515" t="s">
        <v>8049</v>
      </c>
      <c r="CA515" t="s">
        <v>8050</v>
      </c>
      <c r="CB515" t="s">
        <v>8051</v>
      </c>
      <c r="CC515">
        <v>60</v>
      </c>
      <c r="CE515">
        <v>1992</v>
      </c>
      <c r="CF515" t="s">
        <v>109</v>
      </c>
      <c r="CL515" t="s">
        <v>109</v>
      </c>
      <c r="CN515" t="s">
        <v>109</v>
      </c>
      <c r="CP515" t="s">
        <v>8052</v>
      </c>
      <c r="CQ515" t="s">
        <v>8053</v>
      </c>
      <c r="CR515" t="s">
        <v>136</v>
      </c>
      <c r="CS515" t="str">
        <f>HYPERLINK("https://nconnect.nicmar.ac.in/pdf/697_resume_1772088141.pdf/Y2FyZWVy","View Resume")</f>
        <v>0</v>
      </c>
    </row>
    <row r="516" spans="1:97">
      <c r="A516" t="s">
        <v>190</v>
      </c>
      <c r="B516" t="s">
        <v>138</v>
      </c>
      <c r="C516" t="s">
        <v>139</v>
      </c>
      <c r="D516" t="s">
        <v>191</v>
      </c>
      <c r="E516" t="s">
        <v>8054</v>
      </c>
      <c r="F516" t="s">
        <v>8055</v>
      </c>
      <c r="G516">
        <v>9928460833</v>
      </c>
      <c r="H516" t="s">
        <v>169</v>
      </c>
      <c r="I516" t="s">
        <v>8056</v>
      </c>
      <c r="J516" t="s">
        <v>105</v>
      </c>
      <c r="K516" t="s">
        <v>145</v>
      </c>
      <c r="L516" t="s">
        <v>8057</v>
      </c>
      <c r="M516" t="s">
        <v>8058</v>
      </c>
      <c r="N516" t="s">
        <v>109</v>
      </c>
      <c r="AI516" t="s">
        <v>8059</v>
      </c>
      <c r="AJ516" t="s">
        <v>1231</v>
      </c>
      <c r="AK516" t="s">
        <v>8060</v>
      </c>
      <c r="AL516">
        <v>88</v>
      </c>
      <c r="AM516">
        <v>8.8</v>
      </c>
      <c r="AN516">
        <v>2011</v>
      </c>
      <c r="AO516" t="s">
        <v>113</v>
      </c>
      <c r="AP516" t="s">
        <v>8059</v>
      </c>
      <c r="AQ516" t="s">
        <v>1231</v>
      </c>
      <c r="AR516" t="s">
        <v>8061</v>
      </c>
      <c r="AS516">
        <v>80</v>
      </c>
      <c r="AU516">
        <v>2013</v>
      </c>
      <c r="AV516" t="s">
        <v>109</v>
      </c>
      <c r="BC516" t="s">
        <v>113</v>
      </c>
      <c r="BD516" t="s">
        <v>8062</v>
      </c>
      <c r="BE516" t="s">
        <v>8063</v>
      </c>
      <c r="BF516" t="s">
        <v>8064</v>
      </c>
      <c r="BG516">
        <v>70</v>
      </c>
      <c r="BI516">
        <v>2016</v>
      </c>
      <c r="BJ516">
        <v>19</v>
      </c>
      <c r="BK516" t="s">
        <v>282</v>
      </c>
      <c r="BL516">
        <v>53</v>
      </c>
      <c r="BM516" t="s">
        <v>2965</v>
      </c>
      <c r="BN516" t="s">
        <v>113</v>
      </c>
      <c r="BO516" t="s">
        <v>8065</v>
      </c>
      <c r="BP516" t="s">
        <v>8065</v>
      </c>
      <c r="BQ516" t="s">
        <v>8066</v>
      </c>
      <c r="BR516">
        <v>85</v>
      </c>
      <c r="BS516">
        <v>8.5</v>
      </c>
      <c r="BT516">
        <v>2019</v>
      </c>
      <c r="BU516">
        <v>31</v>
      </c>
      <c r="BV516" t="s">
        <v>285</v>
      </c>
      <c r="BW516">
        <v>53</v>
      </c>
      <c r="BX516" t="s">
        <v>8066</v>
      </c>
      <c r="BY516" t="s">
        <v>109</v>
      </c>
      <c r="CF516" t="s">
        <v>113</v>
      </c>
      <c r="CG516" t="s">
        <v>8067</v>
      </c>
      <c r="CH516" t="s">
        <v>1092</v>
      </c>
      <c r="CI516" t="s">
        <v>132</v>
      </c>
      <c r="CJ516">
        <v>2024</v>
      </c>
      <c r="CL516" t="s">
        <v>113</v>
      </c>
      <c r="CM516" t="s">
        <v>8068</v>
      </c>
      <c r="CN516" t="s">
        <v>113</v>
      </c>
      <c r="CO516" t="s">
        <v>8069</v>
      </c>
      <c r="CP516" t="s">
        <v>8070</v>
      </c>
      <c r="CQ516" t="s">
        <v>8071</v>
      </c>
      <c r="CR516" t="str">
        <f>HYPERLINK("https://nconnect.nicmar.ac.in/public/storage/profile/6999abbea8e4a.png","Download")</f>
        <v>0</v>
      </c>
      <c r="CS516" t="str">
        <f>HYPERLINK("https://nconnect.nicmar.ac.in/pdf/453_resume_1772088883.pdf/Y2FyZWVy","View Resume")</f>
        <v>0</v>
      </c>
    </row>
    <row r="517" spans="1:97">
      <c r="A517" t="s">
        <v>1116</v>
      </c>
      <c r="B517" t="s">
        <v>98</v>
      </c>
      <c r="C517" t="s">
        <v>99</v>
      </c>
      <c r="D517" t="s">
        <v>1117</v>
      </c>
      <c r="E517" t="s">
        <v>8072</v>
      </c>
      <c r="F517" t="s">
        <v>8073</v>
      </c>
      <c r="G517">
        <v>9158568489</v>
      </c>
      <c r="H517" t="s">
        <v>103</v>
      </c>
      <c r="I517" t="s">
        <v>8074</v>
      </c>
      <c r="J517" t="s">
        <v>144</v>
      </c>
      <c r="K517" t="s">
        <v>8075</v>
      </c>
      <c r="L517" t="s">
        <v>8076</v>
      </c>
      <c r="M517" t="s">
        <v>8077</v>
      </c>
      <c r="N517" t="s">
        <v>109</v>
      </c>
      <c r="AI517" t="s">
        <v>8078</v>
      </c>
      <c r="AJ517" t="s">
        <v>8079</v>
      </c>
      <c r="AK517" t="s">
        <v>8080</v>
      </c>
      <c r="AL517">
        <v>81</v>
      </c>
      <c r="AN517">
        <v>2012</v>
      </c>
      <c r="AO517" t="s">
        <v>113</v>
      </c>
      <c r="AP517" t="s">
        <v>8081</v>
      </c>
      <c r="AQ517" t="s">
        <v>8082</v>
      </c>
      <c r="AR517" t="s">
        <v>8083</v>
      </c>
      <c r="AS517">
        <v>67</v>
      </c>
      <c r="AU517">
        <v>2014</v>
      </c>
      <c r="AV517" t="s">
        <v>109</v>
      </c>
      <c r="BC517" t="s">
        <v>113</v>
      </c>
      <c r="BD517" t="s">
        <v>279</v>
      </c>
      <c r="BE517" t="s">
        <v>8084</v>
      </c>
      <c r="BF517" t="s">
        <v>7425</v>
      </c>
      <c r="BG517">
        <v>57</v>
      </c>
      <c r="BI517">
        <v>2019</v>
      </c>
      <c r="BJ517">
        <v>8</v>
      </c>
      <c r="BL517">
        <v>2</v>
      </c>
      <c r="BN517" t="s">
        <v>113</v>
      </c>
      <c r="BO517" t="s">
        <v>3029</v>
      </c>
      <c r="BP517" t="s">
        <v>8085</v>
      </c>
      <c r="BQ517" t="s">
        <v>8086</v>
      </c>
      <c r="BR517">
        <v>72</v>
      </c>
      <c r="BT517">
        <v>2023</v>
      </c>
      <c r="BU517">
        <v>31</v>
      </c>
      <c r="BV517" t="s">
        <v>8087</v>
      </c>
      <c r="BW517">
        <v>2</v>
      </c>
      <c r="BY517" t="s">
        <v>109</v>
      </c>
      <c r="CF517" t="s">
        <v>109</v>
      </c>
      <c r="CJ517">
        <v>2026</v>
      </c>
      <c r="CL517" t="s">
        <v>113</v>
      </c>
      <c r="CM517" t="s">
        <v>8088</v>
      </c>
      <c r="CN517" t="s">
        <v>113</v>
      </c>
      <c r="CO517" t="s">
        <v>8089</v>
      </c>
      <c r="CP517" t="s">
        <v>8090</v>
      </c>
      <c r="CQ517" t="s">
        <v>8091</v>
      </c>
      <c r="CR517" t="s">
        <v>136</v>
      </c>
      <c r="CS517" t="str">
        <f>HYPERLINK("https://nconnect.nicmar.ac.in/pdf/197_resume_1772090021.pdf/Y2FyZWVy","View Resume")</f>
        <v>0</v>
      </c>
    </row>
    <row r="518" spans="1:97">
      <c r="A518" t="s">
        <v>1624</v>
      </c>
      <c r="B518" t="s">
        <v>318</v>
      </c>
      <c r="C518" t="s">
        <v>99</v>
      </c>
      <c r="D518" t="s">
        <v>1625</v>
      </c>
      <c r="E518" t="s">
        <v>8072</v>
      </c>
      <c r="F518" t="s">
        <v>8073</v>
      </c>
      <c r="G518">
        <v>9158568489</v>
      </c>
      <c r="H518" t="s">
        <v>103</v>
      </c>
      <c r="I518" t="s">
        <v>8074</v>
      </c>
      <c r="J518" t="s">
        <v>144</v>
      </c>
      <c r="K518" t="s">
        <v>8075</v>
      </c>
      <c r="L518" t="s">
        <v>8076</v>
      </c>
      <c r="M518" t="s">
        <v>8077</v>
      </c>
      <c r="N518" t="s">
        <v>109</v>
      </c>
      <c r="AI518" t="s">
        <v>8078</v>
      </c>
      <c r="AJ518" t="s">
        <v>8079</v>
      </c>
      <c r="AK518" t="s">
        <v>8080</v>
      </c>
      <c r="AL518">
        <v>81</v>
      </c>
      <c r="AN518">
        <v>2012</v>
      </c>
      <c r="AO518" t="s">
        <v>113</v>
      </c>
      <c r="AP518" t="s">
        <v>8081</v>
      </c>
      <c r="AQ518" t="s">
        <v>8082</v>
      </c>
      <c r="AR518" t="s">
        <v>8083</v>
      </c>
      <c r="AS518">
        <v>67</v>
      </c>
      <c r="AU518">
        <v>2014</v>
      </c>
      <c r="AV518" t="s">
        <v>109</v>
      </c>
      <c r="BC518" t="s">
        <v>113</v>
      </c>
      <c r="BD518" t="s">
        <v>279</v>
      </c>
      <c r="BE518" t="s">
        <v>8084</v>
      </c>
      <c r="BF518" t="s">
        <v>7425</v>
      </c>
      <c r="BG518">
        <v>57</v>
      </c>
      <c r="BI518">
        <v>2019</v>
      </c>
      <c r="BJ518">
        <v>8</v>
      </c>
      <c r="BL518">
        <v>2</v>
      </c>
      <c r="BN518" t="s">
        <v>113</v>
      </c>
      <c r="BO518" t="s">
        <v>3029</v>
      </c>
      <c r="BP518" t="s">
        <v>8085</v>
      </c>
      <c r="BQ518" t="s">
        <v>8086</v>
      </c>
      <c r="BR518">
        <v>72</v>
      </c>
      <c r="BT518">
        <v>2023</v>
      </c>
      <c r="BU518">
        <v>31</v>
      </c>
      <c r="BV518" t="s">
        <v>8087</v>
      </c>
      <c r="BW518">
        <v>2</v>
      </c>
      <c r="BY518" t="s">
        <v>109</v>
      </c>
      <c r="CF518" t="s">
        <v>109</v>
      </c>
      <c r="CJ518">
        <v>2026</v>
      </c>
      <c r="CL518" t="s">
        <v>113</v>
      </c>
      <c r="CM518" t="s">
        <v>8088</v>
      </c>
      <c r="CN518" t="s">
        <v>113</v>
      </c>
      <c r="CO518" t="s">
        <v>8089</v>
      </c>
      <c r="CP518" t="s">
        <v>8090</v>
      </c>
      <c r="CQ518" t="s">
        <v>8092</v>
      </c>
      <c r="CR518" t="s">
        <v>136</v>
      </c>
      <c r="CS518" t="str">
        <f>HYPERLINK("https://nconnect.nicmar.ac.in/pdf/197_resume_1772090021.pdf/Y2FyZWVy","View Resume")</f>
        <v>0</v>
      </c>
    </row>
    <row r="519" spans="1:97">
      <c r="A519" t="s">
        <v>702</v>
      </c>
      <c r="B519" t="s">
        <v>138</v>
      </c>
      <c r="C519" t="s">
        <v>703</v>
      </c>
      <c r="D519" t="s">
        <v>704</v>
      </c>
      <c r="E519" t="s">
        <v>8072</v>
      </c>
      <c r="F519" t="s">
        <v>8073</v>
      </c>
      <c r="G519">
        <v>9158568489</v>
      </c>
      <c r="H519" t="s">
        <v>103</v>
      </c>
      <c r="I519" t="s">
        <v>8074</v>
      </c>
      <c r="J519" t="s">
        <v>144</v>
      </c>
      <c r="K519" t="s">
        <v>8075</v>
      </c>
      <c r="L519" t="s">
        <v>8076</v>
      </c>
      <c r="M519" t="s">
        <v>8077</v>
      </c>
      <c r="N519" t="s">
        <v>109</v>
      </c>
      <c r="AI519" t="s">
        <v>8078</v>
      </c>
      <c r="AJ519" t="s">
        <v>8079</v>
      </c>
      <c r="AK519" t="s">
        <v>8080</v>
      </c>
      <c r="AL519">
        <v>81</v>
      </c>
      <c r="AN519">
        <v>2012</v>
      </c>
      <c r="AO519" t="s">
        <v>113</v>
      </c>
      <c r="AP519" t="s">
        <v>8081</v>
      </c>
      <c r="AQ519" t="s">
        <v>8082</v>
      </c>
      <c r="AR519" t="s">
        <v>8083</v>
      </c>
      <c r="AS519">
        <v>67</v>
      </c>
      <c r="AU519">
        <v>2014</v>
      </c>
      <c r="AV519" t="s">
        <v>109</v>
      </c>
      <c r="BC519" t="s">
        <v>113</v>
      </c>
      <c r="BD519" t="s">
        <v>279</v>
      </c>
      <c r="BE519" t="s">
        <v>8084</v>
      </c>
      <c r="BF519" t="s">
        <v>7425</v>
      </c>
      <c r="BG519">
        <v>57</v>
      </c>
      <c r="BI519">
        <v>2019</v>
      </c>
      <c r="BJ519">
        <v>8</v>
      </c>
      <c r="BL519">
        <v>2</v>
      </c>
      <c r="BN519" t="s">
        <v>113</v>
      </c>
      <c r="BO519" t="s">
        <v>3029</v>
      </c>
      <c r="BP519" t="s">
        <v>8085</v>
      </c>
      <c r="BQ519" t="s">
        <v>8086</v>
      </c>
      <c r="BR519">
        <v>72</v>
      </c>
      <c r="BT519">
        <v>2023</v>
      </c>
      <c r="BU519">
        <v>31</v>
      </c>
      <c r="BV519" t="s">
        <v>8087</v>
      </c>
      <c r="BW519">
        <v>2</v>
      </c>
      <c r="BY519" t="s">
        <v>109</v>
      </c>
      <c r="CF519" t="s">
        <v>109</v>
      </c>
      <c r="CJ519">
        <v>2026</v>
      </c>
      <c r="CL519" t="s">
        <v>113</v>
      </c>
      <c r="CM519" t="s">
        <v>8088</v>
      </c>
      <c r="CN519" t="s">
        <v>113</v>
      </c>
      <c r="CO519" t="s">
        <v>8089</v>
      </c>
      <c r="CP519" t="s">
        <v>8090</v>
      </c>
      <c r="CQ519" t="s">
        <v>8093</v>
      </c>
      <c r="CR519" t="s">
        <v>136</v>
      </c>
      <c r="CS519" t="str">
        <f>HYPERLINK("https://nconnect.nicmar.ac.in/pdf/197_resume_1772090021.pdf/Y2FyZWVy","View Resume")</f>
        <v>0</v>
      </c>
    </row>
    <row r="520" spans="1:97">
      <c r="A520" t="s">
        <v>192</v>
      </c>
      <c r="B520" t="s">
        <v>138</v>
      </c>
      <c r="C520" t="s">
        <v>165</v>
      </c>
      <c r="D520" t="s">
        <v>193</v>
      </c>
      <c r="E520" t="s">
        <v>8094</v>
      </c>
      <c r="F520" t="s">
        <v>8095</v>
      </c>
      <c r="G520">
        <v>7887965701</v>
      </c>
      <c r="H520" t="s">
        <v>103</v>
      </c>
      <c r="I520" t="s">
        <v>8096</v>
      </c>
      <c r="J520" t="s">
        <v>105</v>
      </c>
      <c r="K520" t="s">
        <v>526</v>
      </c>
      <c r="L520" t="s">
        <v>8097</v>
      </c>
      <c r="M520" t="s">
        <v>8098</v>
      </c>
      <c r="N520" t="s">
        <v>109</v>
      </c>
      <c r="AI520" t="s">
        <v>8099</v>
      </c>
      <c r="AJ520" t="s">
        <v>8100</v>
      </c>
      <c r="AK520" t="s">
        <v>440</v>
      </c>
      <c r="AL520">
        <v>73.83</v>
      </c>
      <c r="AN520">
        <v>2005</v>
      </c>
      <c r="AO520" t="s">
        <v>113</v>
      </c>
      <c r="AP520" t="s">
        <v>8101</v>
      </c>
      <c r="AQ520" t="s">
        <v>8100</v>
      </c>
      <c r="AR520" t="s">
        <v>1543</v>
      </c>
      <c r="AS520">
        <v>63.83</v>
      </c>
      <c r="AU520">
        <v>2007</v>
      </c>
      <c r="AV520" t="s">
        <v>109</v>
      </c>
      <c r="BC520" t="s">
        <v>113</v>
      </c>
      <c r="BD520" t="s">
        <v>8102</v>
      </c>
      <c r="BE520" t="s">
        <v>8103</v>
      </c>
      <c r="BF520" t="s">
        <v>1047</v>
      </c>
      <c r="BG520">
        <v>73.83</v>
      </c>
      <c r="BI520">
        <v>2013</v>
      </c>
      <c r="BJ520">
        <v>19</v>
      </c>
      <c r="BK520" t="s">
        <v>8104</v>
      </c>
      <c r="BL520">
        <v>34</v>
      </c>
      <c r="BN520" t="s">
        <v>113</v>
      </c>
      <c r="BO520" t="s">
        <v>8105</v>
      </c>
      <c r="BP520" t="s">
        <v>8106</v>
      </c>
      <c r="BQ520" t="s">
        <v>8107</v>
      </c>
      <c r="BR520">
        <v>68</v>
      </c>
      <c r="BT520">
        <v>2021</v>
      </c>
      <c r="BU520">
        <v>31</v>
      </c>
      <c r="BV520" t="s">
        <v>8108</v>
      </c>
      <c r="BW520">
        <v>33</v>
      </c>
      <c r="BY520" t="s">
        <v>109</v>
      </c>
      <c r="CF520" t="s">
        <v>113</v>
      </c>
      <c r="CG520" t="s">
        <v>8109</v>
      </c>
      <c r="CH520" t="s">
        <v>8110</v>
      </c>
      <c r="CI520" t="s">
        <v>240</v>
      </c>
      <c r="CK520" t="s">
        <v>113</v>
      </c>
      <c r="CL520" t="s">
        <v>109</v>
      </c>
      <c r="CN520" t="s">
        <v>113</v>
      </c>
      <c r="CO520" t="s">
        <v>8111</v>
      </c>
      <c r="CP520" t="s">
        <v>8112</v>
      </c>
      <c r="CQ520" t="s">
        <v>8113</v>
      </c>
      <c r="CR520" t="str">
        <f>HYPERLINK("https://nconnect.nicmar.ac.in/public/storage/profile/699ff02cba413.png","Download")</f>
        <v>0</v>
      </c>
      <c r="CS520" t="str">
        <f>HYPERLINK("https://nconnect.nicmar.ac.in/pdf/702_resume_1772090547.pdf/Y2FyZWVy","View Resume")</f>
        <v>0</v>
      </c>
    </row>
    <row r="521" spans="1:97">
      <c r="A521" t="s">
        <v>846</v>
      </c>
      <c r="B521" t="s">
        <v>138</v>
      </c>
      <c r="C521" t="s">
        <v>165</v>
      </c>
      <c r="D521" t="s">
        <v>847</v>
      </c>
      <c r="E521" t="s">
        <v>8114</v>
      </c>
      <c r="F521" t="s">
        <v>8115</v>
      </c>
      <c r="G521">
        <v>8369201462</v>
      </c>
      <c r="H521" t="s">
        <v>169</v>
      </c>
      <c r="I521" t="s">
        <v>8116</v>
      </c>
      <c r="J521" t="s">
        <v>105</v>
      </c>
      <c r="K521" t="s">
        <v>4470</v>
      </c>
      <c r="L521" t="s">
        <v>8117</v>
      </c>
      <c r="M521" t="s">
        <v>8118</v>
      </c>
      <c r="N521" t="s">
        <v>109</v>
      </c>
      <c r="AI521" t="s">
        <v>8119</v>
      </c>
      <c r="AJ521" t="s">
        <v>8120</v>
      </c>
      <c r="AK521" t="s">
        <v>8121</v>
      </c>
      <c r="AL521">
        <v>79.8</v>
      </c>
      <c r="AN521">
        <v>2013</v>
      </c>
      <c r="AO521" t="s">
        <v>113</v>
      </c>
      <c r="AP521" t="s">
        <v>8122</v>
      </c>
      <c r="AQ521" t="s">
        <v>8123</v>
      </c>
      <c r="AR521" t="s">
        <v>8124</v>
      </c>
      <c r="AS521">
        <v>54.42</v>
      </c>
      <c r="AU521">
        <v>2016</v>
      </c>
      <c r="AV521" t="s">
        <v>109</v>
      </c>
      <c r="BC521" t="s">
        <v>113</v>
      </c>
      <c r="BD521" t="s">
        <v>3093</v>
      </c>
      <c r="BE521" t="s">
        <v>8125</v>
      </c>
      <c r="BF521" t="s">
        <v>8126</v>
      </c>
      <c r="BG521">
        <v>70</v>
      </c>
      <c r="BI521">
        <v>2019</v>
      </c>
      <c r="BJ521">
        <v>19</v>
      </c>
      <c r="BK521" t="s">
        <v>8127</v>
      </c>
      <c r="BL521">
        <v>53</v>
      </c>
      <c r="BM521" t="s">
        <v>8128</v>
      </c>
      <c r="BN521" t="s">
        <v>113</v>
      </c>
      <c r="BO521" t="s">
        <v>279</v>
      </c>
      <c r="BP521" t="s">
        <v>8129</v>
      </c>
      <c r="BQ521" t="s">
        <v>8130</v>
      </c>
      <c r="BR521">
        <v>85</v>
      </c>
      <c r="BT521">
        <v>2021</v>
      </c>
      <c r="BU521">
        <v>31</v>
      </c>
      <c r="BV521" t="s">
        <v>8131</v>
      </c>
      <c r="BW521">
        <v>53</v>
      </c>
      <c r="BX521" t="s">
        <v>8128</v>
      </c>
      <c r="BY521" t="s">
        <v>109</v>
      </c>
      <c r="CF521" t="s">
        <v>113</v>
      </c>
      <c r="CG521" t="s">
        <v>8132</v>
      </c>
      <c r="CH521" t="s">
        <v>279</v>
      </c>
      <c r="CI521" t="s">
        <v>240</v>
      </c>
      <c r="CK521" t="s">
        <v>109</v>
      </c>
      <c r="CL521" t="s">
        <v>113</v>
      </c>
      <c r="CM521" t="s">
        <v>8133</v>
      </c>
      <c r="CN521" t="s">
        <v>113</v>
      </c>
      <c r="CO521" t="s">
        <v>8134</v>
      </c>
      <c r="CP521" t="s">
        <v>8135</v>
      </c>
      <c r="CQ521" t="s">
        <v>8136</v>
      </c>
      <c r="CR521" t="str">
        <f>HYPERLINK("https://nconnect.nicmar.ac.in/public/storage/profile/699c04be09d00.png","Download")</f>
        <v>0</v>
      </c>
      <c r="CS521" t="str">
        <f>HYPERLINK("https://nconnect.nicmar.ac.in/pdf/541_resume_1772091744.pdf/Y2FyZWVy","View Resume")</f>
        <v>0</v>
      </c>
    </row>
    <row r="522" spans="1:97">
      <c r="A522" t="s">
        <v>223</v>
      </c>
      <c r="B522" t="s">
        <v>138</v>
      </c>
      <c r="C522" t="s">
        <v>165</v>
      </c>
      <c r="D522" t="s">
        <v>224</v>
      </c>
      <c r="E522" t="s">
        <v>8137</v>
      </c>
      <c r="F522" t="s">
        <v>8138</v>
      </c>
      <c r="G522">
        <v>7980775953</v>
      </c>
      <c r="H522" t="s">
        <v>103</v>
      </c>
      <c r="I522" t="s">
        <v>8139</v>
      </c>
      <c r="J522" t="s">
        <v>105</v>
      </c>
      <c r="K522" t="s">
        <v>484</v>
      </c>
      <c r="L522" t="s">
        <v>8140</v>
      </c>
      <c r="M522" t="s">
        <v>8141</v>
      </c>
      <c r="N522" t="s">
        <v>109</v>
      </c>
      <c r="AI522" t="s">
        <v>8142</v>
      </c>
      <c r="AJ522" t="s">
        <v>1699</v>
      </c>
      <c r="AK522" t="s">
        <v>8143</v>
      </c>
      <c r="AL522">
        <v>87.4</v>
      </c>
      <c r="AM522">
        <v>9.2</v>
      </c>
      <c r="AN522">
        <v>2012</v>
      </c>
      <c r="AO522" t="s">
        <v>113</v>
      </c>
      <c r="AP522" t="s">
        <v>8142</v>
      </c>
      <c r="AQ522" t="s">
        <v>1699</v>
      </c>
      <c r="AR522" t="s">
        <v>8144</v>
      </c>
      <c r="AS522">
        <v>69.2</v>
      </c>
      <c r="AT522">
        <v>0</v>
      </c>
      <c r="AU522">
        <v>2014</v>
      </c>
      <c r="AV522" t="s">
        <v>109</v>
      </c>
      <c r="BC522" t="s">
        <v>113</v>
      </c>
      <c r="BD522" t="s">
        <v>8145</v>
      </c>
      <c r="BE522" t="s">
        <v>8146</v>
      </c>
      <c r="BF522" t="s">
        <v>8147</v>
      </c>
      <c r="BG522">
        <v>72</v>
      </c>
      <c r="BH522">
        <v>8.1</v>
      </c>
      <c r="BI522">
        <v>2018</v>
      </c>
      <c r="BJ522">
        <v>19</v>
      </c>
      <c r="BK522" t="s">
        <v>8148</v>
      </c>
      <c r="BL522">
        <v>11</v>
      </c>
      <c r="BN522" t="s">
        <v>113</v>
      </c>
      <c r="BO522" t="s">
        <v>8149</v>
      </c>
      <c r="BP522" t="s">
        <v>8150</v>
      </c>
      <c r="BQ522" t="s">
        <v>8151</v>
      </c>
      <c r="BR522">
        <v>75.2</v>
      </c>
      <c r="BS522">
        <v>7.52</v>
      </c>
      <c r="BT522">
        <v>2020</v>
      </c>
      <c r="BU522">
        <v>31</v>
      </c>
      <c r="BV522" t="s">
        <v>8152</v>
      </c>
      <c r="BW522">
        <v>53</v>
      </c>
      <c r="BX522" t="s">
        <v>8153</v>
      </c>
      <c r="BY522" t="s">
        <v>109</v>
      </c>
      <c r="CF522" t="s">
        <v>109</v>
      </c>
      <c r="CL522" t="s">
        <v>109</v>
      </c>
      <c r="CN522" t="s">
        <v>109</v>
      </c>
      <c r="CP522" t="s">
        <v>8154</v>
      </c>
      <c r="CQ522" t="s">
        <v>8155</v>
      </c>
      <c r="CR522" t="s">
        <v>136</v>
      </c>
      <c r="CS522" t="str">
        <f>HYPERLINK("https://nconnect.nicmar.ac.in/pdf/707_resume_1772095837.pdf/Y2FyZWVy","View Resume")</f>
        <v>0</v>
      </c>
    </row>
    <row r="523" spans="1:97">
      <c r="A523" t="s">
        <v>702</v>
      </c>
      <c r="B523" t="s">
        <v>138</v>
      </c>
      <c r="C523" t="s">
        <v>703</v>
      </c>
      <c r="D523" t="s">
        <v>704</v>
      </c>
      <c r="E523" t="s">
        <v>8156</v>
      </c>
      <c r="F523" t="s">
        <v>8157</v>
      </c>
      <c r="G523">
        <v>7506482420</v>
      </c>
      <c r="H523" t="s">
        <v>169</v>
      </c>
      <c r="I523" t="s">
        <v>8158</v>
      </c>
      <c r="J523" t="s">
        <v>105</v>
      </c>
      <c r="K523" t="s">
        <v>8159</v>
      </c>
      <c r="L523" t="s">
        <v>8160</v>
      </c>
      <c r="M523" t="s">
        <v>8161</v>
      </c>
      <c r="N523" t="s">
        <v>113</v>
      </c>
      <c r="O523" t="s">
        <v>8162</v>
      </c>
      <c r="P523" t="s">
        <v>7145</v>
      </c>
      <c r="AI523" t="s">
        <v>8163</v>
      </c>
      <c r="AJ523" t="s">
        <v>8164</v>
      </c>
      <c r="AK523" t="s">
        <v>8165</v>
      </c>
      <c r="AL523">
        <v>86.66</v>
      </c>
      <c r="AN523">
        <v>2005</v>
      </c>
      <c r="AO523" t="s">
        <v>113</v>
      </c>
      <c r="AP523" t="s">
        <v>8166</v>
      </c>
      <c r="AQ523" t="s">
        <v>8167</v>
      </c>
      <c r="AR523" t="s">
        <v>8168</v>
      </c>
      <c r="AS523">
        <v>75.33</v>
      </c>
      <c r="AU523">
        <v>2007</v>
      </c>
      <c r="AV523" t="s">
        <v>109</v>
      </c>
      <c r="BC523" t="s">
        <v>113</v>
      </c>
      <c r="BD523" t="s">
        <v>1215</v>
      </c>
      <c r="BE523" t="s">
        <v>8169</v>
      </c>
      <c r="BF523" t="s">
        <v>1117</v>
      </c>
      <c r="BG523">
        <v>64.03</v>
      </c>
      <c r="BI523">
        <v>2012</v>
      </c>
      <c r="BJ523">
        <v>8</v>
      </c>
      <c r="BL523">
        <v>2</v>
      </c>
      <c r="BN523" t="s">
        <v>113</v>
      </c>
      <c r="BO523" t="s">
        <v>8170</v>
      </c>
      <c r="BP523" t="s">
        <v>8170</v>
      </c>
      <c r="BQ523" t="s">
        <v>8171</v>
      </c>
      <c r="BR523">
        <v>84.71</v>
      </c>
      <c r="BS523">
        <v>8.47</v>
      </c>
      <c r="BT523">
        <v>2015</v>
      </c>
      <c r="BU523">
        <v>24</v>
      </c>
      <c r="BW523">
        <v>35</v>
      </c>
      <c r="BY523" t="s">
        <v>109</v>
      </c>
      <c r="CF523" t="s">
        <v>113</v>
      </c>
      <c r="CG523" t="s">
        <v>8172</v>
      </c>
      <c r="CH523" t="s">
        <v>5038</v>
      </c>
      <c r="CI523" t="s">
        <v>132</v>
      </c>
      <c r="CJ523">
        <v>2022</v>
      </c>
      <c r="CL523" t="s">
        <v>109</v>
      </c>
      <c r="CN523" t="s">
        <v>113</v>
      </c>
      <c r="CO523" t="s">
        <v>8173</v>
      </c>
      <c r="CP523" t="s">
        <v>8174</v>
      </c>
      <c r="CQ523" t="s">
        <v>8175</v>
      </c>
      <c r="CR523" t="str">
        <f>HYPERLINK("https://nconnect.nicmar.ac.in/public/storage/profile/69a0098ba6640.png","Download")</f>
        <v>0</v>
      </c>
      <c r="CS523" t="str">
        <f>HYPERLINK("https://nconnect.nicmar.ac.in/pdf/658_resume_1772096956.pdf/Y2FyZWVy","View Resume")</f>
        <v>0</v>
      </c>
    </row>
    <row r="524" spans="1:97">
      <c r="A524" t="s">
        <v>3528</v>
      </c>
      <c r="B524" t="s">
        <v>318</v>
      </c>
      <c r="C524" t="s">
        <v>99</v>
      </c>
      <c r="D524" t="s">
        <v>3529</v>
      </c>
      <c r="E524" t="s">
        <v>8156</v>
      </c>
      <c r="F524" t="s">
        <v>8157</v>
      </c>
      <c r="G524">
        <v>7506482420</v>
      </c>
      <c r="H524" t="s">
        <v>169</v>
      </c>
      <c r="I524" t="s">
        <v>8158</v>
      </c>
      <c r="J524" t="s">
        <v>105</v>
      </c>
      <c r="K524" t="s">
        <v>8159</v>
      </c>
      <c r="L524" t="s">
        <v>8160</v>
      </c>
      <c r="M524" t="s">
        <v>8161</v>
      </c>
      <c r="N524" t="s">
        <v>113</v>
      </c>
      <c r="O524" t="s">
        <v>8162</v>
      </c>
      <c r="P524" t="s">
        <v>7145</v>
      </c>
      <c r="AI524" t="s">
        <v>8163</v>
      </c>
      <c r="AJ524" t="s">
        <v>8164</v>
      </c>
      <c r="AK524" t="s">
        <v>8165</v>
      </c>
      <c r="AL524">
        <v>86.66</v>
      </c>
      <c r="AN524">
        <v>2005</v>
      </c>
      <c r="AO524" t="s">
        <v>113</v>
      </c>
      <c r="AP524" t="s">
        <v>8166</v>
      </c>
      <c r="AQ524" t="s">
        <v>8167</v>
      </c>
      <c r="AR524" t="s">
        <v>8168</v>
      </c>
      <c r="AS524">
        <v>75.33</v>
      </c>
      <c r="AU524">
        <v>2007</v>
      </c>
      <c r="AV524" t="s">
        <v>109</v>
      </c>
      <c r="BC524" t="s">
        <v>113</v>
      </c>
      <c r="BD524" t="s">
        <v>1215</v>
      </c>
      <c r="BE524" t="s">
        <v>8169</v>
      </c>
      <c r="BF524" t="s">
        <v>1117</v>
      </c>
      <c r="BG524">
        <v>64.03</v>
      </c>
      <c r="BI524">
        <v>2012</v>
      </c>
      <c r="BJ524">
        <v>8</v>
      </c>
      <c r="BL524">
        <v>2</v>
      </c>
      <c r="BN524" t="s">
        <v>113</v>
      </c>
      <c r="BO524" t="s">
        <v>8170</v>
      </c>
      <c r="BP524" t="s">
        <v>8170</v>
      </c>
      <c r="BQ524" t="s">
        <v>8171</v>
      </c>
      <c r="BR524">
        <v>84.71</v>
      </c>
      <c r="BS524">
        <v>8.47</v>
      </c>
      <c r="BT524">
        <v>2015</v>
      </c>
      <c r="BU524">
        <v>24</v>
      </c>
      <c r="BW524">
        <v>35</v>
      </c>
      <c r="BY524" t="s">
        <v>109</v>
      </c>
      <c r="CF524" t="s">
        <v>113</v>
      </c>
      <c r="CG524" t="s">
        <v>8172</v>
      </c>
      <c r="CH524" t="s">
        <v>5038</v>
      </c>
      <c r="CI524" t="s">
        <v>132</v>
      </c>
      <c r="CJ524">
        <v>2022</v>
      </c>
      <c r="CL524" t="s">
        <v>109</v>
      </c>
      <c r="CN524" t="s">
        <v>113</v>
      </c>
      <c r="CO524" t="s">
        <v>8173</v>
      </c>
      <c r="CP524" t="s">
        <v>8174</v>
      </c>
      <c r="CQ524" t="s">
        <v>8176</v>
      </c>
      <c r="CR524" t="str">
        <f>HYPERLINK("https://nconnect.nicmar.ac.in/public/storage/profile/69a0098ba6640.png","Download")</f>
        <v>0</v>
      </c>
      <c r="CS524" t="str">
        <f>HYPERLINK("https://nconnect.nicmar.ac.in/pdf/658_resume_1772096956.pdf/Y2FyZWVy","View Resume")</f>
        <v>0</v>
      </c>
    </row>
    <row r="525" spans="1:97">
      <c r="A525" t="s">
        <v>1624</v>
      </c>
      <c r="B525" t="s">
        <v>318</v>
      </c>
      <c r="C525" t="s">
        <v>99</v>
      </c>
      <c r="D525" t="s">
        <v>1625</v>
      </c>
      <c r="E525" t="s">
        <v>8177</v>
      </c>
      <c r="F525" t="s">
        <v>8178</v>
      </c>
      <c r="G525">
        <v>9036882777</v>
      </c>
      <c r="H525" t="s">
        <v>103</v>
      </c>
      <c r="I525" t="s">
        <v>8179</v>
      </c>
      <c r="J525" t="s">
        <v>105</v>
      </c>
      <c r="K525" t="s">
        <v>8180</v>
      </c>
      <c r="L525" t="s">
        <v>8181</v>
      </c>
      <c r="M525" t="s">
        <v>8182</v>
      </c>
      <c r="N525" t="s">
        <v>109</v>
      </c>
      <c r="AI525" t="s">
        <v>8183</v>
      </c>
      <c r="AJ525" t="s">
        <v>8184</v>
      </c>
      <c r="AK525" t="s">
        <v>8185</v>
      </c>
      <c r="AL525">
        <v>70.08</v>
      </c>
      <c r="AN525">
        <v>2000</v>
      </c>
      <c r="AO525" t="s">
        <v>113</v>
      </c>
      <c r="AP525" t="s">
        <v>8186</v>
      </c>
      <c r="AQ525" t="s">
        <v>8187</v>
      </c>
      <c r="AR525" t="s">
        <v>8188</v>
      </c>
      <c r="AS525">
        <v>65.83</v>
      </c>
      <c r="AU525">
        <v>2002</v>
      </c>
      <c r="AV525" t="s">
        <v>113</v>
      </c>
      <c r="AW525" t="s">
        <v>8189</v>
      </c>
      <c r="AX525" t="s">
        <v>8190</v>
      </c>
      <c r="AY525" t="s">
        <v>8191</v>
      </c>
      <c r="AZ525">
        <v>84.26</v>
      </c>
      <c r="BA525">
        <v>8.87</v>
      </c>
      <c r="BB525">
        <v>2012</v>
      </c>
      <c r="BC525" t="s">
        <v>113</v>
      </c>
      <c r="BD525" t="s">
        <v>8192</v>
      </c>
      <c r="BE525" t="s">
        <v>8193</v>
      </c>
      <c r="BF525" t="s">
        <v>8194</v>
      </c>
      <c r="BG525">
        <v>74.82</v>
      </c>
      <c r="BI525">
        <v>2007</v>
      </c>
      <c r="BJ525">
        <v>8</v>
      </c>
      <c r="BL525">
        <v>2</v>
      </c>
      <c r="BN525" t="s">
        <v>113</v>
      </c>
      <c r="BO525" t="s">
        <v>8195</v>
      </c>
      <c r="BP525" t="s">
        <v>8196</v>
      </c>
      <c r="BQ525" t="s">
        <v>8197</v>
      </c>
      <c r="BR525">
        <v>80.12</v>
      </c>
      <c r="BT525">
        <v>2021</v>
      </c>
      <c r="BU525">
        <v>27</v>
      </c>
      <c r="BW525">
        <v>13</v>
      </c>
      <c r="BY525" t="s">
        <v>109</v>
      </c>
      <c r="CF525" t="s">
        <v>109</v>
      </c>
      <c r="CL525" t="s">
        <v>113</v>
      </c>
      <c r="CM525" t="s">
        <v>8198</v>
      </c>
      <c r="CN525" t="s">
        <v>113</v>
      </c>
      <c r="CO525" t="s">
        <v>8199</v>
      </c>
      <c r="CP525" t="s">
        <v>8200</v>
      </c>
      <c r="CQ525" t="s">
        <v>8201</v>
      </c>
      <c r="CR525" t="str">
        <f>HYPERLINK("https://nconnect.nicmar.ac.in/public/storage/profile/699e7cf06ad94.png","Download")</f>
        <v>0</v>
      </c>
      <c r="CS525" t="str">
        <f>HYPERLINK("https://nconnect.nicmar.ac.in/pdf/46_resume_1772080739.pdf/Y2FyZWVy","View Resume")</f>
        <v>0</v>
      </c>
    </row>
    <row r="526" spans="1:97">
      <c r="A526" t="s">
        <v>164</v>
      </c>
      <c r="B526" t="s">
        <v>138</v>
      </c>
      <c r="C526" t="s">
        <v>165</v>
      </c>
      <c r="D526" t="s">
        <v>166</v>
      </c>
      <c r="E526" t="s">
        <v>8202</v>
      </c>
      <c r="F526" t="s">
        <v>8203</v>
      </c>
      <c r="G526">
        <v>9175899766</v>
      </c>
      <c r="H526" t="s">
        <v>103</v>
      </c>
      <c r="I526" t="s">
        <v>8204</v>
      </c>
      <c r="J526" t="s">
        <v>105</v>
      </c>
      <c r="K526" t="s">
        <v>617</v>
      </c>
      <c r="L526" t="s">
        <v>8205</v>
      </c>
      <c r="M526" t="s">
        <v>8206</v>
      </c>
      <c r="N526" t="s">
        <v>113</v>
      </c>
      <c r="O526" t="s">
        <v>8207</v>
      </c>
      <c r="P526" t="s">
        <v>295</v>
      </c>
      <c r="AI526" t="s">
        <v>8208</v>
      </c>
      <c r="AJ526" t="s">
        <v>8209</v>
      </c>
      <c r="AK526" t="s">
        <v>8210</v>
      </c>
      <c r="AL526">
        <v>78.66</v>
      </c>
      <c r="AN526">
        <v>2004</v>
      </c>
      <c r="AO526" t="s">
        <v>113</v>
      </c>
      <c r="AP526" t="s">
        <v>8211</v>
      </c>
      <c r="AQ526" t="s">
        <v>8212</v>
      </c>
      <c r="AR526" t="s">
        <v>4640</v>
      </c>
      <c r="AS526">
        <v>69.83</v>
      </c>
      <c r="AU526">
        <v>2006</v>
      </c>
      <c r="AV526" t="s">
        <v>109</v>
      </c>
      <c r="BC526" t="s">
        <v>113</v>
      </c>
      <c r="BD526" t="s">
        <v>356</v>
      </c>
      <c r="BE526" t="s">
        <v>8213</v>
      </c>
      <c r="BF526" t="s">
        <v>1047</v>
      </c>
      <c r="BG526">
        <v>75.64</v>
      </c>
      <c r="BI526">
        <v>2010</v>
      </c>
      <c r="BJ526">
        <v>19</v>
      </c>
      <c r="BK526" t="s">
        <v>8214</v>
      </c>
      <c r="BL526">
        <v>34</v>
      </c>
      <c r="BN526" t="s">
        <v>113</v>
      </c>
      <c r="BO526" t="s">
        <v>356</v>
      </c>
      <c r="BP526" t="s">
        <v>8213</v>
      </c>
      <c r="BQ526" t="s">
        <v>8215</v>
      </c>
      <c r="BR526">
        <v>71.09</v>
      </c>
      <c r="BT526">
        <v>2013</v>
      </c>
      <c r="BU526">
        <v>31</v>
      </c>
      <c r="BV526" t="s">
        <v>8216</v>
      </c>
      <c r="BW526">
        <v>34</v>
      </c>
      <c r="BY526" t="s">
        <v>113</v>
      </c>
      <c r="BZ526" t="s">
        <v>8217</v>
      </c>
      <c r="CA526" t="s">
        <v>8218</v>
      </c>
      <c r="CB526" t="s">
        <v>8219</v>
      </c>
      <c r="CC526">
        <v>1</v>
      </c>
      <c r="CE526">
        <v>2020</v>
      </c>
      <c r="CF526" t="s">
        <v>113</v>
      </c>
      <c r="CG526" t="s">
        <v>8220</v>
      </c>
      <c r="CH526" t="s">
        <v>8221</v>
      </c>
      <c r="CI526" t="s">
        <v>132</v>
      </c>
      <c r="CJ526">
        <v>2018</v>
      </c>
      <c r="CL526" t="s">
        <v>113</v>
      </c>
      <c r="CN526" t="s">
        <v>109</v>
      </c>
      <c r="CP526" t="s">
        <v>8222</v>
      </c>
      <c r="CQ526" t="s">
        <v>8223</v>
      </c>
      <c r="CR526" t="str">
        <f>HYPERLINK("https://nconnect.nicmar.ac.in/public/storage/profile/69a003c8c57d8.png","Download")</f>
        <v>0</v>
      </c>
      <c r="CS526" t="str">
        <f>HYPERLINK("https://nconnect.nicmar.ac.in/pdf/709_resume_1772097212.pdf/Y2FyZWVy","View Resume")</f>
        <v>0</v>
      </c>
    </row>
    <row r="527" spans="1:97">
      <c r="A527" t="s">
        <v>1183</v>
      </c>
      <c r="B527" t="s">
        <v>318</v>
      </c>
      <c r="C527" t="s">
        <v>99</v>
      </c>
      <c r="D527" t="s">
        <v>1184</v>
      </c>
      <c r="E527" t="s">
        <v>8224</v>
      </c>
      <c r="F527" t="s">
        <v>8225</v>
      </c>
      <c r="G527">
        <v>9637173856</v>
      </c>
      <c r="H527" t="s">
        <v>103</v>
      </c>
      <c r="I527" t="s">
        <v>8226</v>
      </c>
      <c r="J527" t="s">
        <v>105</v>
      </c>
      <c r="K527" t="s">
        <v>526</v>
      </c>
      <c r="L527" t="s">
        <v>8227</v>
      </c>
      <c r="M527" t="s">
        <v>8228</v>
      </c>
      <c r="N527" t="s">
        <v>109</v>
      </c>
      <c r="AI527" t="s">
        <v>8229</v>
      </c>
      <c r="AJ527" t="s">
        <v>8230</v>
      </c>
      <c r="AK527" t="s">
        <v>8231</v>
      </c>
      <c r="AL527">
        <v>62</v>
      </c>
      <c r="AN527">
        <v>2002</v>
      </c>
      <c r="AO527" t="s">
        <v>113</v>
      </c>
      <c r="AP527" t="s">
        <v>8232</v>
      </c>
      <c r="AQ527" t="s">
        <v>8230</v>
      </c>
      <c r="AR527" t="s">
        <v>8233</v>
      </c>
      <c r="AS527">
        <v>66</v>
      </c>
      <c r="AU527">
        <v>2004</v>
      </c>
      <c r="AV527" t="s">
        <v>109</v>
      </c>
      <c r="BC527" t="s">
        <v>113</v>
      </c>
      <c r="BD527" t="s">
        <v>8234</v>
      </c>
      <c r="BE527" t="s">
        <v>8235</v>
      </c>
      <c r="BF527" t="s">
        <v>8236</v>
      </c>
      <c r="BG527">
        <v>65</v>
      </c>
      <c r="BI527">
        <v>2008</v>
      </c>
      <c r="BJ527">
        <v>2</v>
      </c>
      <c r="BL527">
        <v>9</v>
      </c>
      <c r="BN527" t="s">
        <v>113</v>
      </c>
      <c r="BO527" t="s">
        <v>8237</v>
      </c>
      <c r="BP527" t="s">
        <v>8238</v>
      </c>
      <c r="BQ527" t="s">
        <v>8239</v>
      </c>
      <c r="BR527">
        <v>65.09</v>
      </c>
      <c r="BS527">
        <v>7.09</v>
      </c>
      <c r="BT527">
        <v>2010</v>
      </c>
      <c r="BU527">
        <v>15</v>
      </c>
      <c r="BW527">
        <v>21</v>
      </c>
      <c r="BY527" t="s">
        <v>109</v>
      </c>
      <c r="CF527" t="s">
        <v>113</v>
      </c>
      <c r="CG527" t="s">
        <v>354</v>
      </c>
      <c r="CH527" t="s">
        <v>8240</v>
      </c>
      <c r="CI527" t="s">
        <v>132</v>
      </c>
      <c r="CJ527">
        <v>2021</v>
      </c>
      <c r="CL527" t="s">
        <v>109</v>
      </c>
      <c r="CN527" t="s">
        <v>109</v>
      </c>
      <c r="CP527" t="s">
        <v>8241</v>
      </c>
      <c r="CQ527" t="s">
        <v>8242</v>
      </c>
      <c r="CR527" t="str">
        <f>HYPERLINK("https://nconnect.nicmar.ac.in/public/storage/profile/69a003fee5d53.png","Download")</f>
        <v>0</v>
      </c>
      <c r="CS527" t="str">
        <f>HYPERLINK("https://nconnect.nicmar.ac.in/pdf/708_resume_1772097029.pdf/Y2FyZWVy","View Resume")</f>
        <v>0</v>
      </c>
    </row>
    <row r="528" spans="1:97">
      <c r="A528" t="s">
        <v>1116</v>
      </c>
      <c r="B528" t="s">
        <v>98</v>
      </c>
      <c r="C528" t="s">
        <v>99</v>
      </c>
      <c r="D528" t="s">
        <v>1117</v>
      </c>
      <c r="E528" t="s">
        <v>8156</v>
      </c>
      <c r="F528" t="s">
        <v>8157</v>
      </c>
      <c r="G528">
        <v>7506482420</v>
      </c>
      <c r="H528" t="s">
        <v>169</v>
      </c>
      <c r="I528" t="s">
        <v>8158</v>
      </c>
      <c r="J528" t="s">
        <v>105</v>
      </c>
      <c r="K528" t="s">
        <v>8159</v>
      </c>
      <c r="L528" t="s">
        <v>8160</v>
      </c>
      <c r="M528" t="s">
        <v>8161</v>
      </c>
      <c r="N528" t="s">
        <v>113</v>
      </c>
      <c r="O528" t="s">
        <v>8162</v>
      </c>
      <c r="P528" t="s">
        <v>7145</v>
      </c>
      <c r="AI528" t="s">
        <v>8163</v>
      </c>
      <c r="AJ528" t="s">
        <v>8164</v>
      </c>
      <c r="AK528" t="s">
        <v>8165</v>
      </c>
      <c r="AL528">
        <v>86.66</v>
      </c>
      <c r="AN528">
        <v>2005</v>
      </c>
      <c r="AO528" t="s">
        <v>113</v>
      </c>
      <c r="AP528" t="s">
        <v>8166</v>
      </c>
      <c r="AQ528" t="s">
        <v>8167</v>
      </c>
      <c r="AR528" t="s">
        <v>8168</v>
      </c>
      <c r="AS528">
        <v>75.33</v>
      </c>
      <c r="AU528">
        <v>2007</v>
      </c>
      <c r="AV528" t="s">
        <v>109</v>
      </c>
      <c r="BC528" t="s">
        <v>113</v>
      </c>
      <c r="BD528" t="s">
        <v>1215</v>
      </c>
      <c r="BE528" t="s">
        <v>8169</v>
      </c>
      <c r="BF528" t="s">
        <v>1117</v>
      </c>
      <c r="BG528">
        <v>64.03</v>
      </c>
      <c r="BI528">
        <v>2012</v>
      </c>
      <c r="BJ528">
        <v>8</v>
      </c>
      <c r="BL528">
        <v>2</v>
      </c>
      <c r="BN528" t="s">
        <v>113</v>
      </c>
      <c r="BO528" t="s">
        <v>8170</v>
      </c>
      <c r="BP528" t="s">
        <v>8170</v>
      </c>
      <c r="BQ528" t="s">
        <v>8171</v>
      </c>
      <c r="BR528">
        <v>84.71</v>
      </c>
      <c r="BS528">
        <v>8.47</v>
      </c>
      <c r="BT528">
        <v>2015</v>
      </c>
      <c r="BU528">
        <v>24</v>
      </c>
      <c r="BW528">
        <v>35</v>
      </c>
      <c r="BY528" t="s">
        <v>109</v>
      </c>
      <c r="CF528" t="s">
        <v>113</v>
      </c>
      <c r="CG528" t="s">
        <v>8172</v>
      </c>
      <c r="CH528" t="s">
        <v>5038</v>
      </c>
      <c r="CI528" t="s">
        <v>132</v>
      </c>
      <c r="CJ528">
        <v>2022</v>
      </c>
      <c r="CL528" t="s">
        <v>109</v>
      </c>
      <c r="CN528" t="s">
        <v>113</v>
      </c>
      <c r="CO528" t="s">
        <v>8173</v>
      </c>
      <c r="CP528" t="s">
        <v>8174</v>
      </c>
      <c r="CQ528" t="s">
        <v>8242</v>
      </c>
      <c r="CR528" t="str">
        <f>HYPERLINK("https://nconnect.nicmar.ac.in/public/storage/profile/69a0098ba6640.png","Download")</f>
        <v>0</v>
      </c>
      <c r="CS528" t="str">
        <f>HYPERLINK("https://nconnect.nicmar.ac.in/pdf/658_resume_1772096956.pdf/Y2FyZWVy","View Resume")</f>
        <v>0</v>
      </c>
    </row>
    <row r="529" spans="1:97">
      <c r="A529" t="s">
        <v>137</v>
      </c>
      <c r="B529" t="s">
        <v>138</v>
      </c>
      <c r="C529" t="s">
        <v>139</v>
      </c>
      <c r="D529" t="s">
        <v>140</v>
      </c>
      <c r="E529" t="s">
        <v>8243</v>
      </c>
      <c r="F529" t="s">
        <v>8244</v>
      </c>
      <c r="G529">
        <v>7086867793</v>
      </c>
      <c r="H529" t="s">
        <v>103</v>
      </c>
      <c r="I529" t="s">
        <v>8245</v>
      </c>
      <c r="J529" t="s">
        <v>105</v>
      </c>
      <c r="K529" t="s">
        <v>8246</v>
      </c>
      <c r="L529" t="s">
        <v>8247</v>
      </c>
      <c r="M529" t="s">
        <v>8248</v>
      </c>
      <c r="N529" t="s">
        <v>109</v>
      </c>
      <c r="AI529" t="s">
        <v>8249</v>
      </c>
      <c r="AJ529" t="s">
        <v>4636</v>
      </c>
      <c r="AK529" t="s">
        <v>8250</v>
      </c>
      <c r="AL529">
        <v>72</v>
      </c>
      <c r="AN529">
        <v>2005</v>
      </c>
      <c r="AO529" t="s">
        <v>113</v>
      </c>
      <c r="AP529" t="s">
        <v>8251</v>
      </c>
      <c r="AQ529" t="s">
        <v>4639</v>
      </c>
      <c r="AR529" t="s">
        <v>277</v>
      </c>
      <c r="AS529">
        <v>49.5</v>
      </c>
      <c r="AU529">
        <v>2007</v>
      </c>
      <c r="AV529" t="s">
        <v>109</v>
      </c>
      <c r="BC529" t="s">
        <v>113</v>
      </c>
      <c r="BD529" t="s">
        <v>8252</v>
      </c>
      <c r="BE529" t="s">
        <v>8253</v>
      </c>
      <c r="BF529" t="s">
        <v>309</v>
      </c>
      <c r="BG529">
        <v>71.8</v>
      </c>
      <c r="BH529">
        <v>7.18</v>
      </c>
      <c r="BI529">
        <v>2011</v>
      </c>
      <c r="BJ529">
        <v>1</v>
      </c>
      <c r="BL529">
        <v>9</v>
      </c>
      <c r="BN529" t="s">
        <v>113</v>
      </c>
      <c r="BO529" t="s">
        <v>8254</v>
      </c>
      <c r="BP529" t="s">
        <v>8255</v>
      </c>
      <c r="BQ529" t="s">
        <v>140</v>
      </c>
      <c r="BR529">
        <v>90</v>
      </c>
      <c r="BS529">
        <v>9.01</v>
      </c>
      <c r="BT529">
        <v>2015</v>
      </c>
      <c r="BU529">
        <v>14</v>
      </c>
      <c r="BW529">
        <v>7</v>
      </c>
      <c r="BY529" t="s">
        <v>109</v>
      </c>
      <c r="CF529" t="s">
        <v>113</v>
      </c>
      <c r="CG529" t="s">
        <v>8256</v>
      </c>
      <c r="CH529" t="s">
        <v>8257</v>
      </c>
      <c r="CI529" t="s">
        <v>132</v>
      </c>
      <c r="CJ529">
        <v>2023</v>
      </c>
      <c r="CL529" t="s">
        <v>109</v>
      </c>
      <c r="CN529" t="s">
        <v>109</v>
      </c>
      <c r="CP529" t="s">
        <v>8258</v>
      </c>
      <c r="CQ529" t="s">
        <v>8259</v>
      </c>
      <c r="CR529" t="str">
        <f>HYPERLINK("https://nconnect.nicmar.ac.in/public/storage/profile/699fd76630415.png","Download")</f>
        <v>0</v>
      </c>
      <c r="CS529" t="str">
        <f>HYPERLINK("https://nconnect.nicmar.ac.in/pdf/696_resume_1772098231.pdf/Y2FyZWVy","View Resume")</f>
        <v>0</v>
      </c>
    </row>
    <row r="530" spans="1:97">
      <c r="A530" t="s">
        <v>1183</v>
      </c>
      <c r="B530" t="s">
        <v>318</v>
      </c>
      <c r="C530" t="s">
        <v>99</v>
      </c>
      <c r="D530" t="s">
        <v>1184</v>
      </c>
      <c r="E530" t="s">
        <v>8260</v>
      </c>
      <c r="F530" t="s">
        <v>8261</v>
      </c>
      <c r="G530">
        <v>9881866047</v>
      </c>
      <c r="H530" t="s">
        <v>103</v>
      </c>
      <c r="I530" t="s">
        <v>8262</v>
      </c>
      <c r="J530" t="s">
        <v>105</v>
      </c>
      <c r="K530" t="s">
        <v>1536</v>
      </c>
      <c r="L530" t="s">
        <v>8263</v>
      </c>
      <c r="M530" t="s">
        <v>8264</v>
      </c>
      <c r="N530" t="s">
        <v>109</v>
      </c>
      <c r="AI530" t="s">
        <v>8265</v>
      </c>
      <c r="AJ530" t="s">
        <v>8266</v>
      </c>
      <c r="AK530" t="s">
        <v>3327</v>
      </c>
      <c r="AL530">
        <v>74.26</v>
      </c>
      <c r="AN530">
        <v>2004</v>
      </c>
      <c r="AO530" t="s">
        <v>113</v>
      </c>
      <c r="AP530" t="s">
        <v>8265</v>
      </c>
      <c r="AQ530" t="s">
        <v>352</v>
      </c>
      <c r="AR530" t="s">
        <v>277</v>
      </c>
      <c r="AS530">
        <v>63.22</v>
      </c>
      <c r="AU530">
        <v>2006</v>
      </c>
      <c r="AV530" t="s">
        <v>109</v>
      </c>
      <c r="BC530" t="s">
        <v>113</v>
      </c>
      <c r="BD530" t="s">
        <v>3093</v>
      </c>
      <c r="BE530" t="s">
        <v>8267</v>
      </c>
      <c r="BF530" t="s">
        <v>1117</v>
      </c>
      <c r="BG530">
        <v>57</v>
      </c>
      <c r="BI530">
        <v>2011</v>
      </c>
      <c r="BJ530">
        <v>8</v>
      </c>
      <c r="BL530">
        <v>2</v>
      </c>
      <c r="BN530" t="s">
        <v>113</v>
      </c>
      <c r="BO530" t="s">
        <v>8268</v>
      </c>
      <c r="BP530" t="s">
        <v>8269</v>
      </c>
      <c r="BQ530" t="s">
        <v>5424</v>
      </c>
      <c r="BR530">
        <v>61</v>
      </c>
      <c r="BT530">
        <v>2015</v>
      </c>
      <c r="BU530">
        <v>31</v>
      </c>
      <c r="BV530" t="s">
        <v>5424</v>
      </c>
      <c r="BW530">
        <v>2</v>
      </c>
      <c r="BY530" t="s">
        <v>109</v>
      </c>
      <c r="CF530" t="s">
        <v>113</v>
      </c>
      <c r="CG530" t="s">
        <v>8270</v>
      </c>
      <c r="CH530" t="s">
        <v>8271</v>
      </c>
      <c r="CI530" t="s">
        <v>132</v>
      </c>
      <c r="CJ530">
        <v>2023</v>
      </c>
      <c r="CL530" t="s">
        <v>109</v>
      </c>
      <c r="CN530" t="s">
        <v>109</v>
      </c>
      <c r="CP530" t="s">
        <v>8272</v>
      </c>
      <c r="CQ530" t="s">
        <v>8273</v>
      </c>
      <c r="CR530" t="str">
        <f>HYPERLINK("https://nconnect.nicmar.ac.in/public/storage/profile/69a00b3643f0a.png","Download")</f>
        <v>0</v>
      </c>
      <c r="CS530" t="str">
        <f>HYPERLINK("https://nconnect.nicmar.ac.in/pdf/712_resume_1772098782.pdf/Y2FyZWVy","View Resume")</f>
        <v>0</v>
      </c>
    </row>
    <row r="531" spans="1:97">
      <c r="A531" t="s">
        <v>1116</v>
      </c>
      <c r="B531" t="s">
        <v>98</v>
      </c>
      <c r="C531" t="s">
        <v>99</v>
      </c>
      <c r="D531" t="s">
        <v>1117</v>
      </c>
      <c r="E531" t="s">
        <v>8274</v>
      </c>
      <c r="F531" t="s">
        <v>8275</v>
      </c>
      <c r="G531">
        <v>9822732863</v>
      </c>
      <c r="H531" t="s">
        <v>169</v>
      </c>
      <c r="I531" t="s">
        <v>8276</v>
      </c>
      <c r="J531" t="s">
        <v>105</v>
      </c>
      <c r="K531" t="s">
        <v>8277</v>
      </c>
      <c r="L531" t="s">
        <v>8278</v>
      </c>
      <c r="M531" t="s">
        <v>8279</v>
      </c>
      <c r="N531" t="s">
        <v>109</v>
      </c>
      <c r="AI531" t="s">
        <v>8280</v>
      </c>
      <c r="AJ531" t="s">
        <v>8281</v>
      </c>
      <c r="AK531" t="s">
        <v>8282</v>
      </c>
      <c r="AL531">
        <v>76</v>
      </c>
      <c r="AN531">
        <v>1989</v>
      </c>
      <c r="AO531" t="s">
        <v>113</v>
      </c>
      <c r="AP531" t="s">
        <v>8283</v>
      </c>
      <c r="AQ531" t="s">
        <v>8284</v>
      </c>
      <c r="AR531" t="s">
        <v>8285</v>
      </c>
      <c r="AS531">
        <v>65</v>
      </c>
      <c r="AU531">
        <v>1990</v>
      </c>
      <c r="AV531" t="s">
        <v>113</v>
      </c>
      <c r="AW531" t="s">
        <v>8286</v>
      </c>
      <c r="AX531" t="s">
        <v>8287</v>
      </c>
      <c r="AY531" t="s">
        <v>8288</v>
      </c>
      <c r="AZ531">
        <v>68</v>
      </c>
      <c r="BB531">
        <v>2003</v>
      </c>
      <c r="BC531" t="s">
        <v>113</v>
      </c>
      <c r="BD531" t="s">
        <v>8289</v>
      </c>
      <c r="BE531" t="s">
        <v>8290</v>
      </c>
      <c r="BF531" t="s">
        <v>8291</v>
      </c>
      <c r="BG531">
        <v>59</v>
      </c>
      <c r="BI531">
        <v>1996</v>
      </c>
      <c r="BJ531">
        <v>8</v>
      </c>
      <c r="BL531">
        <v>2</v>
      </c>
      <c r="BN531" t="s">
        <v>113</v>
      </c>
      <c r="BO531" t="s">
        <v>8292</v>
      </c>
      <c r="BP531" t="s">
        <v>7243</v>
      </c>
      <c r="BQ531" t="s">
        <v>8293</v>
      </c>
      <c r="BR531">
        <v>67</v>
      </c>
      <c r="BT531">
        <v>2013</v>
      </c>
      <c r="BU531">
        <v>27</v>
      </c>
      <c r="BW531">
        <v>2</v>
      </c>
      <c r="BY531" t="s">
        <v>109</v>
      </c>
      <c r="CF531" t="s">
        <v>113</v>
      </c>
      <c r="CG531" t="s">
        <v>8294</v>
      </c>
      <c r="CH531" t="s">
        <v>8295</v>
      </c>
      <c r="CI531" t="s">
        <v>240</v>
      </c>
      <c r="CK531" t="s">
        <v>109</v>
      </c>
      <c r="CL531" t="s">
        <v>109</v>
      </c>
      <c r="CN531" t="s">
        <v>113</v>
      </c>
      <c r="CO531" t="s">
        <v>8296</v>
      </c>
      <c r="CP531" t="s">
        <v>8297</v>
      </c>
      <c r="CQ531" t="s">
        <v>8298</v>
      </c>
      <c r="CR531" t="s">
        <v>136</v>
      </c>
      <c r="CS531" t="str">
        <f>HYPERLINK("https://nconnect.nicmar.ac.in/pdf/711_resume_1772103393.pdf/Y2FyZWVy","View Resume")</f>
        <v>0</v>
      </c>
    </row>
    <row r="532" spans="1:97">
      <c r="A532" t="s">
        <v>367</v>
      </c>
      <c r="B532" t="s">
        <v>138</v>
      </c>
      <c r="C532" t="s">
        <v>295</v>
      </c>
      <c r="D532" t="s">
        <v>368</v>
      </c>
      <c r="E532" t="s">
        <v>8299</v>
      </c>
      <c r="F532" t="s">
        <v>8300</v>
      </c>
      <c r="G532">
        <v>7560816979</v>
      </c>
      <c r="H532" t="s">
        <v>103</v>
      </c>
      <c r="I532" t="s">
        <v>2456</v>
      </c>
      <c r="J532" t="s">
        <v>144</v>
      </c>
      <c r="K532" t="s">
        <v>8301</v>
      </c>
      <c r="L532" t="s">
        <v>8302</v>
      </c>
      <c r="M532" t="s">
        <v>8303</v>
      </c>
      <c r="N532" t="s">
        <v>109</v>
      </c>
      <c r="AI532" t="s">
        <v>8304</v>
      </c>
      <c r="AJ532" t="s">
        <v>8305</v>
      </c>
      <c r="AK532" t="s">
        <v>8306</v>
      </c>
      <c r="AL532">
        <v>100</v>
      </c>
      <c r="AM532">
        <v>10</v>
      </c>
      <c r="AN532">
        <v>2012</v>
      </c>
      <c r="AO532" t="s">
        <v>113</v>
      </c>
      <c r="AP532" t="s">
        <v>8307</v>
      </c>
      <c r="AQ532" t="s">
        <v>8308</v>
      </c>
      <c r="AR532" t="s">
        <v>8309</v>
      </c>
      <c r="AS532">
        <v>92</v>
      </c>
      <c r="AU532">
        <v>2014</v>
      </c>
      <c r="AV532" t="s">
        <v>109</v>
      </c>
      <c r="BC532" t="s">
        <v>113</v>
      </c>
      <c r="BD532" t="s">
        <v>8310</v>
      </c>
      <c r="BE532" t="s">
        <v>8311</v>
      </c>
      <c r="BF532" t="s">
        <v>8312</v>
      </c>
      <c r="BG532">
        <v>67.4</v>
      </c>
      <c r="BH532">
        <v>6.74</v>
      </c>
      <c r="BI532">
        <v>2019</v>
      </c>
      <c r="BJ532">
        <v>8</v>
      </c>
      <c r="BL532">
        <v>2</v>
      </c>
      <c r="BN532" t="s">
        <v>113</v>
      </c>
      <c r="BO532" t="s">
        <v>7496</v>
      </c>
      <c r="BP532" t="s">
        <v>8313</v>
      </c>
      <c r="BQ532" t="s">
        <v>8314</v>
      </c>
      <c r="BR532">
        <v>95.1</v>
      </c>
      <c r="BS532">
        <v>9.51</v>
      </c>
      <c r="BT532">
        <v>2021</v>
      </c>
      <c r="BU532">
        <v>31</v>
      </c>
      <c r="BV532" t="s">
        <v>8315</v>
      </c>
      <c r="BW532">
        <v>53</v>
      </c>
      <c r="BX532" t="s">
        <v>8316</v>
      </c>
      <c r="BY532" t="s">
        <v>109</v>
      </c>
      <c r="CF532" t="s">
        <v>113</v>
      </c>
      <c r="CG532" t="s">
        <v>8317</v>
      </c>
      <c r="CH532" t="s">
        <v>2791</v>
      </c>
      <c r="CI532" t="s">
        <v>240</v>
      </c>
      <c r="CK532" t="s">
        <v>109</v>
      </c>
      <c r="CL532" t="s">
        <v>113</v>
      </c>
      <c r="CM532" t="s">
        <v>8318</v>
      </c>
      <c r="CN532" t="s">
        <v>113</v>
      </c>
      <c r="CO532" t="s">
        <v>8319</v>
      </c>
      <c r="CP532" t="s">
        <v>8320</v>
      </c>
      <c r="CQ532" t="s">
        <v>8321</v>
      </c>
      <c r="CR532" t="str">
        <f>HYPERLINK("https://nconnect.nicmar.ac.in/public/storage/profile/699d936202e2a.png","Download")</f>
        <v>0</v>
      </c>
      <c r="CS532" t="str">
        <f>HYPERLINK("https://nconnect.nicmar.ac.in/pdf/588_resume_1772100517.pdf/Y2FyZWVy","View Resume")</f>
        <v>0</v>
      </c>
    </row>
    <row r="533" spans="1:97">
      <c r="A533" t="s">
        <v>367</v>
      </c>
      <c r="B533" t="s">
        <v>138</v>
      </c>
      <c r="C533" t="s">
        <v>295</v>
      </c>
      <c r="D533" t="s">
        <v>368</v>
      </c>
      <c r="E533" t="s">
        <v>8322</v>
      </c>
      <c r="F533" t="s">
        <v>8323</v>
      </c>
      <c r="G533">
        <v>9039987199</v>
      </c>
      <c r="H533" t="s">
        <v>103</v>
      </c>
      <c r="I533" t="s">
        <v>8324</v>
      </c>
      <c r="J533" t="s">
        <v>144</v>
      </c>
      <c r="K533" t="s">
        <v>505</v>
      </c>
      <c r="L533" t="s">
        <v>8325</v>
      </c>
      <c r="M533" t="s">
        <v>8326</v>
      </c>
      <c r="N533" t="s">
        <v>109</v>
      </c>
      <c r="AI533" t="s">
        <v>8327</v>
      </c>
      <c r="AJ533" t="s">
        <v>8328</v>
      </c>
      <c r="AK533" t="s">
        <v>8329</v>
      </c>
      <c r="AL533">
        <v>70</v>
      </c>
      <c r="AN533">
        <v>2008</v>
      </c>
      <c r="AO533" t="s">
        <v>113</v>
      </c>
      <c r="AP533" t="s">
        <v>8327</v>
      </c>
      <c r="AQ533" t="s">
        <v>8328</v>
      </c>
      <c r="AR533" t="s">
        <v>8330</v>
      </c>
      <c r="AS533">
        <v>60.2</v>
      </c>
      <c r="AU533">
        <v>2010</v>
      </c>
      <c r="AV533" t="s">
        <v>109</v>
      </c>
      <c r="BC533" t="s">
        <v>113</v>
      </c>
      <c r="BD533" t="s">
        <v>407</v>
      </c>
      <c r="BE533" t="s">
        <v>8331</v>
      </c>
      <c r="BF533" t="s">
        <v>8332</v>
      </c>
      <c r="BG533">
        <v>63</v>
      </c>
      <c r="BH533">
        <v>6.3</v>
      </c>
      <c r="BI533">
        <v>2015</v>
      </c>
      <c r="BJ533">
        <v>2</v>
      </c>
      <c r="BL533">
        <v>9</v>
      </c>
      <c r="BN533" t="s">
        <v>113</v>
      </c>
      <c r="BO533" t="s">
        <v>407</v>
      </c>
      <c r="BP533" t="s">
        <v>8333</v>
      </c>
      <c r="BQ533" t="s">
        <v>8334</v>
      </c>
      <c r="BR533">
        <v>75.4</v>
      </c>
      <c r="BS533">
        <v>7.54</v>
      </c>
      <c r="BT533">
        <v>2018</v>
      </c>
      <c r="BU533">
        <v>31</v>
      </c>
      <c r="BV533" t="s">
        <v>8335</v>
      </c>
      <c r="BW533">
        <v>48</v>
      </c>
      <c r="BY533" t="s">
        <v>109</v>
      </c>
      <c r="CF533" t="s">
        <v>113</v>
      </c>
      <c r="CG533" t="s">
        <v>8336</v>
      </c>
      <c r="CH533" t="s">
        <v>8337</v>
      </c>
      <c r="CI533" t="s">
        <v>240</v>
      </c>
      <c r="CK533" t="s">
        <v>113</v>
      </c>
      <c r="CL533" t="s">
        <v>113</v>
      </c>
      <c r="CM533" t="s">
        <v>8338</v>
      </c>
      <c r="CN533" t="s">
        <v>113</v>
      </c>
      <c r="CO533" t="s">
        <v>8339</v>
      </c>
      <c r="CP533" t="s">
        <v>3928</v>
      </c>
      <c r="CQ533" t="s">
        <v>8340</v>
      </c>
      <c r="CR533" t="s">
        <v>136</v>
      </c>
      <c r="CS533" t="str">
        <f>HYPERLINK("https://nconnect.nicmar.ac.in/pdf/704_resume_1772102094.pdf/Y2FyZWVy","View Resume")</f>
        <v>0</v>
      </c>
    </row>
    <row r="534" spans="1:97">
      <c r="A534" t="s">
        <v>702</v>
      </c>
      <c r="B534" t="s">
        <v>138</v>
      </c>
      <c r="C534" t="s">
        <v>703</v>
      </c>
      <c r="D534" t="s">
        <v>704</v>
      </c>
      <c r="E534" t="s">
        <v>8322</v>
      </c>
      <c r="F534" t="s">
        <v>8323</v>
      </c>
      <c r="G534">
        <v>9039987199</v>
      </c>
      <c r="H534" t="s">
        <v>103</v>
      </c>
      <c r="I534" t="s">
        <v>8324</v>
      </c>
      <c r="J534" t="s">
        <v>144</v>
      </c>
      <c r="K534" t="s">
        <v>505</v>
      </c>
      <c r="L534" t="s">
        <v>8325</v>
      </c>
      <c r="M534" t="s">
        <v>8326</v>
      </c>
      <c r="N534" t="s">
        <v>109</v>
      </c>
      <c r="AI534" t="s">
        <v>8327</v>
      </c>
      <c r="AJ534" t="s">
        <v>8328</v>
      </c>
      <c r="AK534" t="s">
        <v>8329</v>
      </c>
      <c r="AL534">
        <v>70</v>
      </c>
      <c r="AN534">
        <v>2008</v>
      </c>
      <c r="AO534" t="s">
        <v>113</v>
      </c>
      <c r="AP534" t="s">
        <v>8327</v>
      </c>
      <c r="AQ534" t="s">
        <v>8328</v>
      </c>
      <c r="AR534" t="s">
        <v>8330</v>
      </c>
      <c r="AS534">
        <v>60.2</v>
      </c>
      <c r="AU534">
        <v>2010</v>
      </c>
      <c r="AV534" t="s">
        <v>109</v>
      </c>
      <c r="BC534" t="s">
        <v>113</v>
      </c>
      <c r="BD534" t="s">
        <v>407</v>
      </c>
      <c r="BE534" t="s">
        <v>8331</v>
      </c>
      <c r="BF534" t="s">
        <v>8332</v>
      </c>
      <c r="BG534">
        <v>63</v>
      </c>
      <c r="BH534">
        <v>6.3</v>
      </c>
      <c r="BI534">
        <v>2015</v>
      </c>
      <c r="BJ534">
        <v>2</v>
      </c>
      <c r="BL534">
        <v>9</v>
      </c>
      <c r="BN534" t="s">
        <v>113</v>
      </c>
      <c r="BO534" t="s">
        <v>407</v>
      </c>
      <c r="BP534" t="s">
        <v>8333</v>
      </c>
      <c r="BQ534" t="s">
        <v>8334</v>
      </c>
      <c r="BR534">
        <v>75.4</v>
      </c>
      <c r="BS534">
        <v>7.54</v>
      </c>
      <c r="BT534">
        <v>2018</v>
      </c>
      <c r="BU534">
        <v>31</v>
      </c>
      <c r="BV534" t="s">
        <v>8335</v>
      </c>
      <c r="BW534">
        <v>48</v>
      </c>
      <c r="BY534" t="s">
        <v>109</v>
      </c>
      <c r="CF534" t="s">
        <v>113</v>
      </c>
      <c r="CG534" t="s">
        <v>8336</v>
      </c>
      <c r="CH534" t="s">
        <v>8337</v>
      </c>
      <c r="CI534" t="s">
        <v>240</v>
      </c>
      <c r="CK534" t="s">
        <v>113</v>
      </c>
      <c r="CL534" t="s">
        <v>113</v>
      </c>
      <c r="CM534" t="s">
        <v>8338</v>
      </c>
      <c r="CN534" t="s">
        <v>113</v>
      </c>
      <c r="CO534" t="s">
        <v>8339</v>
      </c>
      <c r="CP534" t="s">
        <v>3928</v>
      </c>
      <c r="CQ534" t="s">
        <v>8340</v>
      </c>
      <c r="CR534" t="s">
        <v>136</v>
      </c>
      <c r="CS534" t="str">
        <f>HYPERLINK("https://nconnect.nicmar.ac.in/pdf/704_resume_1772102094.pdf/Y2FyZWVy","View Resume")</f>
        <v>0</v>
      </c>
    </row>
    <row r="535" spans="1:97">
      <c r="A535" t="s">
        <v>3528</v>
      </c>
      <c r="B535" t="s">
        <v>318</v>
      </c>
      <c r="C535" t="s">
        <v>99</v>
      </c>
      <c r="D535" t="s">
        <v>3529</v>
      </c>
      <c r="E535" t="s">
        <v>8341</v>
      </c>
      <c r="F535" t="s">
        <v>8342</v>
      </c>
      <c r="G535">
        <v>9498026989</v>
      </c>
      <c r="H535" t="s">
        <v>103</v>
      </c>
      <c r="I535" t="s">
        <v>8343</v>
      </c>
      <c r="J535" t="s">
        <v>105</v>
      </c>
      <c r="K535" t="s">
        <v>8344</v>
      </c>
      <c r="L535" t="s">
        <v>8345</v>
      </c>
      <c r="M535" t="s">
        <v>8346</v>
      </c>
      <c r="N535" t="s">
        <v>109</v>
      </c>
      <c r="AI535" t="s">
        <v>8347</v>
      </c>
      <c r="AJ535" t="s">
        <v>8348</v>
      </c>
      <c r="AK535" t="s">
        <v>8349</v>
      </c>
      <c r="AL535">
        <v>88</v>
      </c>
      <c r="AM535">
        <v>8.8</v>
      </c>
      <c r="AN535">
        <v>2010</v>
      </c>
      <c r="AO535" t="s">
        <v>113</v>
      </c>
      <c r="AP535" t="s">
        <v>8347</v>
      </c>
      <c r="AQ535" t="s">
        <v>8350</v>
      </c>
      <c r="AR535" t="s">
        <v>8351</v>
      </c>
      <c r="AS535">
        <v>83</v>
      </c>
      <c r="AT535">
        <v>8.3</v>
      </c>
      <c r="AU535">
        <v>2012</v>
      </c>
      <c r="AV535" t="s">
        <v>109</v>
      </c>
      <c r="BC535" t="s">
        <v>113</v>
      </c>
      <c r="BD535" t="s">
        <v>8352</v>
      </c>
      <c r="BE535" t="s">
        <v>8353</v>
      </c>
      <c r="BF535" t="s">
        <v>8354</v>
      </c>
      <c r="BG535">
        <v>77</v>
      </c>
      <c r="BH535">
        <v>7.77</v>
      </c>
      <c r="BI535">
        <v>2017</v>
      </c>
      <c r="BJ535">
        <v>8</v>
      </c>
      <c r="BL535">
        <v>2</v>
      </c>
      <c r="BN535" t="s">
        <v>113</v>
      </c>
      <c r="BO535" t="s">
        <v>8355</v>
      </c>
      <c r="BP535" t="s">
        <v>8356</v>
      </c>
      <c r="BQ535" t="s">
        <v>8357</v>
      </c>
      <c r="BR535">
        <v>100</v>
      </c>
      <c r="BS535">
        <v>10</v>
      </c>
      <c r="BT535">
        <v>2025</v>
      </c>
      <c r="BU535">
        <v>31</v>
      </c>
      <c r="BV535" t="s">
        <v>8358</v>
      </c>
      <c r="BW535">
        <v>50</v>
      </c>
      <c r="BY535" t="s">
        <v>109</v>
      </c>
      <c r="CF535" t="s">
        <v>109</v>
      </c>
      <c r="CL535" t="s">
        <v>109</v>
      </c>
      <c r="CN535" t="s">
        <v>109</v>
      </c>
      <c r="CP535" t="s">
        <v>8359</v>
      </c>
      <c r="CQ535" t="s">
        <v>8360</v>
      </c>
      <c r="CR535" t="str">
        <f>HYPERLINK("https://nconnect.nicmar.ac.in/public/storage/profile/69a01f2dd0e85.png","Download")</f>
        <v>0</v>
      </c>
      <c r="CS535" t="str">
        <f>HYPERLINK("https://nconnect.nicmar.ac.in/pdf/716_resume_1772105249.pdf/Y2FyZWVy","View Resume")</f>
        <v>0</v>
      </c>
    </row>
    <row r="536" spans="1:97">
      <c r="A536" t="s">
        <v>2108</v>
      </c>
      <c r="B536" t="s">
        <v>138</v>
      </c>
      <c r="C536" t="s">
        <v>99</v>
      </c>
      <c r="D536" t="s">
        <v>2109</v>
      </c>
      <c r="E536" t="s">
        <v>8361</v>
      </c>
      <c r="F536" t="s">
        <v>8362</v>
      </c>
      <c r="G536">
        <v>7041002987</v>
      </c>
      <c r="H536" t="s">
        <v>103</v>
      </c>
      <c r="I536" t="s">
        <v>8363</v>
      </c>
      <c r="J536" t="s">
        <v>105</v>
      </c>
      <c r="K536" t="s">
        <v>997</v>
      </c>
      <c r="L536" t="s">
        <v>8364</v>
      </c>
      <c r="M536" t="s">
        <v>8365</v>
      </c>
      <c r="N536" t="s">
        <v>109</v>
      </c>
      <c r="AI536" t="s">
        <v>8366</v>
      </c>
      <c r="AJ536" t="s">
        <v>8367</v>
      </c>
      <c r="AK536" t="s">
        <v>2726</v>
      </c>
      <c r="AL536">
        <v>69</v>
      </c>
      <c r="AN536">
        <v>1991</v>
      </c>
      <c r="AO536" t="s">
        <v>113</v>
      </c>
      <c r="AP536" t="s">
        <v>8366</v>
      </c>
      <c r="AQ536" t="s">
        <v>8367</v>
      </c>
      <c r="AR536" t="s">
        <v>2726</v>
      </c>
      <c r="AS536">
        <v>64</v>
      </c>
      <c r="AU536">
        <v>1993</v>
      </c>
      <c r="AV536" t="s">
        <v>109</v>
      </c>
      <c r="BC536" t="s">
        <v>113</v>
      </c>
      <c r="BD536" t="s">
        <v>8368</v>
      </c>
      <c r="BE536" t="s">
        <v>8369</v>
      </c>
      <c r="BF536" t="s">
        <v>309</v>
      </c>
      <c r="BG536">
        <v>64</v>
      </c>
      <c r="BI536">
        <v>1998</v>
      </c>
      <c r="BJ536">
        <v>2</v>
      </c>
      <c r="BL536">
        <v>9</v>
      </c>
      <c r="BN536" t="s">
        <v>113</v>
      </c>
      <c r="BO536" t="s">
        <v>6767</v>
      </c>
      <c r="BP536" t="s">
        <v>8370</v>
      </c>
      <c r="BQ536" t="s">
        <v>2404</v>
      </c>
      <c r="BR536">
        <v>70</v>
      </c>
      <c r="BS536">
        <v>7.71</v>
      </c>
      <c r="BT536">
        <v>2012</v>
      </c>
      <c r="BU536">
        <v>16</v>
      </c>
      <c r="BW536">
        <v>49</v>
      </c>
      <c r="BY536" t="s">
        <v>109</v>
      </c>
      <c r="CF536" t="s">
        <v>113</v>
      </c>
      <c r="CG536" t="s">
        <v>8371</v>
      </c>
      <c r="CH536" t="s">
        <v>7154</v>
      </c>
      <c r="CI536" t="s">
        <v>132</v>
      </c>
      <c r="CJ536">
        <v>2020</v>
      </c>
      <c r="CL536" t="s">
        <v>109</v>
      </c>
      <c r="CN536" t="s">
        <v>109</v>
      </c>
      <c r="CP536" t="s">
        <v>8372</v>
      </c>
      <c r="CQ536" t="s">
        <v>8373</v>
      </c>
      <c r="CR536" t="str">
        <f>HYPERLINK("https://nconnect.nicmar.ac.in/public/storage/profile/69a02ac964297.png","Download")</f>
        <v>0</v>
      </c>
      <c r="CS536" t="str">
        <f>HYPERLINK("https://nconnect.nicmar.ac.in/pdf/717_resume_1772105808.pdf/Y2FyZWVy","View Resume")</f>
        <v>0</v>
      </c>
    </row>
    <row r="537" spans="1:97">
      <c r="A537" t="s">
        <v>343</v>
      </c>
      <c r="B537" t="s">
        <v>98</v>
      </c>
      <c r="C537" t="s">
        <v>295</v>
      </c>
      <c r="D537" t="s">
        <v>344</v>
      </c>
      <c r="E537" t="s">
        <v>8361</v>
      </c>
      <c r="F537" t="s">
        <v>8362</v>
      </c>
      <c r="G537">
        <v>7041002987</v>
      </c>
      <c r="H537" t="s">
        <v>103</v>
      </c>
      <c r="I537" t="s">
        <v>8363</v>
      </c>
      <c r="J537" t="s">
        <v>105</v>
      </c>
      <c r="K537" t="s">
        <v>997</v>
      </c>
      <c r="L537" t="s">
        <v>8364</v>
      </c>
      <c r="M537" t="s">
        <v>8365</v>
      </c>
      <c r="N537" t="s">
        <v>109</v>
      </c>
      <c r="AI537" t="s">
        <v>8366</v>
      </c>
      <c r="AJ537" t="s">
        <v>8367</v>
      </c>
      <c r="AK537" t="s">
        <v>2726</v>
      </c>
      <c r="AL537">
        <v>69</v>
      </c>
      <c r="AN537">
        <v>1991</v>
      </c>
      <c r="AO537" t="s">
        <v>113</v>
      </c>
      <c r="AP537" t="s">
        <v>8366</v>
      </c>
      <c r="AQ537" t="s">
        <v>8367</v>
      </c>
      <c r="AR537" t="s">
        <v>2726</v>
      </c>
      <c r="AS537">
        <v>64</v>
      </c>
      <c r="AU537">
        <v>1993</v>
      </c>
      <c r="AV537" t="s">
        <v>109</v>
      </c>
      <c r="BC537" t="s">
        <v>113</v>
      </c>
      <c r="BD537" t="s">
        <v>8368</v>
      </c>
      <c r="BE537" t="s">
        <v>8369</v>
      </c>
      <c r="BF537" t="s">
        <v>309</v>
      </c>
      <c r="BG537">
        <v>64</v>
      </c>
      <c r="BI537">
        <v>1998</v>
      </c>
      <c r="BJ537">
        <v>2</v>
      </c>
      <c r="BL537">
        <v>9</v>
      </c>
      <c r="BN537" t="s">
        <v>113</v>
      </c>
      <c r="BO537" t="s">
        <v>6767</v>
      </c>
      <c r="BP537" t="s">
        <v>8370</v>
      </c>
      <c r="BQ537" t="s">
        <v>2404</v>
      </c>
      <c r="BR537">
        <v>70</v>
      </c>
      <c r="BS537">
        <v>7.71</v>
      </c>
      <c r="BT537">
        <v>2012</v>
      </c>
      <c r="BU537">
        <v>16</v>
      </c>
      <c r="BW537">
        <v>49</v>
      </c>
      <c r="BY537" t="s">
        <v>109</v>
      </c>
      <c r="CF537" t="s">
        <v>113</v>
      </c>
      <c r="CG537" t="s">
        <v>8371</v>
      </c>
      <c r="CH537" t="s">
        <v>7154</v>
      </c>
      <c r="CI537" t="s">
        <v>132</v>
      </c>
      <c r="CJ537">
        <v>2020</v>
      </c>
      <c r="CL537" t="s">
        <v>109</v>
      </c>
      <c r="CN537" t="s">
        <v>109</v>
      </c>
      <c r="CP537" t="s">
        <v>8372</v>
      </c>
      <c r="CQ537" t="s">
        <v>8374</v>
      </c>
      <c r="CR537" t="str">
        <f>HYPERLINK("https://nconnect.nicmar.ac.in/public/storage/profile/69a02ac964297.png","Download")</f>
        <v>0</v>
      </c>
      <c r="CS537" t="str">
        <f>HYPERLINK("https://nconnect.nicmar.ac.in/pdf/717_resume_1772105808.pdf/Y2FyZWVy","View Resume")</f>
        <v>0</v>
      </c>
    </row>
    <row r="538" spans="1:97">
      <c r="A538" t="s">
        <v>1442</v>
      </c>
      <c r="B538" t="s">
        <v>98</v>
      </c>
      <c r="C538" t="s">
        <v>139</v>
      </c>
      <c r="D538" t="s">
        <v>1443</v>
      </c>
      <c r="E538" t="s">
        <v>8361</v>
      </c>
      <c r="F538" t="s">
        <v>8362</v>
      </c>
      <c r="G538">
        <v>7041002987</v>
      </c>
      <c r="H538" t="s">
        <v>103</v>
      </c>
      <c r="I538" t="s">
        <v>8363</v>
      </c>
      <c r="J538" t="s">
        <v>105</v>
      </c>
      <c r="K538" t="s">
        <v>997</v>
      </c>
      <c r="L538" t="s">
        <v>8364</v>
      </c>
      <c r="M538" t="s">
        <v>8365</v>
      </c>
      <c r="N538" t="s">
        <v>109</v>
      </c>
      <c r="AI538" t="s">
        <v>8366</v>
      </c>
      <c r="AJ538" t="s">
        <v>8367</v>
      </c>
      <c r="AK538" t="s">
        <v>2726</v>
      </c>
      <c r="AL538">
        <v>69</v>
      </c>
      <c r="AN538">
        <v>1991</v>
      </c>
      <c r="AO538" t="s">
        <v>113</v>
      </c>
      <c r="AP538" t="s">
        <v>8366</v>
      </c>
      <c r="AQ538" t="s">
        <v>8367</v>
      </c>
      <c r="AR538" t="s">
        <v>2726</v>
      </c>
      <c r="AS538">
        <v>64</v>
      </c>
      <c r="AU538">
        <v>1993</v>
      </c>
      <c r="AV538" t="s">
        <v>109</v>
      </c>
      <c r="BC538" t="s">
        <v>113</v>
      </c>
      <c r="BD538" t="s">
        <v>8368</v>
      </c>
      <c r="BE538" t="s">
        <v>8369</v>
      </c>
      <c r="BF538" t="s">
        <v>309</v>
      </c>
      <c r="BG538">
        <v>64</v>
      </c>
      <c r="BI538">
        <v>1998</v>
      </c>
      <c r="BJ538">
        <v>2</v>
      </c>
      <c r="BL538">
        <v>9</v>
      </c>
      <c r="BN538" t="s">
        <v>113</v>
      </c>
      <c r="BO538" t="s">
        <v>6767</v>
      </c>
      <c r="BP538" t="s">
        <v>8370</v>
      </c>
      <c r="BQ538" t="s">
        <v>2404</v>
      </c>
      <c r="BR538">
        <v>70</v>
      </c>
      <c r="BS538">
        <v>7.71</v>
      </c>
      <c r="BT538">
        <v>2012</v>
      </c>
      <c r="BU538">
        <v>16</v>
      </c>
      <c r="BW538">
        <v>49</v>
      </c>
      <c r="BY538" t="s">
        <v>109</v>
      </c>
      <c r="CF538" t="s">
        <v>113</v>
      </c>
      <c r="CG538" t="s">
        <v>8371</v>
      </c>
      <c r="CH538" t="s">
        <v>7154</v>
      </c>
      <c r="CI538" t="s">
        <v>132</v>
      </c>
      <c r="CJ538">
        <v>2020</v>
      </c>
      <c r="CL538" t="s">
        <v>109</v>
      </c>
      <c r="CN538" t="s">
        <v>109</v>
      </c>
      <c r="CP538" t="s">
        <v>8372</v>
      </c>
      <c r="CQ538" t="s">
        <v>8375</v>
      </c>
      <c r="CR538" t="str">
        <f>HYPERLINK("https://nconnect.nicmar.ac.in/public/storage/profile/69a02ac964297.png","Download")</f>
        <v>0</v>
      </c>
      <c r="CS538" t="str">
        <f>HYPERLINK("https://nconnect.nicmar.ac.in/pdf/717_resume_1772105808.pdf/Y2FyZWVy","View Resume")</f>
        <v>0</v>
      </c>
    </row>
    <row r="539" spans="1:97">
      <c r="A539" t="s">
        <v>501</v>
      </c>
      <c r="B539" t="s">
        <v>138</v>
      </c>
      <c r="C539" t="s">
        <v>165</v>
      </c>
      <c r="D539" t="s">
        <v>319</v>
      </c>
      <c r="E539" t="s">
        <v>8376</v>
      </c>
      <c r="F539" t="s">
        <v>8377</v>
      </c>
      <c r="G539">
        <v>9836531836</v>
      </c>
      <c r="H539" t="s">
        <v>103</v>
      </c>
      <c r="I539" t="s">
        <v>8378</v>
      </c>
      <c r="J539" t="s">
        <v>144</v>
      </c>
      <c r="K539" t="s">
        <v>484</v>
      </c>
      <c r="L539" t="s">
        <v>8379</v>
      </c>
      <c r="M539" t="s">
        <v>8380</v>
      </c>
      <c r="N539" t="s">
        <v>109</v>
      </c>
      <c r="AI539" t="s">
        <v>8381</v>
      </c>
      <c r="AJ539" t="s">
        <v>8382</v>
      </c>
      <c r="AK539" t="s">
        <v>8383</v>
      </c>
      <c r="AL539">
        <v>57</v>
      </c>
      <c r="AN539">
        <v>1991</v>
      </c>
      <c r="AO539" t="s">
        <v>113</v>
      </c>
      <c r="AP539" t="s">
        <v>8384</v>
      </c>
      <c r="AQ539" t="s">
        <v>8385</v>
      </c>
      <c r="AR539" t="s">
        <v>8386</v>
      </c>
      <c r="AS539">
        <v>59.1</v>
      </c>
      <c r="AU539">
        <v>1993</v>
      </c>
      <c r="AV539" t="s">
        <v>113</v>
      </c>
      <c r="AW539" t="s">
        <v>8387</v>
      </c>
      <c r="AX539" t="s">
        <v>8388</v>
      </c>
      <c r="AY539" t="s">
        <v>8389</v>
      </c>
      <c r="AZ539">
        <v>80</v>
      </c>
      <c r="BB539">
        <v>1998</v>
      </c>
      <c r="BC539" t="s">
        <v>113</v>
      </c>
      <c r="BD539" t="s">
        <v>8390</v>
      </c>
      <c r="BE539" t="s">
        <v>8391</v>
      </c>
      <c r="BF539" t="s">
        <v>8392</v>
      </c>
      <c r="BG539">
        <v>56</v>
      </c>
      <c r="BI539">
        <v>1995</v>
      </c>
      <c r="BJ539">
        <v>19</v>
      </c>
      <c r="BK539" t="s">
        <v>1480</v>
      </c>
      <c r="BL539">
        <v>24</v>
      </c>
      <c r="BN539" t="s">
        <v>113</v>
      </c>
      <c r="BO539" t="s">
        <v>8393</v>
      </c>
      <c r="BP539" t="s">
        <v>8394</v>
      </c>
      <c r="BQ539" t="s">
        <v>8395</v>
      </c>
      <c r="BR539">
        <v>69</v>
      </c>
      <c r="BT539">
        <v>2016</v>
      </c>
      <c r="BU539">
        <v>31</v>
      </c>
      <c r="BV539" t="s">
        <v>339</v>
      </c>
      <c r="BW539">
        <v>23</v>
      </c>
      <c r="BY539" t="s">
        <v>109</v>
      </c>
      <c r="CF539" t="s">
        <v>113</v>
      </c>
      <c r="CG539" t="s">
        <v>338</v>
      </c>
      <c r="CH539" t="s">
        <v>8396</v>
      </c>
      <c r="CI539" t="s">
        <v>240</v>
      </c>
      <c r="CJ539">
        <v>2026</v>
      </c>
      <c r="CL539" t="s">
        <v>113</v>
      </c>
      <c r="CM539" t="s">
        <v>8397</v>
      </c>
      <c r="CN539" t="s">
        <v>113</v>
      </c>
      <c r="CO539" t="s">
        <v>8398</v>
      </c>
      <c r="CP539" t="s">
        <v>8399</v>
      </c>
      <c r="CQ539" t="s">
        <v>8400</v>
      </c>
      <c r="CR539" t="s">
        <v>136</v>
      </c>
      <c r="CS539" t="str">
        <f>HYPERLINK("https://nconnect.nicmar.ac.in/pdf/586_resume_1772108047.pdf/Y2FyZWVy","View Resume")</f>
        <v>0</v>
      </c>
    </row>
    <row r="540" spans="1:97">
      <c r="A540" t="s">
        <v>3610</v>
      </c>
      <c r="B540" t="s">
        <v>3611</v>
      </c>
      <c r="C540" t="s">
        <v>295</v>
      </c>
      <c r="D540" t="s">
        <v>296</v>
      </c>
      <c r="E540" t="s">
        <v>8401</v>
      </c>
      <c r="F540" t="s">
        <v>8402</v>
      </c>
      <c r="G540">
        <v>7981500347</v>
      </c>
      <c r="H540" t="s">
        <v>103</v>
      </c>
      <c r="I540" t="s">
        <v>8403</v>
      </c>
      <c r="J540" t="s">
        <v>144</v>
      </c>
      <c r="K540" t="s">
        <v>145</v>
      </c>
      <c r="L540" t="s">
        <v>8404</v>
      </c>
      <c r="M540" t="s">
        <v>8405</v>
      </c>
      <c r="N540" t="s">
        <v>109</v>
      </c>
      <c r="AI540" t="s">
        <v>8406</v>
      </c>
      <c r="AJ540" t="s">
        <v>8407</v>
      </c>
      <c r="AK540" t="s">
        <v>8408</v>
      </c>
      <c r="AL540">
        <v>67.3</v>
      </c>
      <c r="AN540">
        <v>2008</v>
      </c>
      <c r="AO540" t="s">
        <v>113</v>
      </c>
      <c r="AP540" t="s">
        <v>8409</v>
      </c>
      <c r="AQ540" t="s">
        <v>8410</v>
      </c>
      <c r="AR540" t="s">
        <v>4837</v>
      </c>
      <c r="AS540">
        <v>71.7</v>
      </c>
      <c r="AU540">
        <v>2010</v>
      </c>
      <c r="AV540" t="s">
        <v>109</v>
      </c>
      <c r="BC540" t="s">
        <v>113</v>
      </c>
      <c r="BD540" t="s">
        <v>1149</v>
      </c>
      <c r="BE540" t="s">
        <v>8411</v>
      </c>
      <c r="BF540" t="s">
        <v>309</v>
      </c>
      <c r="BG540">
        <v>69.08</v>
      </c>
      <c r="BI540">
        <v>2014</v>
      </c>
      <c r="BJ540">
        <v>1</v>
      </c>
      <c r="BL540">
        <v>15</v>
      </c>
      <c r="BN540" t="s">
        <v>113</v>
      </c>
      <c r="BO540" t="s">
        <v>7995</v>
      </c>
      <c r="BP540" t="s">
        <v>8412</v>
      </c>
      <c r="BQ540" t="s">
        <v>1350</v>
      </c>
      <c r="BR540">
        <v>6.75</v>
      </c>
      <c r="BT540">
        <v>2016</v>
      </c>
      <c r="BU540">
        <v>12</v>
      </c>
      <c r="BW540">
        <v>15</v>
      </c>
      <c r="BY540" t="s">
        <v>109</v>
      </c>
      <c r="CF540" t="s">
        <v>113</v>
      </c>
      <c r="CG540" t="s">
        <v>8413</v>
      </c>
      <c r="CH540" t="s">
        <v>1462</v>
      </c>
      <c r="CI540" t="s">
        <v>132</v>
      </c>
      <c r="CJ540">
        <v>2025</v>
      </c>
      <c r="CL540" t="s">
        <v>113</v>
      </c>
      <c r="CM540" t="s">
        <v>8414</v>
      </c>
      <c r="CN540" t="s">
        <v>113</v>
      </c>
      <c r="CO540" t="s">
        <v>8415</v>
      </c>
      <c r="CP540" t="s">
        <v>8416</v>
      </c>
      <c r="CQ540" t="s">
        <v>8417</v>
      </c>
      <c r="CR540" t="str">
        <f>HYPERLINK("https://nconnect.nicmar.ac.in/public/storage/profile/69a0047f30a64.png","Download")</f>
        <v>0</v>
      </c>
      <c r="CS540" t="str">
        <f>HYPERLINK("https://nconnect.nicmar.ac.in/pdf/710_resume_1772110270.pdf/Y2FyZWVy","View Resume")</f>
        <v>0</v>
      </c>
    </row>
    <row r="541" spans="1:97">
      <c r="A541" t="s">
        <v>370</v>
      </c>
      <c r="B541" t="s">
        <v>138</v>
      </c>
      <c r="C541" t="s">
        <v>295</v>
      </c>
      <c r="D541" t="s">
        <v>371</v>
      </c>
      <c r="E541" t="s">
        <v>8401</v>
      </c>
      <c r="F541" t="s">
        <v>8402</v>
      </c>
      <c r="G541">
        <v>7981500347</v>
      </c>
      <c r="H541" t="s">
        <v>103</v>
      </c>
      <c r="I541" t="s">
        <v>8403</v>
      </c>
      <c r="J541" t="s">
        <v>144</v>
      </c>
      <c r="K541" t="s">
        <v>145</v>
      </c>
      <c r="L541" t="s">
        <v>8404</v>
      </c>
      <c r="M541" t="s">
        <v>8405</v>
      </c>
      <c r="N541" t="s">
        <v>109</v>
      </c>
      <c r="AI541" t="s">
        <v>8406</v>
      </c>
      <c r="AJ541" t="s">
        <v>8407</v>
      </c>
      <c r="AK541" t="s">
        <v>8408</v>
      </c>
      <c r="AL541">
        <v>67.3</v>
      </c>
      <c r="AN541">
        <v>2008</v>
      </c>
      <c r="AO541" t="s">
        <v>113</v>
      </c>
      <c r="AP541" t="s">
        <v>8409</v>
      </c>
      <c r="AQ541" t="s">
        <v>8410</v>
      </c>
      <c r="AR541" t="s">
        <v>4837</v>
      </c>
      <c r="AS541">
        <v>71.7</v>
      </c>
      <c r="AU541">
        <v>2010</v>
      </c>
      <c r="AV541" t="s">
        <v>109</v>
      </c>
      <c r="BC541" t="s">
        <v>113</v>
      </c>
      <c r="BD541" t="s">
        <v>1149</v>
      </c>
      <c r="BE541" t="s">
        <v>8411</v>
      </c>
      <c r="BF541" t="s">
        <v>309</v>
      </c>
      <c r="BG541">
        <v>69.08</v>
      </c>
      <c r="BI541">
        <v>2014</v>
      </c>
      <c r="BJ541">
        <v>1</v>
      </c>
      <c r="BL541">
        <v>15</v>
      </c>
      <c r="BN541" t="s">
        <v>113</v>
      </c>
      <c r="BO541" t="s">
        <v>7995</v>
      </c>
      <c r="BP541" t="s">
        <v>8412</v>
      </c>
      <c r="BQ541" t="s">
        <v>1350</v>
      </c>
      <c r="BR541">
        <v>6.75</v>
      </c>
      <c r="BT541">
        <v>2016</v>
      </c>
      <c r="BU541">
        <v>12</v>
      </c>
      <c r="BW541">
        <v>15</v>
      </c>
      <c r="BY541" t="s">
        <v>109</v>
      </c>
      <c r="CF541" t="s">
        <v>113</v>
      </c>
      <c r="CG541" t="s">
        <v>8413</v>
      </c>
      <c r="CH541" t="s">
        <v>1462</v>
      </c>
      <c r="CI541" t="s">
        <v>132</v>
      </c>
      <c r="CJ541">
        <v>2025</v>
      </c>
      <c r="CL541" t="s">
        <v>113</v>
      </c>
      <c r="CM541" t="s">
        <v>8414</v>
      </c>
      <c r="CN541" t="s">
        <v>113</v>
      </c>
      <c r="CO541" t="s">
        <v>8415</v>
      </c>
      <c r="CP541" t="s">
        <v>8416</v>
      </c>
      <c r="CQ541" t="s">
        <v>8418</v>
      </c>
      <c r="CR541" t="str">
        <f>HYPERLINK("https://nconnect.nicmar.ac.in/public/storage/profile/69a0047f30a64.png","Download")</f>
        <v>0</v>
      </c>
      <c r="CS541" t="str">
        <f>HYPERLINK("https://nconnect.nicmar.ac.in/pdf/710_resume_1772110270.pdf/Y2FyZWVy","View Resume")</f>
        <v>0</v>
      </c>
    </row>
    <row r="542" spans="1:97">
      <c r="A542" t="s">
        <v>2591</v>
      </c>
      <c r="B542" t="s">
        <v>138</v>
      </c>
      <c r="C542" t="s">
        <v>295</v>
      </c>
      <c r="D542" t="s">
        <v>2592</v>
      </c>
      <c r="E542" t="s">
        <v>8401</v>
      </c>
      <c r="F542" t="s">
        <v>8402</v>
      </c>
      <c r="G542">
        <v>7981500347</v>
      </c>
      <c r="H542" t="s">
        <v>103</v>
      </c>
      <c r="I542" t="s">
        <v>8403</v>
      </c>
      <c r="J542" t="s">
        <v>144</v>
      </c>
      <c r="K542" t="s">
        <v>145</v>
      </c>
      <c r="L542" t="s">
        <v>8404</v>
      </c>
      <c r="M542" t="s">
        <v>8405</v>
      </c>
      <c r="N542" t="s">
        <v>109</v>
      </c>
      <c r="AI542" t="s">
        <v>8406</v>
      </c>
      <c r="AJ542" t="s">
        <v>8407</v>
      </c>
      <c r="AK542" t="s">
        <v>8408</v>
      </c>
      <c r="AL542">
        <v>67.3</v>
      </c>
      <c r="AN542">
        <v>2008</v>
      </c>
      <c r="AO542" t="s">
        <v>113</v>
      </c>
      <c r="AP542" t="s">
        <v>8409</v>
      </c>
      <c r="AQ542" t="s">
        <v>8410</v>
      </c>
      <c r="AR542" t="s">
        <v>4837</v>
      </c>
      <c r="AS542">
        <v>71.7</v>
      </c>
      <c r="AU542">
        <v>2010</v>
      </c>
      <c r="AV542" t="s">
        <v>109</v>
      </c>
      <c r="BC542" t="s">
        <v>113</v>
      </c>
      <c r="BD542" t="s">
        <v>1149</v>
      </c>
      <c r="BE542" t="s">
        <v>8411</v>
      </c>
      <c r="BF542" t="s">
        <v>309</v>
      </c>
      <c r="BG542">
        <v>69.08</v>
      </c>
      <c r="BI542">
        <v>2014</v>
      </c>
      <c r="BJ542">
        <v>1</v>
      </c>
      <c r="BL542">
        <v>15</v>
      </c>
      <c r="BN542" t="s">
        <v>113</v>
      </c>
      <c r="BO542" t="s">
        <v>7995</v>
      </c>
      <c r="BP542" t="s">
        <v>8412</v>
      </c>
      <c r="BQ542" t="s">
        <v>1350</v>
      </c>
      <c r="BR542">
        <v>6.75</v>
      </c>
      <c r="BT542">
        <v>2016</v>
      </c>
      <c r="BU542">
        <v>12</v>
      </c>
      <c r="BW542">
        <v>15</v>
      </c>
      <c r="BY542" t="s">
        <v>109</v>
      </c>
      <c r="CF542" t="s">
        <v>113</v>
      </c>
      <c r="CG542" t="s">
        <v>8413</v>
      </c>
      <c r="CH542" t="s">
        <v>1462</v>
      </c>
      <c r="CI542" t="s">
        <v>132</v>
      </c>
      <c r="CJ542">
        <v>2025</v>
      </c>
      <c r="CL542" t="s">
        <v>113</v>
      </c>
      <c r="CM542" t="s">
        <v>8414</v>
      </c>
      <c r="CN542" t="s">
        <v>113</v>
      </c>
      <c r="CO542" t="s">
        <v>8415</v>
      </c>
      <c r="CP542" t="s">
        <v>8416</v>
      </c>
      <c r="CQ542" t="s">
        <v>8418</v>
      </c>
      <c r="CR542" t="str">
        <f>HYPERLINK("https://nconnect.nicmar.ac.in/public/storage/profile/69a0047f30a64.png","Download")</f>
        <v>0</v>
      </c>
      <c r="CS542" t="str">
        <f>HYPERLINK("https://nconnect.nicmar.ac.in/pdf/710_resume_1772110270.pdf/Y2FyZWVy","View Resume")</f>
        <v>0</v>
      </c>
    </row>
    <row r="543" spans="1:97">
      <c r="A543" t="s">
        <v>367</v>
      </c>
      <c r="B543" t="s">
        <v>138</v>
      </c>
      <c r="C543" t="s">
        <v>295</v>
      </c>
      <c r="D543" t="s">
        <v>368</v>
      </c>
      <c r="E543" t="s">
        <v>8401</v>
      </c>
      <c r="F543" t="s">
        <v>8402</v>
      </c>
      <c r="G543">
        <v>7981500347</v>
      </c>
      <c r="H543" t="s">
        <v>103</v>
      </c>
      <c r="I543" t="s">
        <v>8403</v>
      </c>
      <c r="J543" t="s">
        <v>144</v>
      </c>
      <c r="K543" t="s">
        <v>145</v>
      </c>
      <c r="L543" t="s">
        <v>8404</v>
      </c>
      <c r="M543" t="s">
        <v>8405</v>
      </c>
      <c r="N543" t="s">
        <v>109</v>
      </c>
      <c r="AI543" t="s">
        <v>8406</v>
      </c>
      <c r="AJ543" t="s">
        <v>8407</v>
      </c>
      <c r="AK543" t="s">
        <v>8408</v>
      </c>
      <c r="AL543">
        <v>67.3</v>
      </c>
      <c r="AN543">
        <v>2008</v>
      </c>
      <c r="AO543" t="s">
        <v>113</v>
      </c>
      <c r="AP543" t="s">
        <v>8409</v>
      </c>
      <c r="AQ543" t="s">
        <v>8410</v>
      </c>
      <c r="AR543" t="s">
        <v>4837</v>
      </c>
      <c r="AS543">
        <v>71.7</v>
      </c>
      <c r="AU543">
        <v>2010</v>
      </c>
      <c r="AV543" t="s">
        <v>109</v>
      </c>
      <c r="BC543" t="s">
        <v>113</v>
      </c>
      <c r="BD543" t="s">
        <v>1149</v>
      </c>
      <c r="BE543" t="s">
        <v>8411</v>
      </c>
      <c r="BF543" t="s">
        <v>309</v>
      </c>
      <c r="BG543">
        <v>69.08</v>
      </c>
      <c r="BI543">
        <v>2014</v>
      </c>
      <c r="BJ543">
        <v>1</v>
      </c>
      <c r="BL543">
        <v>15</v>
      </c>
      <c r="BN543" t="s">
        <v>113</v>
      </c>
      <c r="BO543" t="s">
        <v>7995</v>
      </c>
      <c r="BP543" t="s">
        <v>8412</v>
      </c>
      <c r="BQ543" t="s">
        <v>1350</v>
      </c>
      <c r="BR543">
        <v>6.75</v>
      </c>
      <c r="BT543">
        <v>2016</v>
      </c>
      <c r="BU543">
        <v>12</v>
      </c>
      <c r="BW543">
        <v>15</v>
      </c>
      <c r="BY543" t="s">
        <v>109</v>
      </c>
      <c r="CF543" t="s">
        <v>113</v>
      </c>
      <c r="CG543" t="s">
        <v>8413</v>
      </c>
      <c r="CH543" t="s">
        <v>1462</v>
      </c>
      <c r="CI543" t="s">
        <v>132</v>
      </c>
      <c r="CJ543">
        <v>2025</v>
      </c>
      <c r="CL543" t="s">
        <v>113</v>
      </c>
      <c r="CM543" t="s">
        <v>8414</v>
      </c>
      <c r="CN543" t="s">
        <v>113</v>
      </c>
      <c r="CO543" t="s">
        <v>8415</v>
      </c>
      <c r="CP543" t="s">
        <v>8416</v>
      </c>
      <c r="CQ543" t="s">
        <v>8418</v>
      </c>
      <c r="CR543" t="str">
        <f>HYPERLINK("https://nconnect.nicmar.ac.in/public/storage/profile/69a0047f30a64.png","Download")</f>
        <v>0</v>
      </c>
      <c r="CS543" t="str">
        <f>HYPERLINK("https://nconnect.nicmar.ac.in/pdf/710_resume_1772110270.pdf/Y2FyZWVy","View Resume")</f>
        <v>0</v>
      </c>
    </row>
    <row r="544" spans="1:97">
      <c r="A544" t="s">
        <v>97</v>
      </c>
      <c r="B544" t="s">
        <v>98</v>
      </c>
      <c r="C544" t="s">
        <v>99</v>
      </c>
      <c r="D544" t="s">
        <v>100</v>
      </c>
      <c r="E544" t="s">
        <v>8401</v>
      </c>
      <c r="F544" t="s">
        <v>8402</v>
      </c>
      <c r="G544">
        <v>7981500347</v>
      </c>
      <c r="H544" t="s">
        <v>103</v>
      </c>
      <c r="I544" t="s">
        <v>8403</v>
      </c>
      <c r="J544" t="s">
        <v>144</v>
      </c>
      <c r="K544" t="s">
        <v>145</v>
      </c>
      <c r="L544" t="s">
        <v>8404</v>
      </c>
      <c r="M544" t="s">
        <v>8405</v>
      </c>
      <c r="N544" t="s">
        <v>109</v>
      </c>
      <c r="AI544" t="s">
        <v>8406</v>
      </c>
      <c r="AJ544" t="s">
        <v>8407</v>
      </c>
      <c r="AK544" t="s">
        <v>8408</v>
      </c>
      <c r="AL544">
        <v>67.3</v>
      </c>
      <c r="AN544">
        <v>2008</v>
      </c>
      <c r="AO544" t="s">
        <v>113</v>
      </c>
      <c r="AP544" t="s">
        <v>8409</v>
      </c>
      <c r="AQ544" t="s">
        <v>8410</v>
      </c>
      <c r="AR544" t="s">
        <v>4837</v>
      </c>
      <c r="AS544">
        <v>71.7</v>
      </c>
      <c r="AU544">
        <v>2010</v>
      </c>
      <c r="AV544" t="s">
        <v>109</v>
      </c>
      <c r="BC544" t="s">
        <v>113</v>
      </c>
      <c r="BD544" t="s">
        <v>1149</v>
      </c>
      <c r="BE544" t="s">
        <v>8411</v>
      </c>
      <c r="BF544" t="s">
        <v>309</v>
      </c>
      <c r="BG544">
        <v>69.08</v>
      </c>
      <c r="BI544">
        <v>2014</v>
      </c>
      <c r="BJ544">
        <v>1</v>
      </c>
      <c r="BL544">
        <v>15</v>
      </c>
      <c r="BN544" t="s">
        <v>113</v>
      </c>
      <c r="BO544" t="s">
        <v>7995</v>
      </c>
      <c r="BP544" t="s">
        <v>8412</v>
      </c>
      <c r="BQ544" t="s">
        <v>1350</v>
      </c>
      <c r="BR544">
        <v>6.75</v>
      </c>
      <c r="BT544">
        <v>2016</v>
      </c>
      <c r="BU544">
        <v>12</v>
      </c>
      <c r="BW544">
        <v>15</v>
      </c>
      <c r="BY544" t="s">
        <v>109</v>
      </c>
      <c r="CF544" t="s">
        <v>113</v>
      </c>
      <c r="CG544" t="s">
        <v>8413</v>
      </c>
      <c r="CH544" t="s">
        <v>1462</v>
      </c>
      <c r="CI544" t="s">
        <v>132</v>
      </c>
      <c r="CJ544">
        <v>2025</v>
      </c>
      <c r="CL544" t="s">
        <v>113</v>
      </c>
      <c r="CM544" t="s">
        <v>8414</v>
      </c>
      <c r="CN544" t="s">
        <v>113</v>
      </c>
      <c r="CO544" t="s">
        <v>8415</v>
      </c>
      <c r="CP544" t="s">
        <v>8416</v>
      </c>
      <c r="CQ544" t="s">
        <v>8419</v>
      </c>
      <c r="CR544" t="str">
        <f>HYPERLINK("https://nconnect.nicmar.ac.in/public/storage/profile/69a0047f30a64.png","Download")</f>
        <v>0</v>
      </c>
      <c r="CS544" t="str">
        <f>HYPERLINK("https://nconnect.nicmar.ac.in/pdf/710_resume_1772110270.pdf/Y2FyZWVy","View Resume")</f>
        <v>0</v>
      </c>
    </row>
    <row r="545" spans="1:97">
      <c r="A545" t="s">
        <v>1624</v>
      </c>
      <c r="B545" t="s">
        <v>318</v>
      </c>
      <c r="C545" t="s">
        <v>99</v>
      </c>
      <c r="D545" t="s">
        <v>1625</v>
      </c>
      <c r="E545" t="s">
        <v>8401</v>
      </c>
      <c r="F545" t="s">
        <v>8402</v>
      </c>
      <c r="G545">
        <v>7981500347</v>
      </c>
      <c r="H545" t="s">
        <v>103</v>
      </c>
      <c r="I545" t="s">
        <v>8403</v>
      </c>
      <c r="J545" t="s">
        <v>144</v>
      </c>
      <c r="K545" t="s">
        <v>145</v>
      </c>
      <c r="L545" t="s">
        <v>8404</v>
      </c>
      <c r="M545" t="s">
        <v>8405</v>
      </c>
      <c r="N545" t="s">
        <v>109</v>
      </c>
      <c r="AI545" t="s">
        <v>8406</v>
      </c>
      <c r="AJ545" t="s">
        <v>8407</v>
      </c>
      <c r="AK545" t="s">
        <v>8408</v>
      </c>
      <c r="AL545">
        <v>67.3</v>
      </c>
      <c r="AN545">
        <v>2008</v>
      </c>
      <c r="AO545" t="s">
        <v>113</v>
      </c>
      <c r="AP545" t="s">
        <v>8409</v>
      </c>
      <c r="AQ545" t="s">
        <v>8410</v>
      </c>
      <c r="AR545" t="s">
        <v>4837</v>
      </c>
      <c r="AS545">
        <v>71.7</v>
      </c>
      <c r="AU545">
        <v>2010</v>
      </c>
      <c r="AV545" t="s">
        <v>109</v>
      </c>
      <c r="BC545" t="s">
        <v>113</v>
      </c>
      <c r="BD545" t="s">
        <v>1149</v>
      </c>
      <c r="BE545" t="s">
        <v>8411</v>
      </c>
      <c r="BF545" t="s">
        <v>309</v>
      </c>
      <c r="BG545">
        <v>69.08</v>
      </c>
      <c r="BI545">
        <v>2014</v>
      </c>
      <c r="BJ545">
        <v>1</v>
      </c>
      <c r="BL545">
        <v>15</v>
      </c>
      <c r="BN545" t="s">
        <v>113</v>
      </c>
      <c r="BO545" t="s">
        <v>7995</v>
      </c>
      <c r="BP545" t="s">
        <v>8412</v>
      </c>
      <c r="BQ545" t="s">
        <v>1350</v>
      </c>
      <c r="BR545">
        <v>6.75</v>
      </c>
      <c r="BT545">
        <v>2016</v>
      </c>
      <c r="BU545">
        <v>12</v>
      </c>
      <c r="BW545">
        <v>15</v>
      </c>
      <c r="BY545" t="s">
        <v>109</v>
      </c>
      <c r="CF545" t="s">
        <v>113</v>
      </c>
      <c r="CG545" t="s">
        <v>8413</v>
      </c>
      <c r="CH545" t="s">
        <v>1462</v>
      </c>
      <c r="CI545" t="s">
        <v>132</v>
      </c>
      <c r="CJ545">
        <v>2025</v>
      </c>
      <c r="CL545" t="s">
        <v>113</v>
      </c>
      <c r="CM545" t="s">
        <v>8414</v>
      </c>
      <c r="CN545" t="s">
        <v>113</v>
      </c>
      <c r="CO545" t="s">
        <v>8415</v>
      </c>
      <c r="CP545" t="s">
        <v>8416</v>
      </c>
      <c r="CQ545" t="s">
        <v>8419</v>
      </c>
      <c r="CR545" t="str">
        <f>HYPERLINK("https://nconnect.nicmar.ac.in/public/storage/profile/69a0047f30a64.png","Download")</f>
        <v>0</v>
      </c>
      <c r="CS545" t="str">
        <f>HYPERLINK("https://nconnect.nicmar.ac.in/pdf/710_resume_1772110270.pdf/Y2FyZWVy","View Resume")</f>
        <v>0</v>
      </c>
    </row>
    <row r="546" spans="1:97">
      <c r="A546" t="s">
        <v>367</v>
      </c>
      <c r="B546" t="s">
        <v>138</v>
      </c>
      <c r="C546" t="s">
        <v>295</v>
      </c>
      <c r="D546" t="s">
        <v>368</v>
      </c>
      <c r="E546" t="s">
        <v>8420</v>
      </c>
      <c r="F546" t="s">
        <v>8421</v>
      </c>
      <c r="G546">
        <v>8208539798</v>
      </c>
      <c r="H546" t="s">
        <v>169</v>
      </c>
      <c r="I546" t="s">
        <v>8422</v>
      </c>
      <c r="J546" t="s">
        <v>105</v>
      </c>
      <c r="K546" t="s">
        <v>8423</v>
      </c>
      <c r="L546" t="s">
        <v>8424</v>
      </c>
      <c r="M546" t="s">
        <v>8425</v>
      </c>
      <c r="N546" t="s">
        <v>109</v>
      </c>
      <c r="AI546" t="s">
        <v>8426</v>
      </c>
      <c r="AJ546" t="s">
        <v>8427</v>
      </c>
      <c r="AK546" t="s">
        <v>8428</v>
      </c>
      <c r="AL546">
        <v>90.91</v>
      </c>
      <c r="AN546">
        <v>2009</v>
      </c>
      <c r="AO546" t="s">
        <v>113</v>
      </c>
      <c r="AP546" t="s">
        <v>8429</v>
      </c>
      <c r="AQ546" t="s">
        <v>8427</v>
      </c>
      <c r="AR546" t="s">
        <v>8430</v>
      </c>
      <c r="AS546">
        <v>76.83</v>
      </c>
      <c r="AU546">
        <v>2011</v>
      </c>
      <c r="AV546" t="s">
        <v>109</v>
      </c>
      <c r="BC546" t="s">
        <v>113</v>
      </c>
      <c r="BD546" t="s">
        <v>2744</v>
      </c>
      <c r="BE546" t="s">
        <v>8431</v>
      </c>
      <c r="BF546" t="s">
        <v>2467</v>
      </c>
      <c r="BG546">
        <v>76.67</v>
      </c>
      <c r="BI546">
        <v>2015</v>
      </c>
      <c r="BJ546">
        <v>2</v>
      </c>
      <c r="BL546">
        <v>9</v>
      </c>
      <c r="BN546" t="s">
        <v>113</v>
      </c>
      <c r="BO546" t="s">
        <v>2744</v>
      </c>
      <c r="BP546" t="s">
        <v>8432</v>
      </c>
      <c r="BQ546" t="s">
        <v>8433</v>
      </c>
      <c r="BR546">
        <v>73.6</v>
      </c>
      <c r="BS546">
        <v>7.36</v>
      </c>
      <c r="BT546">
        <v>2018</v>
      </c>
      <c r="BU546">
        <v>14</v>
      </c>
      <c r="BW546">
        <v>47</v>
      </c>
      <c r="BY546" t="s">
        <v>109</v>
      </c>
      <c r="CF546" t="s">
        <v>113</v>
      </c>
      <c r="CG546" t="s">
        <v>8434</v>
      </c>
      <c r="CH546" t="s">
        <v>8435</v>
      </c>
      <c r="CI546" t="s">
        <v>240</v>
      </c>
      <c r="CK546" t="s">
        <v>109</v>
      </c>
      <c r="CL546" t="s">
        <v>113</v>
      </c>
      <c r="CM546" t="s">
        <v>8436</v>
      </c>
      <c r="CN546" t="s">
        <v>113</v>
      </c>
      <c r="CO546" t="s">
        <v>8437</v>
      </c>
      <c r="CP546" t="s">
        <v>8438</v>
      </c>
      <c r="CQ546" t="s">
        <v>8439</v>
      </c>
      <c r="CR546" t="str">
        <f>HYPERLINK("https://nconnect.nicmar.ac.in/public/storage/profile/69a050720cb0e.png","Download")</f>
        <v>0</v>
      </c>
      <c r="CS546" t="str">
        <f>HYPERLINK("https://nconnect.nicmar.ac.in/pdf/718_resume_1772113765.pdf/Y2FyZWVy","View Resume")</f>
        <v>0</v>
      </c>
    </row>
    <row r="547" spans="1:97">
      <c r="A547" t="s">
        <v>137</v>
      </c>
      <c r="B547" t="s">
        <v>138</v>
      </c>
      <c r="C547" t="s">
        <v>139</v>
      </c>
      <c r="D547" t="s">
        <v>140</v>
      </c>
      <c r="E547" t="s">
        <v>8420</v>
      </c>
      <c r="F547" t="s">
        <v>8421</v>
      </c>
      <c r="G547">
        <v>8208539798</v>
      </c>
      <c r="H547" t="s">
        <v>169</v>
      </c>
      <c r="I547" t="s">
        <v>8422</v>
      </c>
      <c r="J547" t="s">
        <v>105</v>
      </c>
      <c r="K547" t="s">
        <v>8423</v>
      </c>
      <c r="L547" t="s">
        <v>8424</v>
      </c>
      <c r="M547" t="s">
        <v>8425</v>
      </c>
      <c r="N547" t="s">
        <v>109</v>
      </c>
      <c r="AI547" t="s">
        <v>8426</v>
      </c>
      <c r="AJ547" t="s">
        <v>8427</v>
      </c>
      <c r="AK547" t="s">
        <v>8428</v>
      </c>
      <c r="AL547">
        <v>90.91</v>
      </c>
      <c r="AN547">
        <v>2009</v>
      </c>
      <c r="AO547" t="s">
        <v>113</v>
      </c>
      <c r="AP547" t="s">
        <v>8429</v>
      </c>
      <c r="AQ547" t="s">
        <v>8427</v>
      </c>
      <c r="AR547" t="s">
        <v>8430</v>
      </c>
      <c r="AS547">
        <v>76.83</v>
      </c>
      <c r="AU547">
        <v>2011</v>
      </c>
      <c r="AV547" t="s">
        <v>109</v>
      </c>
      <c r="BC547" t="s">
        <v>113</v>
      </c>
      <c r="BD547" t="s">
        <v>2744</v>
      </c>
      <c r="BE547" t="s">
        <v>8431</v>
      </c>
      <c r="BF547" t="s">
        <v>2467</v>
      </c>
      <c r="BG547">
        <v>76.67</v>
      </c>
      <c r="BI547">
        <v>2015</v>
      </c>
      <c r="BJ547">
        <v>2</v>
      </c>
      <c r="BL547">
        <v>9</v>
      </c>
      <c r="BN547" t="s">
        <v>113</v>
      </c>
      <c r="BO547" t="s">
        <v>2744</v>
      </c>
      <c r="BP547" t="s">
        <v>8432</v>
      </c>
      <c r="BQ547" t="s">
        <v>8433</v>
      </c>
      <c r="BR547">
        <v>73.6</v>
      </c>
      <c r="BS547">
        <v>7.36</v>
      </c>
      <c r="BT547">
        <v>2018</v>
      </c>
      <c r="BU547">
        <v>14</v>
      </c>
      <c r="BW547">
        <v>47</v>
      </c>
      <c r="BY547" t="s">
        <v>109</v>
      </c>
      <c r="CF547" t="s">
        <v>113</v>
      </c>
      <c r="CG547" t="s">
        <v>8434</v>
      </c>
      <c r="CH547" t="s">
        <v>8435</v>
      </c>
      <c r="CI547" t="s">
        <v>240</v>
      </c>
      <c r="CK547" t="s">
        <v>109</v>
      </c>
      <c r="CL547" t="s">
        <v>113</v>
      </c>
      <c r="CM547" t="s">
        <v>8436</v>
      </c>
      <c r="CN547" t="s">
        <v>113</v>
      </c>
      <c r="CO547" t="s">
        <v>8437</v>
      </c>
      <c r="CP547" t="s">
        <v>8438</v>
      </c>
      <c r="CQ547" t="s">
        <v>8440</v>
      </c>
      <c r="CR547" t="str">
        <f>HYPERLINK("https://nconnect.nicmar.ac.in/public/storage/profile/69a050720cb0e.png","Download")</f>
        <v>0</v>
      </c>
      <c r="CS547" t="str">
        <f>HYPERLINK("https://nconnect.nicmar.ac.in/pdf/718_resume_1772113765.pdf/Y2FyZWVy","View Resume")</f>
        <v>0</v>
      </c>
    </row>
    <row r="548" spans="1:97">
      <c r="A548" t="s">
        <v>1442</v>
      </c>
      <c r="B548" t="s">
        <v>98</v>
      </c>
      <c r="C548" t="s">
        <v>139</v>
      </c>
      <c r="D548" t="s">
        <v>1443</v>
      </c>
      <c r="E548" t="s">
        <v>8420</v>
      </c>
      <c r="F548" t="s">
        <v>8421</v>
      </c>
      <c r="G548">
        <v>8208539798</v>
      </c>
      <c r="H548" t="s">
        <v>169</v>
      </c>
      <c r="I548" t="s">
        <v>8422</v>
      </c>
      <c r="J548" t="s">
        <v>105</v>
      </c>
      <c r="K548" t="s">
        <v>8423</v>
      </c>
      <c r="L548" t="s">
        <v>8424</v>
      </c>
      <c r="M548" t="s">
        <v>8425</v>
      </c>
      <c r="N548" t="s">
        <v>109</v>
      </c>
      <c r="AI548" t="s">
        <v>8426</v>
      </c>
      <c r="AJ548" t="s">
        <v>8427</v>
      </c>
      <c r="AK548" t="s">
        <v>8428</v>
      </c>
      <c r="AL548">
        <v>90.91</v>
      </c>
      <c r="AN548">
        <v>2009</v>
      </c>
      <c r="AO548" t="s">
        <v>113</v>
      </c>
      <c r="AP548" t="s">
        <v>8429</v>
      </c>
      <c r="AQ548" t="s">
        <v>8427</v>
      </c>
      <c r="AR548" t="s">
        <v>8430</v>
      </c>
      <c r="AS548">
        <v>76.83</v>
      </c>
      <c r="AU548">
        <v>2011</v>
      </c>
      <c r="AV548" t="s">
        <v>109</v>
      </c>
      <c r="BC548" t="s">
        <v>113</v>
      </c>
      <c r="BD548" t="s">
        <v>2744</v>
      </c>
      <c r="BE548" t="s">
        <v>8431</v>
      </c>
      <c r="BF548" t="s">
        <v>2467</v>
      </c>
      <c r="BG548">
        <v>76.67</v>
      </c>
      <c r="BI548">
        <v>2015</v>
      </c>
      <c r="BJ548">
        <v>2</v>
      </c>
      <c r="BL548">
        <v>9</v>
      </c>
      <c r="BN548" t="s">
        <v>113</v>
      </c>
      <c r="BO548" t="s">
        <v>2744</v>
      </c>
      <c r="BP548" t="s">
        <v>8432</v>
      </c>
      <c r="BQ548" t="s">
        <v>8433</v>
      </c>
      <c r="BR548">
        <v>73.6</v>
      </c>
      <c r="BS548">
        <v>7.36</v>
      </c>
      <c r="BT548">
        <v>2018</v>
      </c>
      <c r="BU548">
        <v>14</v>
      </c>
      <c r="BW548">
        <v>47</v>
      </c>
      <c r="BY548" t="s">
        <v>109</v>
      </c>
      <c r="CF548" t="s">
        <v>113</v>
      </c>
      <c r="CG548" t="s">
        <v>8434</v>
      </c>
      <c r="CH548" t="s">
        <v>8435</v>
      </c>
      <c r="CI548" t="s">
        <v>240</v>
      </c>
      <c r="CK548" t="s">
        <v>109</v>
      </c>
      <c r="CL548" t="s">
        <v>113</v>
      </c>
      <c r="CM548" t="s">
        <v>8436</v>
      </c>
      <c r="CN548" t="s">
        <v>113</v>
      </c>
      <c r="CO548" t="s">
        <v>8437</v>
      </c>
      <c r="CP548" t="s">
        <v>8438</v>
      </c>
      <c r="CQ548" t="s">
        <v>8441</v>
      </c>
      <c r="CR548" t="str">
        <f>HYPERLINK("https://nconnect.nicmar.ac.in/public/storage/profile/69a050720cb0e.png","Download")</f>
        <v>0</v>
      </c>
      <c r="CS548" t="str">
        <f>HYPERLINK("https://nconnect.nicmar.ac.in/pdf/718_resume_1772113765.pdf/Y2FyZWVy","View Resume")</f>
        <v>0</v>
      </c>
    </row>
    <row r="549" spans="1:97">
      <c r="A549" t="s">
        <v>1624</v>
      </c>
      <c r="B549" t="s">
        <v>318</v>
      </c>
      <c r="C549" t="s">
        <v>99</v>
      </c>
      <c r="D549" t="s">
        <v>1625</v>
      </c>
      <c r="E549" t="s">
        <v>8420</v>
      </c>
      <c r="F549" t="s">
        <v>8421</v>
      </c>
      <c r="G549">
        <v>8208539798</v>
      </c>
      <c r="H549" t="s">
        <v>169</v>
      </c>
      <c r="I549" t="s">
        <v>8422</v>
      </c>
      <c r="J549" t="s">
        <v>105</v>
      </c>
      <c r="K549" t="s">
        <v>8423</v>
      </c>
      <c r="L549" t="s">
        <v>8424</v>
      </c>
      <c r="M549" t="s">
        <v>8425</v>
      </c>
      <c r="N549" t="s">
        <v>109</v>
      </c>
      <c r="AI549" t="s">
        <v>8426</v>
      </c>
      <c r="AJ549" t="s">
        <v>8427</v>
      </c>
      <c r="AK549" t="s">
        <v>8428</v>
      </c>
      <c r="AL549">
        <v>90.91</v>
      </c>
      <c r="AN549">
        <v>2009</v>
      </c>
      <c r="AO549" t="s">
        <v>113</v>
      </c>
      <c r="AP549" t="s">
        <v>8429</v>
      </c>
      <c r="AQ549" t="s">
        <v>8427</v>
      </c>
      <c r="AR549" t="s">
        <v>8430</v>
      </c>
      <c r="AS549">
        <v>76.83</v>
      </c>
      <c r="AU549">
        <v>2011</v>
      </c>
      <c r="AV549" t="s">
        <v>109</v>
      </c>
      <c r="BC549" t="s">
        <v>113</v>
      </c>
      <c r="BD549" t="s">
        <v>2744</v>
      </c>
      <c r="BE549" t="s">
        <v>8431</v>
      </c>
      <c r="BF549" t="s">
        <v>2467</v>
      </c>
      <c r="BG549">
        <v>76.67</v>
      </c>
      <c r="BI549">
        <v>2015</v>
      </c>
      <c r="BJ549">
        <v>2</v>
      </c>
      <c r="BL549">
        <v>9</v>
      </c>
      <c r="BN549" t="s">
        <v>113</v>
      </c>
      <c r="BO549" t="s">
        <v>2744</v>
      </c>
      <c r="BP549" t="s">
        <v>8432</v>
      </c>
      <c r="BQ549" t="s">
        <v>8433</v>
      </c>
      <c r="BR549">
        <v>73.6</v>
      </c>
      <c r="BS549">
        <v>7.36</v>
      </c>
      <c r="BT549">
        <v>2018</v>
      </c>
      <c r="BU549">
        <v>14</v>
      </c>
      <c r="BW549">
        <v>47</v>
      </c>
      <c r="BY549" t="s">
        <v>109</v>
      </c>
      <c r="CF549" t="s">
        <v>113</v>
      </c>
      <c r="CG549" t="s">
        <v>8434</v>
      </c>
      <c r="CH549" t="s">
        <v>8435</v>
      </c>
      <c r="CI549" t="s">
        <v>240</v>
      </c>
      <c r="CK549" t="s">
        <v>109</v>
      </c>
      <c r="CL549" t="s">
        <v>113</v>
      </c>
      <c r="CM549" t="s">
        <v>8436</v>
      </c>
      <c r="CN549" t="s">
        <v>113</v>
      </c>
      <c r="CO549" t="s">
        <v>8437</v>
      </c>
      <c r="CP549" t="s">
        <v>8438</v>
      </c>
      <c r="CQ549" t="s">
        <v>8441</v>
      </c>
      <c r="CR549" t="str">
        <f>HYPERLINK("https://nconnect.nicmar.ac.in/public/storage/profile/69a050720cb0e.png","Download")</f>
        <v>0</v>
      </c>
      <c r="CS549" t="str">
        <f>HYPERLINK("https://nconnect.nicmar.ac.in/pdf/718_resume_1772113765.pdf/Y2FyZWVy","View Resume")</f>
        <v>0</v>
      </c>
    </row>
    <row r="550" spans="1:97">
      <c r="A550" t="s">
        <v>190</v>
      </c>
      <c r="B550" t="s">
        <v>138</v>
      </c>
      <c r="C550" t="s">
        <v>139</v>
      </c>
      <c r="D550" t="s">
        <v>191</v>
      </c>
      <c r="E550" t="s">
        <v>8442</v>
      </c>
      <c r="F550" t="s">
        <v>8443</v>
      </c>
      <c r="G550">
        <v>8668608867</v>
      </c>
      <c r="H550" t="s">
        <v>103</v>
      </c>
      <c r="I550" t="s">
        <v>8444</v>
      </c>
      <c r="J550" t="s">
        <v>105</v>
      </c>
      <c r="K550" t="s">
        <v>526</v>
      </c>
      <c r="L550" t="s">
        <v>8445</v>
      </c>
      <c r="M550" t="s">
        <v>8446</v>
      </c>
      <c r="N550" t="s">
        <v>109</v>
      </c>
      <c r="AI550" t="s">
        <v>8447</v>
      </c>
      <c r="AJ550" t="s">
        <v>8448</v>
      </c>
      <c r="AK550" t="s">
        <v>8449</v>
      </c>
      <c r="AL550">
        <v>83</v>
      </c>
      <c r="AN550">
        <v>1994</v>
      </c>
      <c r="AO550" t="s">
        <v>113</v>
      </c>
      <c r="AP550" t="s">
        <v>8450</v>
      </c>
      <c r="AQ550" t="s">
        <v>8451</v>
      </c>
      <c r="AR550" t="s">
        <v>8452</v>
      </c>
      <c r="AS550">
        <v>67</v>
      </c>
      <c r="AU550">
        <v>1996</v>
      </c>
      <c r="AV550" t="s">
        <v>109</v>
      </c>
      <c r="BC550" t="s">
        <v>113</v>
      </c>
      <c r="BD550" t="s">
        <v>8453</v>
      </c>
      <c r="BE550" t="s">
        <v>1896</v>
      </c>
      <c r="BF550" t="s">
        <v>281</v>
      </c>
      <c r="BG550">
        <v>81</v>
      </c>
      <c r="BI550">
        <v>1999</v>
      </c>
      <c r="BJ550">
        <v>19</v>
      </c>
      <c r="BK550" t="s">
        <v>1383</v>
      </c>
      <c r="BL550">
        <v>53</v>
      </c>
      <c r="BM550" t="s">
        <v>281</v>
      </c>
      <c r="BN550" t="s">
        <v>113</v>
      </c>
      <c r="BO550" t="s">
        <v>3093</v>
      </c>
      <c r="BP550" t="s">
        <v>8454</v>
      </c>
      <c r="BQ550" t="s">
        <v>281</v>
      </c>
      <c r="BR550">
        <v>78</v>
      </c>
      <c r="BT550">
        <v>2001</v>
      </c>
      <c r="BU550">
        <v>31</v>
      </c>
      <c r="BV550" t="s">
        <v>1387</v>
      </c>
      <c r="BW550">
        <v>53</v>
      </c>
      <c r="BX550" t="s">
        <v>281</v>
      </c>
      <c r="BY550" t="s">
        <v>109</v>
      </c>
      <c r="CF550" t="s">
        <v>109</v>
      </c>
      <c r="CL550" t="s">
        <v>113</v>
      </c>
      <c r="CM550" t="s">
        <v>8455</v>
      </c>
      <c r="CN550" t="s">
        <v>113</v>
      </c>
      <c r="CO550" t="s">
        <v>8456</v>
      </c>
      <c r="CP550" t="s">
        <v>460</v>
      </c>
      <c r="CQ550" t="s">
        <v>8457</v>
      </c>
      <c r="CR550" t="s">
        <v>136</v>
      </c>
      <c r="CS550" t="str">
        <f>HYPERLINK("https://nconnect.nicmar.ac.in/pdf/721_resume_1772115540.pdf/Y2FyZWVy","View Resume")</f>
        <v>0</v>
      </c>
    </row>
    <row r="551" spans="1:97">
      <c r="A551" t="s">
        <v>846</v>
      </c>
      <c r="B551" t="s">
        <v>138</v>
      </c>
      <c r="C551" t="s">
        <v>165</v>
      </c>
      <c r="D551" t="s">
        <v>847</v>
      </c>
      <c r="E551" t="s">
        <v>8458</v>
      </c>
      <c r="F551" t="s">
        <v>8459</v>
      </c>
      <c r="G551">
        <v>9970617006</v>
      </c>
      <c r="H551" t="s">
        <v>103</v>
      </c>
      <c r="I551" t="s">
        <v>8460</v>
      </c>
      <c r="J551" t="s">
        <v>105</v>
      </c>
      <c r="K551" t="s">
        <v>145</v>
      </c>
      <c r="L551" t="s">
        <v>8461</v>
      </c>
      <c r="M551" t="s">
        <v>8462</v>
      </c>
      <c r="N551" t="s">
        <v>109</v>
      </c>
      <c r="AI551" t="s">
        <v>8463</v>
      </c>
      <c r="AJ551" t="s">
        <v>1542</v>
      </c>
      <c r="AK551" t="s">
        <v>277</v>
      </c>
      <c r="AL551">
        <v>57</v>
      </c>
      <c r="AN551">
        <v>2002</v>
      </c>
      <c r="AO551" t="s">
        <v>113</v>
      </c>
      <c r="AP551" t="s">
        <v>8464</v>
      </c>
      <c r="AQ551" t="s">
        <v>1542</v>
      </c>
      <c r="AR551" t="s">
        <v>6057</v>
      </c>
      <c r="AS551">
        <v>71</v>
      </c>
      <c r="AU551">
        <v>2004</v>
      </c>
      <c r="AV551" t="s">
        <v>109</v>
      </c>
      <c r="BC551" t="s">
        <v>113</v>
      </c>
      <c r="BD551" t="s">
        <v>8465</v>
      </c>
      <c r="BE551" t="s">
        <v>8464</v>
      </c>
      <c r="BF551" t="s">
        <v>1071</v>
      </c>
      <c r="BG551">
        <v>63.5</v>
      </c>
      <c r="BI551">
        <v>2007</v>
      </c>
      <c r="BJ551">
        <v>19</v>
      </c>
      <c r="BK551" t="s">
        <v>862</v>
      </c>
      <c r="BL551">
        <v>17</v>
      </c>
      <c r="BN551" t="s">
        <v>113</v>
      </c>
      <c r="BO551" t="s">
        <v>3308</v>
      </c>
      <c r="BP551" t="s">
        <v>8466</v>
      </c>
      <c r="BQ551" t="s">
        <v>338</v>
      </c>
      <c r="BR551">
        <v>63</v>
      </c>
      <c r="BT551">
        <v>2011</v>
      </c>
      <c r="BU551">
        <v>31</v>
      </c>
      <c r="BV551" t="s">
        <v>339</v>
      </c>
      <c r="BW551">
        <v>23</v>
      </c>
      <c r="BY551" t="s">
        <v>113</v>
      </c>
      <c r="BZ551" t="s">
        <v>3308</v>
      </c>
      <c r="CA551" t="s">
        <v>8467</v>
      </c>
      <c r="CB551" t="s">
        <v>8468</v>
      </c>
      <c r="CC551">
        <v>70.5</v>
      </c>
      <c r="CE551">
        <v>2009</v>
      </c>
      <c r="CF551" t="s">
        <v>113</v>
      </c>
      <c r="CG551" t="s">
        <v>1071</v>
      </c>
      <c r="CH551" t="s">
        <v>3308</v>
      </c>
      <c r="CI551" t="s">
        <v>132</v>
      </c>
      <c r="CJ551">
        <v>2025</v>
      </c>
      <c r="CL551" t="s">
        <v>113</v>
      </c>
      <c r="CM551" t="s">
        <v>8469</v>
      </c>
      <c r="CN551" t="s">
        <v>113</v>
      </c>
      <c r="CO551" t="s">
        <v>8470</v>
      </c>
      <c r="CP551" t="s">
        <v>8471</v>
      </c>
      <c r="CQ551" t="s">
        <v>8472</v>
      </c>
      <c r="CR551" t="str">
        <f>HYPERLINK("https://nconnect.nicmar.ac.in/public/storage/profile/69980837d795b.png","Download")</f>
        <v>0</v>
      </c>
      <c r="CS551" t="str">
        <f>HYPERLINK("https://nconnect.nicmar.ac.in/pdf/328_resume_1772122725.pdf/Y2FyZWVy","View Resume")</f>
        <v>0</v>
      </c>
    </row>
    <row r="552" spans="1:97">
      <c r="A552" t="s">
        <v>501</v>
      </c>
      <c r="B552" t="s">
        <v>138</v>
      </c>
      <c r="C552" t="s">
        <v>165</v>
      </c>
      <c r="D552" t="s">
        <v>319</v>
      </c>
      <c r="E552" t="s">
        <v>8458</v>
      </c>
      <c r="F552" t="s">
        <v>8459</v>
      </c>
      <c r="G552">
        <v>9970617006</v>
      </c>
      <c r="H552" t="s">
        <v>103</v>
      </c>
      <c r="I552" t="s">
        <v>8460</v>
      </c>
      <c r="J552" t="s">
        <v>105</v>
      </c>
      <c r="K552" t="s">
        <v>145</v>
      </c>
      <c r="L552" t="s">
        <v>8461</v>
      </c>
      <c r="M552" t="s">
        <v>8462</v>
      </c>
      <c r="N552" t="s">
        <v>109</v>
      </c>
      <c r="AI552" t="s">
        <v>8463</v>
      </c>
      <c r="AJ552" t="s">
        <v>1542</v>
      </c>
      <c r="AK552" t="s">
        <v>277</v>
      </c>
      <c r="AL552">
        <v>57</v>
      </c>
      <c r="AN552">
        <v>2002</v>
      </c>
      <c r="AO552" t="s">
        <v>113</v>
      </c>
      <c r="AP552" t="s">
        <v>8464</v>
      </c>
      <c r="AQ552" t="s">
        <v>1542</v>
      </c>
      <c r="AR552" t="s">
        <v>6057</v>
      </c>
      <c r="AS552">
        <v>71</v>
      </c>
      <c r="AU552">
        <v>2004</v>
      </c>
      <c r="AV552" t="s">
        <v>109</v>
      </c>
      <c r="BC552" t="s">
        <v>113</v>
      </c>
      <c r="BD552" t="s">
        <v>8465</v>
      </c>
      <c r="BE552" t="s">
        <v>8464</v>
      </c>
      <c r="BF552" t="s">
        <v>1071</v>
      </c>
      <c r="BG552">
        <v>63.5</v>
      </c>
      <c r="BI552">
        <v>2007</v>
      </c>
      <c r="BJ552">
        <v>19</v>
      </c>
      <c r="BK552" t="s">
        <v>862</v>
      </c>
      <c r="BL552">
        <v>17</v>
      </c>
      <c r="BN552" t="s">
        <v>113</v>
      </c>
      <c r="BO552" t="s">
        <v>3308</v>
      </c>
      <c r="BP552" t="s">
        <v>8466</v>
      </c>
      <c r="BQ552" t="s">
        <v>338</v>
      </c>
      <c r="BR552">
        <v>63</v>
      </c>
      <c r="BT552">
        <v>2011</v>
      </c>
      <c r="BU552">
        <v>31</v>
      </c>
      <c r="BV552" t="s">
        <v>339</v>
      </c>
      <c r="BW552">
        <v>23</v>
      </c>
      <c r="BY552" t="s">
        <v>113</v>
      </c>
      <c r="BZ552" t="s">
        <v>3308</v>
      </c>
      <c r="CA552" t="s">
        <v>8467</v>
      </c>
      <c r="CB552" t="s">
        <v>8468</v>
      </c>
      <c r="CC552">
        <v>70.5</v>
      </c>
      <c r="CE552">
        <v>2009</v>
      </c>
      <c r="CF552" t="s">
        <v>113</v>
      </c>
      <c r="CG552" t="s">
        <v>1071</v>
      </c>
      <c r="CH552" t="s">
        <v>3308</v>
      </c>
      <c r="CI552" t="s">
        <v>132</v>
      </c>
      <c r="CJ552">
        <v>2025</v>
      </c>
      <c r="CL552" t="s">
        <v>113</v>
      </c>
      <c r="CM552" t="s">
        <v>8469</v>
      </c>
      <c r="CN552" t="s">
        <v>113</v>
      </c>
      <c r="CO552" t="s">
        <v>8470</v>
      </c>
      <c r="CP552" t="s">
        <v>8471</v>
      </c>
      <c r="CQ552" t="s">
        <v>8472</v>
      </c>
      <c r="CR552" t="str">
        <f>HYPERLINK("https://nconnect.nicmar.ac.in/public/storage/profile/69980837d795b.png","Download")</f>
        <v>0</v>
      </c>
      <c r="CS552" t="str">
        <f>HYPERLINK("https://nconnect.nicmar.ac.in/pdf/328_resume_1772122725.pdf/Y2FyZWVy","View Resume")</f>
        <v>0</v>
      </c>
    </row>
    <row r="553" spans="1:97">
      <c r="A553" t="s">
        <v>192</v>
      </c>
      <c r="B553" t="s">
        <v>138</v>
      </c>
      <c r="C553" t="s">
        <v>165</v>
      </c>
      <c r="D553" t="s">
        <v>193</v>
      </c>
      <c r="E553" t="s">
        <v>8473</v>
      </c>
      <c r="F553" t="s">
        <v>8474</v>
      </c>
      <c r="G553">
        <v>9860440839</v>
      </c>
      <c r="H553" t="s">
        <v>103</v>
      </c>
      <c r="I553" t="s">
        <v>8475</v>
      </c>
      <c r="J553" t="s">
        <v>105</v>
      </c>
      <c r="K553" t="s">
        <v>8476</v>
      </c>
      <c r="L553" t="s">
        <v>8477</v>
      </c>
      <c r="M553" t="s">
        <v>8478</v>
      </c>
      <c r="N553" t="s">
        <v>113</v>
      </c>
      <c r="O553" t="s">
        <v>8479</v>
      </c>
      <c r="P553" t="s">
        <v>8480</v>
      </c>
      <c r="AI553" t="s">
        <v>8481</v>
      </c>
      <c r="AJ553" t="s">
        <v>8482</v>
      </c>
      <c r="AK553" t="s">
        <v>8483</v>
      </c>
      <c r="AL553">
        <v>65.2</v>
      </c>
      <c r="AN553">
        <v>2000</v>
      </c>
      <c r="AO553" t="s">
        <v>113</v>
      </c>
      <c r="AP553" t="s">
        <v>8484</v>
      </c>
      <c r="AQ553" t="s">
        <v>8482</v>
      </c>
      <c r="AR553" t="s">
        <v>8485</v>
      </c>
      <c r="AS553">
        <v>72.33</v>
      </c>
      <c r="AU553">
        <v>2002</v>
      </c>
      <c r="AV553" t="s">
        <v>109</v>
      </c>
      <c r="BC553" t="s">
        <v>113</v>
      </c>
      <c r="BD553" t="s">
        <v>8486</v>
      </c>
      <c r="BE553" t="s">
        <v>8487</v>
      </c>
      <c r="BF553" t="s">
        <v>8488</v>
      </c>
      <c r="BG553">
        <v>65.25</v>
      </c>
      <c r="BI553">
        <v>2007</v>
      </c>
      <c r="BJ553">
        <v>19</v>
      </c>
      <c r="BK553" t="s">
        <v>2743</v>
      </c>
      <c r="BL553">
        <v>53</v>
      </c>
      <c r="BM553" t="s">
        <v>8489</v>
      </c>
      <c r="BN553" t="s">
        <v>113</v>
      </c>
      <c r="BO553" t="s">
        <v>8490</v>
      </c>
      <c r="BP553" t="s">
        <v>8491</v>
      </c>
      <c r="BQ553" t="s">
        <v>193</v>
      </c>
      <c r="BR553">
        <v>69.16</v>
      </c>
      <c r="BT553">
        <v>2009</v>
      </c>
      <c r="BU553">
        <v>31</v>
      </c>
      <c r="BV553" t="s">
        <v>339</v>
      </c>
      <c r="BW553">
        <v>33</v>
      </c>
      <c r="BY553" t="s">
        <v>109</v>
      </c>
      <c r="CF553" t="s">
        <v>113</v>
      </c>
      <c r="CG553" t="s">
        <v>4649</v>
      </c>
      <c r="CH553" t="s">
        <v>8492</v>
      </c>
      <c r="CI553" t="s">
        <v>132</v>
      </c>
      <c r="CJ553">
        <v>2022</v>
      </c>
      <c r="CL553" t="s">
        <v>113</v>
      </c>
      <c r="CM553" t="s">
        <v>8493</v>
      </c>
      <c r="CN553" t="s">
        <v>113</v>
      </c>
      <c r="CO553" t="s">
        <v>8494</v>
      </c>
      <c r="CP553" t="s">
        <v>435</v>
      </c>
      <c r="CQ553" t="s">
        <v>8495</v>
      </c>
      <c r="CR553" t="str">
        <f>HYPERLINK("https://nconnect.nicmar.ac.in/public/storage/profile/69a0821edd175.png","Download")</f>
        <v>0</v>
      </c>
      <c r="CS553" t="str">
        <f>HYPERLINK("https://nconnect.nicmar.ac.in/pdf/719_resume_1772126829.pdf/Y2FyZWVy","View Resume")</f>
        <v>0</v>
      </c>
    </row>
    <row r="554" spans="1:97">
      <c r="A554" t="s">
        <v>501</v>
      </c>
      <c r="B554" t="s">
        <v>138</v>
      </c>
      <c r="C554" t="s">
        <v>165</v>
      </c>
      <c r="D554" t="s">
        <v>319</v>
      </c>
      <c r="E554" t="s">
        <v>8496</v>
      </c>
      <c r="F554" t="s">
        <v>8497</v>
      </c>
      <c r="G554">
        <v>9049417976</v>
      </c>
      <c r="H554" t="s">
        <v>169</v>
      </c>
      <c r="I554" t="s">
        <v>8498</v>
      </c>
      <c r="J554" t="s">
        <v>105</v>
      </c>
      <c r="K554" t="s">
        <v>505</v>
      </c>
      <c r="L554" t="s">
        <v>8499</v>
      </c>
      <c r="M554" t="s">
        <v>8500</v>
      </c>
      <c r="N554" t="s">
        <v>109</v>
      </c>
      <c r="AI554" t="s">
        <v>8501</v>
      </c>
      <c r="AJ554" t="s">
        <v>8502</v>
      </c>
      <c r="AK554" t="s">
        <v>6057</v>
      </c>
      <c r="AL554">
        <v>73</v>
      </c>
      <c r="AN554">
        <v>2002</v>
      </c>
      <c r="AO554" t="s">
        <v>113</v>
      </c>
      <c r="AP554" t="s">
        <v>8503</v>
      </c>
      <c r="AQ554" t="s">
        <v>8504</v>
      </c>
      <c r="AR554" t="s">
        <v>6057</v>
      </c>
      <c r="AS554">
        <v>68</v>
      </c>
      <c r="AU554">
        <v>2004</v>
      </c>
      <c r="AV554" t="s">
        <v>109</v>
      </c>
      <c r="BC554" t="s">
        <v>113</v>
      </c>
      <c r="BD554" t="s">
        <v>8505</v>
      </c>
      <c r="BE554" t="s">
        <v>8506</v>
      </c>
      <c r="BF554" t="s">
        <v>1071</v>
      </c>
      <c r="BG554">
        <v>72</v>
      </c>
      <c r="BI554">
        <v>2007</v>
      </c>
      <c r="BJ554">
        <v>19</v>
      </c>
      <c r="BK554" t="s">
        <v>8507</v>
      </c>
      <c r="BL554">
        <v>17</v>
      </c>
      <c r="BM554" t="s">
        <v>1310</v>
      </c>
      <c r="BN554" t="s">
        <v>113</v>
      </c>
      <c r="BO554" t="s">
        <v>8508</v>
      </c>
      <c r="BP554" t="s">
        <v>8509</v>
      </c>
      <c r="BQ554" t="s">
        <v>8510</v>
      </c>
      <c r="BR554">
        <v>75</v>
      </c>
      <c r="BT554">
        <v>2009</v>
      </c>
      <c r="BU554">
        <v>31</v>
      </c>
      <c r="BW554">
        <v>23</v>
      </c>
      <c r="BY554" t="s">
        <v>109</v>
      </c>
      <c r="CF554" t="s">
        <v>113</v>
      </c>
      <c r="CG554" t="s">
        <v>338</v>
      </c>
      <c r="CH554" t="s">
        <v>8511</v>
      </c>
      <c r="CI554" t="s">
        <v>240</v>
      </c>
      <c r="CK554" t="s">
        <v>113</v>
      </c>
      <c r="CL554" t="s">
        <v>113</v>
      </c>
      <c r="CM554" t="s">
        <v>8512</v>
      </c>
      <c r="CN554" t="s">
        <v>113</v>
      </c>
      <c r="CO554" t="s">
        <v>8513</v>
      </c>
      <c r="CP554" t="s">
        <v>460</v>
      </c>
      <c r="CQ554" t="s">
        <v>8514</v>
      </c>
      <c r="CR554" t="s">
        <v>136</v>
      </c>
      <c r="CS554" t="str">
        <f>HYPERLINK("https://nconnect.nicmar.ac.in/pdf/688_resume_1772129389.pdf/Y2FyZWVy","View Resume")</f>
        <v>0</v>
      </c>
    </row>
    <row r="555" spans="1:97">
      <c r="A555" t="s">
        <v>223</v>
      </c>
      <c r="B555" t="s">
        <v>138</v>
      </c>
      <c r="C555" t="s">
        <v>165</v>
      </c>
      <c r="D555" t="s">
        <v>224</v>
      </c>
      <c r="E555" t="s">
        <v>7795</v>
      </c>
      <c r="F555" t="s">
        <v>7796</v>
      </c>
      <c r="G555">
        <v>9829069754</v>
      </c>
      <c r="H555" t="s">
        <v>103</v>
      </c>
      <c r="I555" t="s">
        <v>7797</v>
      </c>
      <c r="J555" t="s">
        <v>105</v>
      </c>
      <c r="K555" t="s">
        <v>228</v>
      </c>
      <c r="L555" t="s">
        <v>7798</v>
      </c>
      <c r="M555" t="s">
        <v>7799</v>
      </c>
      <c r="N555" t="s">
        <v>109</v>
      </c>
      <c r="AI555" t="s">
        <v>7800</v>
      </c>
      <c r="AJ555" t="s">
        <v>3650</v>
      </c>
      <c r="AK555" t="s">
        <v>7801</v>
      </c>
      <c r="AL555">
        <v>60.6</v>
      </c>
      <c r="AN555">
        <v>1979</v>
      </c>
      <c r="AO555" t="s">
        <v>113</v>
      </c>
      <c r="AP555" t="s">
        <v>7802</v>
      </c>
      <c r="AQ555" t="s">
        <v>3650</v>
      </c>
      <c r="AR555" t="s">
        <v>7803</v>
      </c>
      <c r="AS555">
        <v>49.4</v>
      </c>
      <c r="AU555">
        <v>1981</v>
      </c>
      <c r="AV555" t="s">
        <v>113</v>
      </c>
      <c r="AW555" t="s">
        <v>7804</v>
      </c>
      <c r="AX555" t="s">
        <v>7805</v>
      </c>
      <c r="AY555" t="s">
        <v>7806</v>
      </c>
      <c r="AZ555">
        <v>62.6</v>
      </c>
      <c r="BB555">
        <v>1995</v>
      </c>
      <c r="BC555" t="s">
        <v>113</v>
      </c>
      <c r="BD555" t="s">
        <v>7807</v>
      </c>
      <c r="BE555" t="s">
        <v>7808</v>
      </c>
      <c r="BF555" t="s">
        <v>7809</v>
      </c>
      <c r="BG555">
        <v>48.3</v>
      </c>
      <c r="BI555">
        <v>1986</v>
      </c>
      <c r="BJ555">
        <v>19</v>
      </c>
      <c r="BK555" t="s">
        <v>624</v>
      </c>
      <c r="BL555">
        <v>53</v>
      </c>
      <c r="BM555" t="s">
        <v>7810</v>
      </c>
      <c r="BN555" t="s">
        <v>113</v>
      </c>
      <c r="BO555" t="s">
        <v>7811</v>
      </c>
      <c r="BP555" t="s">
        <v>7812</v>
      </c>
      <c r="BQ555" t="s">
        <v>7813</v>
      </c>
      <c r="BR555">
        <v>63.6</v>
      </c>
      <c r="BT555">
        <v>1999</v>
      </c>
      <c r="BU555">
        <v>31</v>
      </c>
      <c r="BV555" t="s">
        <v>7814</v>
      </c>
      <c r="BW555">
        <v>53</v>
      </c>
      <c r="BX555" t="s">
        <v>7815</v>
      </c>
      <c r="BY555" t="s">
        <v>113</v>
      </c>
      <c r="BZ555" t="s">
        <v>7816</v>
      </c>
      <c r="CA555" t="s">
        <v>7808</v>
      </c>
      <c r="CB555" t="s">
        <v>7817</v>
      </c>
      <c r="CC555">
        <v>54.05</v>
      </c>
      <c r="CE555">
        <v>1989</v>
      </c>
      <c r="CF555" t="s">
        <v>113</v>
      </c>
      <c r="CG555" t="s">
        <v>451</v>
      </c>
      <c r="CH555" t="s">
        <v>7818</v>
      </c>
      <c r="CI555" t="s">
        <v>132</v>
      </c>
      <c r="CJ555">
        <v>2019</v>
      </c>
      <c r="CL555" t="s">
        <v>113</v>
      </c>
      <c r="CM555" t="s">
        <v>7819</v>
      </c>
      <c r="CN555" t="s">
        <v>113</v>
      </c>
      <c r="CO555" t="s">
        <v>7820</v>
      </c>
      <c r="CP555" t="s">
        <v>7821</v>
      </c>
      <c r="CQ555" t="s">
        <v>8515</v>
      </c>
      <c r="CR555" t="str">
        <f>HYPERLINK("https://nconnect.nicmar.ac.in/public/storage/profile/69a094226407e.png","Download")</f>
        <v>0</v>
      </c>
      <c r="CS555" t="str">
        <f>HYPERLINK("https://nconnect.nicmar.ac.in/pdf/403_resume_1772131749.pdf/Y2FyZWVy","View Resume")</f>
        <v>0</v>
      </c>
    </row>
    <row r="556" spans="1:97">
      <c r="A556" t="s">
        <v>190</v>
      </c>
      <c r="B556" t="s">
        <v>138</v>
      </c>
      <c r="C556" t="s">
        <v>139</v>
      </c>
      <c r="D556" t="s">
        <v>191</v>
      </c>
      <c r="E556" t="s">
        <v>8516</v>
      </c>
      <c r="F556" t="s">
        <v>8517</v>
      </c>
      <c r="G556">
        <v>9776925466</v>
      </c>
      <c r="H556" t="s">
        <v>103</v>
      </c>
      <c r="I556" t="s">
        <v>8518</v>
      </c>
      <c r="J556" t="s">
        <v>144</v>
      </c>
      <c r="K556" t="s">
        <v>7740</v>
      </c>
      <c r="L556" t="s">
        <v>8519</v>
      </c>
      <c r="M556" t="s">
        <v>8520</v>
      </c>
      <c r="N556" t="s">
        <v>109</v>
      </c>
      <c r="AI556" t="s">
        <v>8521</v>
      </c>
      <c r="AJ556" t="s">
        <v>8522</v>
      </c>
      <c r="AK556" t="s">
        <v>2079</v>
      </c>
      <c r="AL556">
        <v>49</v>
      </c>
      <c r="AN556">
        <v>2009</v>
      </c>
      <c r="AO556" t="s">
        <v>113</v>
      </c>
      <c r="AP556" t="s">
        <v>8523</v>
      </c>
      <c r="AQ556" t="s">
        <v>8524</v>
      </c>
      <c r="AR556" t="s">
        <v>1008</v>
      </c>
      <c r="AS556">
        <v>44</v>
      </c>
      <c r="AU556">
        <v>2012</v>
      </c>
      <c r="AV556" t="s">
        <v>109</v>
      </c>
      <c r="BC556" t="s">
        <v>113</v>
      </c>
      <c r="BD556" t="s">
        <v>8525</v>
      </c>
      <c r="BE556" t="s">
        <v>7950</v>
      </c>
      <c r="BF556" t="s">
        <v>2079</v>
      </c>
      <c r="BG556">
        <v>55</v>
      </c>
      <c r="BI556">
        <v>2016</v>
      </c>
      <c r="BJ556">
        <v>19</v>
      </c>
      <c r="BK556" t="s">
        <v>8526</v>
      </c>
      <c r="BL556">
        <v>53</v>
      </c>
      <c r="BM556" t="s">
        <v>2079</v>
      </c>
      <c r="BN556" t="s">
        <v>113</v>
      </c>
      <c r="BO556" t="s">
        <v>8527</v>
      </c>
      <c r="BP556" t="s">
        <v>8527</v>
      </c>
      <c r="BQ556" t="s">
        <v>2079</v>
      </c>
      <c r="BR556">
        <v>75</v>
      </c>
      <c r="BT556">
        <v>2018</v>
      </c>
      <c r="BU556">
        <v>31</v>
      </c>
      <c r="BV556" t="s">
        <v>8528</v>
      </c>
      <c r="BW556">
        <v>53</v>
      </c>
      <c r="BX556" t="s">
        <v>2079</v>
      </c>
      <c r="BY556" t="s">
        <v>109</v>
      </c>
      <c r="CF556" t="s">
        <v>113</v>
      </c>
      <c r="CG556" t="s">
        <v>8529</v>
      </c>
      <c r="CH556" t="s">
        <v>8530</v>
      </c>
      <c r="CI556" t="s">
        <v>132</v>
      </c>
      <c r="CJ556">
        <v>2025</v>
      </c>
      <c r="CL556" t="s">
        <v>113</v>
      </c>
      <c r="CM556" t="s">
        <v>8531</v>
      </c>
      <c r="CN556" t="s">
        <v>109</v>
      </c>
      <c r="CP556" t="s">
        <v>8532</v>
      </c>
      <c r="CQ556" t="s">
        <v>8533</v>
      </c>
      <c r="CR556" t="str">
        <f>HYPERLINK("https://nconnect.nicmar.ac.in/public/storage/profile/699dcc819aa97.png","Download")</f>
        <v>0</v>
      </c>
      <c r="CS556" t="str">
        <f>HYPERLINK("https://nconnect.nicmar.ac.in/pdf/642_resume_1772149985.pdf/Y2FyZWVy","View Resume")</f>
        <v>0</v>
      </c>
    </row>
    <row r="557" spans="1:97">
      <c r="A557" t="s">
        <v>3528</v>
      </c>
      <c r="B557" t="s">
        <v>318</v>
      </c>
      <c r="C557" t="s">
        <v>99</v>
      </c>
      <c r="D557" t="s">
        <v>3529</v>
      </c>
      <c r="E557" t="s">
        <v>8534</v>
      </c>
      <c r="F557" t="s">
        <v>8535</v>
      </c>
      <c r="G557">
        <v>7709953303</v>
      </c>
      <c r="H557" t="s">
        <v>169</v>
      </c>
      <c r="I557" t="s">
        <v>8536</v>
      </c>
      <c r="J557" t="s">
        <v>144</v>
      </c>
      <c r="K557" t="s">
        <v>8537</v>
      </c>
      <c r="L557" t="s">
        <v>8538</v>
      </c>
      <c r="M557" t="s">
        <v>8539</v>
      </c>
      <c r="N557" t="s">
        <v>109</v>
      </c>
      <c r="AI557" t="s">
        <v>8540</v>
      </c>
      <c r="AJ557" t="s">
        <v>8541</v>
      </c>
      <c r="AK557" t="s">
        <v>8542</v>
      </c>
      <c r="AL557">
        <v>87.7</v>
      </c>
      <c r="AN557">
        <v>1998</v>
      </c>
      <c r="AO557" t="s">
        <v>113</v>
      </c>
      <c r="AP557" t="s">
        <v>8543</v>
      </c>
      <c r="AQ557" t="s">
        <v>8544</v>
      </c>
      <c r="AR557" t="s">
        <v>8545</v>
      </c>
      <c r="AS557">
        <v>77.7</v>
      </c>
      <c r="AU557">
        <v>2000</v>
      </c>
      <c r="AV557" t="s">
        <v>109</v>
      </c>
      <c r="BC557" t="s">
        <v>113</v>
      </c>
      <c r="BD557" t="s">
        <v>8546</v>
      </c>
      <c r="BE557" t="s">
        <v>8547</v>
      </c>
      <c r="BF557" t="s">
        <v>1117</v>
      </c>
      <c r="BG557">
        <v>75.6</v>
      </c>
      <c r="BI557">
        <v>2005</v>
      </c>
      <c r="BJ557">
        <v>8</v>
      </c>
      <c r="BL557">
        <v>2</v>
      </c>
      <c r="BN557" t="s">
        <v>113</v>
      </c>
      <c r="BO557" t="s">
        <v>1639</v>
      </c>
      <c r="BP557" t="s">
        <v>1639</v>
      </c>
      <c r="BQ557" t="s">
        <v>724</v>
      </c>
      <c r="BR557">
        <v>71.3</v>
      </c>
      <c r="BT557">
        <v>2007</v>
      </c>
      <c r="BU557">
        <v>24</v>
      </c>
      <c r="BW557">
        <v>50</v>
      </c>
      <c r="BY557" t="s">
        <v>109</v>
      </c>
      <c r="CF557" t="s">
        <v>113</v>
      </c>
      <c r="CG557" t="s">
        <v>8548</v>
      </c>
      <c r="CH557" t="s">
        <v>8549</v>
      </c>
      <c r="CI557" t="s">
        <v>132</v>
      </c>
      <c r="CJ557">
        <v>2014</v>
      </c>
      <c r="CL557" t="s">
        <v>113</v>
      </c>
      <c r="CM557" t="s">
        <v>8550</v>
      </c>
      <c r="CN557" t="s">
        <v>113</v>
      </c>
      <c r="CO557" t="s">
        <v>8551</v>
      </c>
      <c r="CP557" t="s">
        <v>8552</v>
      </c>
      <c r="CQ557" t="s">
        <v>8553</v>
      </c>
      <c r="CR557" t="str">
        <f>HYPERLINK("https://nconnect.nicmar.ac.in/public/storage/profile/69a04ddf15e31.png","Download")</f>
        <v>0</v>
      </c>
      <c r="CS557" t="str">
        <f>HYPERLINK("https://nconnect.nicmar.ac.in/pdf/724_resume_1772155780.pdf/Y2FyZWVy","View Resume")</f>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2026-02-27T09:53:32+05:30</dcterms:created>
  <dcterms:modified xsi:type="dcterms:W3CDTF">2026-02-27T09:53:32+05:30</dcterms:modified>
  <dc:title>Untitled Spreadsheet</dc:title>
  <dc:description/>
  <dc:subject/>
  <cp:keywords/>
  <cp:category/>
</cp:coreProperties>
</file>